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F049328C-A78E-4817-B90C-0C73AE023930}" xr6:coauthVersionLast="45" xr6:coauthVersionMax="45" xr10:uidLastSave="{00000000-0000-0000-0000-000000000000}"/>
  <workbookProtection workbookAlgorithmName="SHA-512" workbookHashValue="ceyRSBUlf6tLoSZD9FMQjGjflCdTqKB3U3tv25LAGfiG+riQPRLlZgOCdVwb04eInqMZ1sHI6DHP9EPXF0i6uQ==" workbookSaltValue="Wyvq+bAzgpS9eZfG6s+WRA==" workbookSpinCount="100000" lockStructure="1"/>
  <bookViews>
    <workbookView xWindow="4035" yWindow="6840"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56" i="72" l="1"/>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AF1775" i="97"/>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AB1777" i="97" s="1"/>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C1754" i="97"/>
  <c r="Y1754" i="97"/>
  <c r="X1754" i="97"/>
  <c r="AF1753" i="97"/>
  <c r="AF1777" i="97" s="1"/>
  <c r="AE1753" i="97"/>
  <c r="AD1753" i="97"/>
  <c r="AD1777" i="97" s="1"/>
  <c r="AC1753" i="97"/>
  <c r="AA1753" i="97"/>
  <c r="AA1777" i="97" s="1"/>
  <c r="Z1753" i="97"/>
  <c r="Y1753" i="97"/>
  <c r="Y1777" i="97" s="1"/>
  <c r="X1753" i="97"/>
  <c r="AG1752" i="97"/>
  <c r="AG1777" i="97" s="1"/>
  <c r="AE1752" i="97"/>
  <c r="AE1777" i="97" s="1"/>
  <c r="AC1752" i="97"/>
  <c r="AC1777" i="97" s="1"/>
  <c r="AB1752" i="97"/>
  <c r="Z1752" i="97"/>
  <c r="Z1777" i="97" s="1"/>
  <c r="X1752" i="97"/>
  <c r="X1777" i="97" s="1"/>
  <c r="M74" i="97" l="1"/>
  <c r="F74" i="97"/>
  <c r="M73" i="97"/>
  <c r="F73" i="97"/>
  <c r="J72" i="97"/>
  <c r="F72" i="97"/>
  <c r="M71" i="97"/>
  <c r="L19" i="76" l="1"/>
  <c r="K19" i="76"/>
  <c r="G116" i="78"/>
  <c r="S116" i="78" s="1"/>
  <c r="C32" i="74" l="1"/>
  <c r="I45" i="68"/>
  <c r="I52" i="68"/>
  <c r="G6" i="74"/>
  <c r="G14" i="78"/>
  <c r="J78" i="78"/>
  <c r="G78" i="78"/>
  <c r="L234" i="75"/>
  <c r="G30" i="78"/>
  <c r="S131" i="78" l="1"/>
  <c r="S130" i="78"/>
  <c r="S129" i="78"/>
  <c r="J126" i="78"/>
  <c r="S109" i="78"/>
  <c r="S102" i="78"/>
  <c r="J91" i="78"/>
  <c r="J90" i="78"/>
  <c r="J89" i="78"/>
  <c r="J88" i="78"/>
  <c r="J75" i="78"/>
  <c r="J55" i="78"/>
  <c r="J40" i="78"/>
  <c r="J39" i="78"/>
  <c r="J38" i="78"/>
  <c r="J14" i="78"/>
  <c r="S20" i="78"/>
  <c r="H121" i="66" l="1"/>
  <c r="S97" i="78" l="1"/>
  <c r="J64" i="78"/>
  <c r="J63" i="78"/>
  <c r="J26" i="78"/>
  <c r="J30" i="78"/>
  <c r="J19" i="76"/>
  <c r="J83" i="78"/>
  <c r="J82" i="78"/>
  <c r="P1988" i="97" l="1"/>
  <c r="P1817" i="97"/>
  <c r="P1884" i="97"/>
  <c r="O1884" i="97"/>
  <c r="P1976" i="97"/>
  <c r="P1980" i="97"/>
  <c r="P1982" i="97"/>
  <c r="P2071" i="97"/>
  <c r="O2071" i="97"/>
  <c r="O2069" i="97"/>
  <c r="P2069" i="97"/>
  <c r="O2114" i="97"/>
  <c r="P2049" i="97"/>
  <c r="O2049" i="97"/>
  <c r="P2013" i="97"/>
  <c r="P1975" i="97"/>
  <c r="P1966" i="97"/>
  <c r="P1947" i="97"/>
  <c r="P1939" i="97"/>
  <c r="P1918" i="97"/>
  <c r="P1882" i="97"/>
  <c r="O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39" i="97"/>
  <c r="E1740" i="97"/>
  <c r="E1743" i="97"/>
  <c r="E1745" i="97"/>
  <c r="E1747"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K1202" i="97"/>
  <c r="J1202" i="97"/>
  <c r="I1202" i="97"/>
  <c r="H1202" i="97"/>
  <c r="G1202" i="97"/>
  <c r="F1202" i="97"/>
  <c r="E1202" i="97"/>
  <c r="D1202" i="97"/>
  <c r="C1202" i="97"/>
  <c r="B1202" i="97"/>
  <c r="K1201" i="97"/>
  <c r="J1201" i="97"/>
  <c r="I1201" i="97"/>
  <c r="H1201" i="97"/>
  <c r="G1201" i="97"/>
  <c r="F1201" i="97"/>
  <c r="E1201" i="97"/>
  <c r="D1201" i="97"/>
  <c r="C1201" i="97"/>
  <c r="B1201" i="97"/>
  <c r="K1171" i="97"/>
  <c r="J1171" i="97"/>
  <c r="I1171" i="97"/>
  <c r="H1171" i="97"/>
  <c r="G1171" i="97"/>
  <c r="F1171" i="97"/>
  <c r="E1171" i="97"/>
  <c r="D1171" i="97"/>
  <c r="C1171" i="97"/>
  <c r="B1171" i="97"/>
  <c r="K1170" i="97"/>
  <c r="J1170" i="97"/>
  <c r="I1170" i="97"/>
  <c r="H1170" i="97"/>
  <c r="G1170" i="97"/>
  <c r="F1170" i="97"/>
  <c r="E1170" i="97"/>
  <c r="D1170" i="97"/>
  <c r="C1170" i="97"/>
  <c r="B1170" i="97"/>
  <c r="F1220" i="97"/>
  <c r="E1220" i="97"/>
  <c r="D1220" i="97"/>
  <c r="C1220" i="97"/>
  <c r="B1220" i="97"/>
  <c r="F1219" i="97"/>
  <c r="E1219" i="97"/>
  <c r="D1219" i="97"/>
  <c r="C1219" i="97"/>
  <c r="B1219" i="97"/>
  <c r="F1218" i="97"/>
  <c r="E1218" i="97"/>
  <c r="D1218" i="97"/>
  <c r="C1218" i="97"/>
  <c r="B1218"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8" i="97"/>
  <c r="D1138" i="97"/>
  <c r="E1138" i="97"/>
  <c r="F1138" i="97"/>
  <c r="G1138" i="97"/>
  <c r="H1138" i="97"/>
  <c r="I1138" i="97"/>
  <c r="J1138" i="97"/>
  <c r="K1138" i="97"/>
  <c r="C1139" i="97"/>
  <c r="D1139" i="97"/>
  <c r="E1139" i="97"/>
  <c r="F1139" i="97"/>
  <c r="G1139" i="97"/>
  <c r="H1139" i="97"/>
  <c r="I1139" i="97"/>
  <c r="J1139" i="97"/>
  <c r="K1139" i="97"/>
  <c r="B1138" i="97"/>
  <c r="B1139"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4" i="97"/>
  <c r="B1125"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L2069"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L1882" i="97"/>
  <c r="L1884"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B561" i="97"/>
  <c r="F558"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O1918" i="97" s="1"/>
  <c r="P199" i="72"/>
  <c r="J1110" i="97" l="1"/>
  <c r="O165" i="72"/>
  <c r="K1110" i="97" l="1"/>
  <c r="Q147" i="72"/>
  <c r="B1142" i="97" l="1"/>
  <c r="Q166" i="72"/>
  <c r="P165" i="72"/>
  <c r="P163" i="72" s="1"/>
  <c r="L165" i="72"/>
  <c r="C1142" i="97" l="1"/>
  <c r="Q165" i="72"/>
  <c r="O163" i="72"/>
  <c r="L163" i="72" s="1"/>
  <c r="D1142" i="97" l="1"/>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P1282" i="97" s="1"/>
  <c r="I794" i="97" l="1"/>
  <c r="A708" i="97"/>
  <c r="J64" i="97"/>
  <c r="A436" i="97"/>
  <c r="A3" i="97"/>
  <c r="A2" i="68"/>
  <c r="A1" i="77"/>
  <c r="A2" i="78"/>
  <c r="W2" i="78" s="1"/>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P475" i="97" s="1"/>
  <c r="B3" i="76"/>
  <c r="C4" i="74"/>
  <c r="B6" i="72"/>
  <c r="L6" i="75"/>
  <c r="D6" i="78"/>
  <c r="L4" i="68"/>
  <c r="O4" i="67"/>
  <c r="E26" i="72"/>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O2013" i="97" s="1"/>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6" i="75" s="1"/>
  <c r="J866" i="97" s="1"/>
  <c r="L866" i="97" s="1"/>
  <c r="M866" i="97" s="1"/>
  <c r="K22" i="76"/>
  <c r="J19" i="75" s="1"/>
  <c r="J859" i="97" s="1"/>
  <c r="L859" i="97" s="1"/>
  <c r="M859" i="97" s="1"/>
  <c r="J22" i="76"/>
  <c r="J24" i="75" s="1"/>
  <c r="J864" i="97" s="1"/>
  <c r="L864" i="97" s="1"/>
  <c r="M864" i="97" s="1"/>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16" i="97"/>
  <c r="K28" i="74"/>
  <c r="I90" i="74"/>
  <c r="I1186" i="97" s="1"/>
  <c r="C44" i="90"/>
  <c r="H8" i="84"/>
  <c r="F14" i="85" s="1"/>
  <c r="A3" i="83" s="1"/>
  <c r="D26" i="74"/>
  <c r="E1154" i="97"/>
  <c r="C59" i="74"/>
  <c r="C1155" i="97" s="1"/>
  <c r="G26" i="74"/>
  <c r="G1122" i="97" s="1"/>
  <c r="G28" i="74"/>
  <c r="H15" i="87" s="1"/>
  <c r="D60" i="74"/>
  <c r="H22" i="87" s="1"/>
  <c r="D90" i="74"/>
  <c r="D1186" i="97" s="1"/>
  <c r="H26" i="74"/>
  <c r="H1122" i="97" s="1"/>
  <c r="I1154" i="97"/>
  <c r="E90" i="74"/>
  <c r="E1186" i="97" s="1"/>
  <c r="D1216" i="97"/>
  <c r="C26" i="74"/>
  <c r="K26" i="74"/>
  <c r="D1154" i="97"/>
  <c r="F61" i="74"/>
  <c r="K24" i="87" s="1"/>
  <c r="H90" i="74"/>
  <c r="E1216" i="97"/>
  <c r="O41" i="66"/>
  <c r="A2" i="66"/>
  <c r="N41" i="66"/>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E26" i="74"/>
  <c r="E1122" i="97" s="1"/>
  <c r="I26" i="74"/>
  <c r="I1122" i="97" s="1"/>
  <c r="K29" i="74"/>
  <c r="B1154" i="97"/>
  <c r="F1154" i="97"/>
  <c r="J1154" i="97"/>
  <c r="B90" i="74"/>
  <c r="B1186" i="97" s="1"/>
  <c r="F90" i="74"/>
  <c r="J90" i="74"/>
  <c r="B1216" i="97"/>
  <c r="F1216" i="97"/>
  <c r="J29" i="74"/>
  <c r="B123" i="74"/>
  <c r="B26" i="74"/>
  <c r="B1122" i="97" s="1"/>
  <c r="F26" i="74"/>
  <c r="F1122" i="97" s="1"/>
  <c r="J26" i="74"/>
  <c r="J1122" i="97" s="1"/>
  <c r="H29" i="74"/>
  <c r="C1154" i="97"/>
  <c r="G1154" i="97"/>
  <c r="K1154" i="97"/>
  <c r="I61" i="74"/>
  <c r="K27" i="87" s="1"/>
  <c r="C90" i="74"/>
  <c r="C1186" i="97" s="1"/>
  <c r="G90" i="74"/>
  <c r="K90" i="74"/>
  <c r="K1186" i="97" s="1"/>
  <c r="A1" i="73"/>
  <c r="A2" i="75"/>
  <c r="T2" i="75" s="1"/>
  <c r="S2" i="68"/>
  <c r="A2" i="67"/>
  <c r="A1" i="76"/>
  <c r="B43" i="74"/>
  <c r="B42" i="74"/>
  <c r="C12" i="86" s="1"/>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29" i="74"/>
  <c r="D1225" i="97" s="1"/>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J25" i="75" l="1"/>
  <c r="J865" i="97" s="1"/>
  <c r="L865" i="97" s="1"/>
  <c r="M865" i="97" s="1"/>
  <c r="D32" i="74"/>
  <c r="H32" i="74"/>
  <c r="I32" i="74"/>
  <c r="F32" i="74"/>
  <c r="J32" i="74"/>
  <c r="K32" i="74"/>
  <c r="E32" i="74"/>
  <c r="G32" i="74"/>
  <c r="D56" i="86"/>
  <c r="L1980" i="97"/>
  <c r="Q1980" i="97"/>
  <c r="J18" i="75"/>
  <c r="J858" i="97" s="1"/>
  <c r="L858" i="97" s="1"/>
  <c r="M858" i="97" s="1"/>
  <c r="J22" i="75"/>
  <c r="J862" i="97" s="1"/>
  <c r="L862" i="97" s="1"/>
  <c r="M862" i="97" s="1"/>
  <c r="P479" i="97"/>
  <c r="H27" i="74"/>
  <c r="H1123" i="97" s="1"/>
  <c r="K91" i="74"/>
  <c r="K1187" i="97" s="1"/>
  <c r="C121" i="74"/>
  <c r="C1217" i="97" s="1"/>
  <c r="J1186" i="97"/>
  <c r="H1154" i="97"/>
  <c r="G1186" i="97"/>
  <c r="F1186" i="97"/>
  <c r="K1122" i="97"/>
  <c r="D1122" i="97"/>
  <c r="H1186" i="97"/>
  <c r="C1122" i="97"/>
  <c r="O65" i="97"/>
  <c r="P844" i="97"/>
  <c r="N65" i="97"/>
  <c r="B40" i="74"/>
  <c r="C40" i="74" s="1"/>
  <c r="C1136" i="97" s="1"/>
  <c r="P55" i="66"/>
  <c r="O336" i="72"/>
  <c r="E28" i="72"/>
  <c r="J36" i="74"/>
  <c r="J1132" i="97" s="1"/>
  <c r="E36" i="74"/>
  <c r="E1132" i="97" s="1"/>
  <c r="P62" i="72"/>
  <c r="P61" i="72" s="1"/>
  <c r="L395"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B64" i="74"/>
  <c r="K59" i="74"/>
  <c r="K65" i="82" s="1"/>
  <c r="B31" i="87"/>
  <c r="B37" i="87"/>
  <c r="I69" i="74"/>
  <c r="I1165" i="97" s="1"/>
  <c r="B18" i="87"/>
  <c r="B38" i="87"/>
  <c r="J99" i="74"/>
  <c r="J1195" i="97" s="1"/>
  <c r="B19" i="87"/>
  <c r="B16" i="87"/>
  <c r="B15" i="87"/>
  <c r="F99" i="74"/>
  <c r="F1195" i="97" s="1"/>
  <c r="B14" i="87"/>
  <c r="B34" i="87"/>
  <c r="B11" i="87"/>
  <c r="E41" i="87"/>
  <c r="E21" i="87"/>
  <c r="F84" i="92"/>
  <c r="B20" i="87"/>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L46" i="75"/>
  <c r="M46"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45" i="75"/>
  <c r="M45" i="75" s="1"/>
  <c r="A123" i="75"/>
  <c r="M230" i="72"/>
  <c r="Q261" i="72"/>
  <c r="C64" i="74"/>
  <c r="F55" i="78"/>
  <c r="C8" i="90"/>
  <c r="B5" i="92" s="1"/>
  <c r="J21" i="75"/>
  <c r="J861" i="97" s="1"/>
  <c r="L861" i="97" s="1"/>
  <c r="M861" i="97" s="1"/>
  <c r="F40" i="78"/>
  <c r="F38" i="78"/>
  <c r="J23" i="75"/>
  <c r="J863" i="97" s="1"/>
  <c r="L863" i="97" s="1"/>
  <c r="M863" i="97" s="1"/>
  <c r="C21" i="90"/>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B130" i="74"/>
  <c r="B1226" i="97" s="1"/>
  <c r="I59" i="74"/>
  <c r="D27" i="74"/>
  <c r="C91" i="74"/>
  <c r="G91" i="74"/>
  <c r="K100" i="74"/>
  <c r="K1196" i="97" s="1"/>
  <c r="I91" i="74"/>
  <c r="E59" i="74"/>
  <c r="I27" i="74"/>
  <c r="F59" i="74"/>
  <c r="J183" i="78"/>
  <c r="E91" i="74"/>
  <c r="H59" i="74"/>
  <c r="K27" i="74"/>
  <c r="F91" i="74"/>
  <c r="B27" i="74"/>
  <c r="I32" i="86"/>
  <c r="D32" i="86"/>
  <c r="F12" i="86"/>
  <c r="H91" i="74"/>
  <c r="D59" i="74"/>
  <c r="G27" i="74"/>
  <c r="G59" i="74"/>
  <c r="D121" i="74"/>
  <c r="F121" i="74"/>
  <c r="D91" i="74"/>
  <c r="C27" i="74"/>
  <c r="J27" i="74"/>
  <c r="E27" i="74"/>
  <c r="C99" i="74"/>
  <c r="C1195" i="97" s="1"/>
  <c r="E32" i="86"/>
  <c r="J59" i="74"/>
  <c r="F27" i="74"/>
  <c r="J91" i="74"/>
  <c r="E64" i="74"/>
  <c r="B121" i="74"/>
  <c r="E121" i="74"/>
  <c r="B59" i="74"/>
  <c r="B91" i="74"/>
  <c r="K99" i="74"/>
  <c r="K1195" i="97" s="1"/>
  <c r="H52" i="86"/>
  <c r="B36" i="74"/>
  <c r="B1132" i="97" s="1"/>
  <c r="B53" i="82"/>
  <c r="D16" i="86"/>
  <c r="G56" i="86"/>
  <c r="F56" i="86"/>
  <c r="C129" i="74"/>
  <c r="C1225" i="97" s="1"/>
  <c r="D52" i="86"/>
  <c r="I68" i="74"/>
  <c r="I1164" i="97" s="1"/>
  <c r="F36" i="86"/>
  <c r="E36" i="86"/>
  <c r="G99" i="74"/>
  <c r="G1195" i="97" s="1"/>
  <c r="H32" i="86"/>
  <c r="F68" i="74"/>
  <c r="F1164" i="97" s="1"/>
  <c r="E68" i="74"/>
  <c r="E1164" i="97" s="1"/>
  <c r="F32" i="86"/>
  <c r="E12" i="86"/>
  <c r="D12" i="86"/>
  <c r="D130" i="74"/>
  <c r="D1226" i="97" s="1"/>
  <c r="E56" i="86"/>
  <c r="I36" i="86"/>
  <c r="F129" i="74"/>
  <c r="F1225" i="97" s="1"/>
  <c r="B99" i="74"/>
  <c r="B1195" i="97" s="1"/>
  <c r="E52" i="86"/>
  <c r="H12" i="86"/>
  <c r="C29" i="84"/>
  <c r="K26" i="84" s="1"/>
  <c r="G36" i="86"/>
  <c r="H56" i="86"/>
  <c r="C56" i="86"/>
  <c r="F15" i="85"/>
  <c r="K68" i="74"/>
  <c r="K1164" i="97" s="1"/>
  <c r="C65" i="82"/>
  <c r="C36" i="86"/>
  <c r="H36" i="86"/>
  <c r="D36" i="86"/>
  <c r="G12" i="86"/>
  <c r="C31" i="74"/>
  <c r="C1127" i="97" s="1"/>
  <c r="H16" i="86"/>
  <c r="I16" i="86"/>
  <c r="D64" i="74"/>
  <c r="C52" i="86"/>
  <c r="G52" i="86"/>
  <c r="F64" i="74"/>
  <c r="F52" i="86"/>
  <c r="H37" i="74"/>
  <c r="H1133" i="97" s="1"/>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L18" i="75" l="1"/>
  <c r="M18" i="75" s="1"/>
  <c r="L22" i="75"/>
  <c r="M22" i="75" s="1"/>
  <c r="B1128" i="97"/>
  <c r="B44" i="74"/>
  <c r="E1160" i="97"/>
  <c r="F1160" i="97"/>
  <c r="D1160" i="97"/>
  <c r="C1160" i="97"/>
  <c r="B1160" i="97"/>
  <c r="M889" i="97"/>
  <c r="M890" i="97" s="1"/>
  <c r="H26" i="95"/>
  <c r="I28" i="95"/>
  <c r="G29" i="95"/>
  <c r="I31" i="95"/>
  <c r="I26" i="95"/>
  <c r="F30" i="95"/>
  <c r="H28" i="95"/>
  <c r="H29" i="95"/>
  <c r="H27" i="95"/>
  <c r="F28" i="95"/>
  <c r="E31" i="95"/>
  <c r="G27" i="95"/>
  <c r="F29" i="95"/>
  <c r="E25" i="95"/>
  <c r="G30" i="95"/>
  <c r="G28" i="95"/>
  <c r="H31" i="95"/>
  <c r="F27" i="95"/>
  <c r="F25" i="95"/>
  <c r="F26" i="95"/>
  <c r="H25" i="95"/>
  <c r="G25" i="95"/>
  <c r="I27" i="95"/>
  <c r="E29" i="95"/>
  <c r="G31" i="95"/>
  <c r="E27" i="95"/>
  <c r="E26" i="95"/>
  <c r="H30" i="95"/>
  <c r="I30" i="95"/>
  <c r="F31" i="95"/>
  <c r="G26" i="95"/>
  <c r="E30" i="95"/>
  <c r="E28" i="95"/>
  <c r="I25" i="95"/>
  <c r="I29" i="95"/>
  <c r="I1187" i="97"/>
  <c r="G1187" i="97"/>
  <c r="E29" i="87"/>
  <c r="K1155" i="97"/>
  <c r="B1217" i="97"/>
  <c r="F45" i="82"/>
  <c r="F1123" i="97"/>
  <c r="C1123" i="97"/>
  <c r="E1187" i="97"/>
  <c r="I1155" i="97"/>
  <c r="J1155" i="97"/>
  <c r="D1187" i="97"/>
  <c r="G1123" i="97"/>
  <c r="F1187" i="97"/>
  <c r="B1155" i="97"/>
  <c r="E1123" i="97"/>
  <c r="F1217" i="97"/>
  <c r="D1155" i="97"/>
  <c r="K45" i="82"/>
  <c r="K1123" i="97"/>
  <c r="F1155" i="97"/>
  <c r="C1187" i="97"/>
  <c r="G1155" i="97"/>
  <c r="B1123" i="97"/>
  <c r="B41" i="74"/>
  <c r="C41" i="74" s="1"/>
  <c r="E1155" i="97"/>
  <c r="B1187" i="97"/>
  <c r="E1217" i="97"/>
  <c r="J1187" i="97"/>
  <c r="J1123" i="97"/>
  <c r="D1217" i="97"/>
  <c r="H1187" i="97"/>
  <c r="H1155" i="97"/>
  <c r="I1123" i="97"/>
  <c r="D1123" i="97"/>
  <c r="D10" i="86"/>
  <c r="C10" i="86"/>
  <c r="B1136" i="97"/>
  <c r="H1335" i="97"/>
  <c r="K65" i="97"/>
  <c r="Q1067"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E13" i="87"/>
  <c r="E38" i="87"/>
  <c r="J45" i="82"/>
  <c r="E18" i="87"/>
  <c r="E22" i="87"/>
  <c r="E19" i="87"/>
  <c r="E37" i="87"/>
  <c r="E14" i="87"/>
  <c r="E11" i="87"/>
  <c r="E36" i="87"/>
  <c r="E26" i="87"/>
  <c r="E27" i="87"/>
  <c r="E30" i="87"/>
  <c r="E28" i="87"/>
  <c r="E32" i="87"/>
  <c r="E33" i="87"/>
  <c r="E20" i="87"/>
  <c r="E34" i="87"/>
  <c r="E43" i="87"/>
  <c r="E44" i="87"/>
  <c r="F65" i="82"/>
  <c r="E24" i="87"/>
  <c r="E35" i="87"/>
  <c r="E40" i="87"/>
  <c r="E42" i="87"/>
  <c r="E17" i="87"/>
  <c r="E31" i="87"/>
  <c r="E15" i="87"/>
  <c r="G65" i="82"/>
  <c r="E25" i="87"/>
  <c r="E10" i="87"/>
  <c r="E23" i="87"/>
  <c r="E12" i="87"/>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O100" i="75"/>
  <c r="P158" i="75"/>
  <c r="L35" i="68"/>
  <c r="P140" i="75"/>
  <c r="H34" i="86"/>
  <c r="P97" i="75"/>
  <c r="K100" i="75"/>
  <c r="P137" i="75"/>
  <c r="K148" i="75"/>
  <c r="K1281" i="97" s="1"/>
  <c r="P105" i="75"/>
  <c r="I55" i="84"/>
  <c r="E55" i="84"/>
  <c r="K55" i="84"/>
  <c r="G55" i="84"/>
  <c r="P104" i="75"/>
  <c r="K111" i="75"/>
  <c r="Q238" i="75"/>
  <c r="P238" i="75"/>
  <c r="R21" i="74"/>
  <c r="C14" i="86"/>
  <c r="K164" i="75"/>
  <c r="P159" i="75"/>
  <c r="M100" i="75"/>
  <c r="C54" i="86"/>
  <c r="P94" i="75"/>
  <c r="P120" i="75"/>
  <c r="K121" i="75"/>
  <c r="D24" i="74"/>
  <c r="E14" i="74"/>
  <c r="P138" i="75"/>
  <c r="M147" i="75"/>
  <c r="F1283" i="97" s="1"/>
  <c r="P136" i="75"/>
  <c r="O164" i="75"/>
  <c r="O166" i="75" s="1"/>
  <c r="O168" i="75" s="1"/>
  <c r="P108" i="75"/>
  <c r="P93" i="75"/>
  <c r="J164" i="78"/>
  <c r="J166" i="78" s="1"/>
  <c r="E3" i="86"/>
  <c r="B4" i="82"/>
  <c r="C18" i="84"/>
  <c r="I61" i="68"/>
  <c r="P139" i="75"/>
  <c r="P114" i="75"/>
  <c r="B1140" i="97" l="1"/>
  <c r="C44" i="74"/>
  <c r="E31" i="74"/>
  <c r="E1127" i="97" s="1"/>
  <c r="D1127" i="97"/>
  <c r="R1117" i="97"/>
  <c r="J31" i="95"/>
  <c r="J28" i="95"/>
  <c r="J26" i="95"/>
  <c r="J30" i="95"/>
  <c r="J27" i="95"/>
  <c r="J25" i="95"/>
  <c r="J29" i="95"/>
  <c r="C1137" i="97"/>
  <c r="D41" i="74"/>
  <c r="C11" i="86"/>
  <c r="B1137" i="97"/>
  <c r="D11" i="86"/>
  <c r="P486" i="97"/>
  <c r="P485" i="97"/>
  <c r="I496" i="97"/>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F48" i="73"/>
  <c r="P149" i="75"/>
  <c r="F42" i="73"/>
  <c r="P147" i="75"/>
  <c r="K50" i="73"/>
  <c r="P150" i="75"/>
  <c r="F43" i="73"/>
  <c r="F50"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M42" i="73" l="1"/>
  <c r="H44" i="73"/>
  <c r="M44" i="73"/>
  <c r="K59" i="73"/>
  <c r="M59" i="73" s="1"/>
  <c r="K70" i="75"/>
  <c r="K76" i="75"/>
  <c r="K79" i="75"/>
  <c r="K85" i="75"/>
  <c r="K82" i="75"/>
  <c r="K88" i="75"/>
  <c r="K73" i="75"/>
  <c r="D1137" i="97"/>
  <c r="E41" i="74"/>
  <c r="E11" i="86"/>
  <c r="F10" i="86"/>
  <c r="E1136" i="97"/>
  <c r="P487" i="97"/>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E13" i="84"/>
  <c r="P64" i="66"/>
  <c r="G14" i="74"/>
  <c r="F24" i="74"/>
  <c r="I43" i="73"/>
  <c r="H43" i="73"/>
  <c r="I42" i="73"/>
  <c r="H42" i="73"/>
  <c r="F46" i="73"/>
  <c r="I48" i="73"/>
  <c r="H48" i="73"/>
  <c r="F53" i="73"/>
  <c r="M41" i="73"/>
  <c r="K46" i="73"/>
  <c r="N41" i="73"/>
  <c r="K168" i="75"/>
  <c r="P168" i="75" s="1"/>
  <c r="P166" i="75"/>
  <c r="H50" i="73"/>
  <c r="I50" i="73"/>
  <c r="N50" i="73"/>
  <c r="N53" i="73" s="1"/>
  <c r="M50" i="73"/>
  <c r="K53" i="73"/>
  <c r="H65" i="73"/>
  <c r="F67" i="73"/>
  <c r="I65" i="73"/>
  <c r="O19" i="86"/>
  <c r="O23" i="86" s="1"/>
  <c r="O25" i="86" s="1"/>
  <c r="O31" i="86" s="1"/>
  <c r="G21" i="86"/>
  <c r="F22" i="86"/>
  <c r="N59" i="73" l="1"/>
  <c r="P176" i="75"/>
  <c r="O342" i="72"/>
  <c r="H58" i="73"/>
  <c r="N56" i="73"/>
  <c r="I57" i="73"/>
  <c r="F15" i="74"/>
  <c r="B1111" i="97"/>
  <c r="O79" i="75"/>
  <c r="O85" i="75"/>
  <c r="O73" i="75"/>
  <c r="O88" i="75"/>
  <c r="O82" i="75"/>
  <c r="O76" i="75"/>
  <c r="O70" i="75"/>
  <c r="L79" i="75"/>
  <c r="L76" i="75"/>
  <c r="L85" i="75"/>
  <c r="L82" i="75"/>
  <c r="L73" i="75"/>
  <c r="L70" i="75"/>
  <c r="L88" i="75"/>
  <c r="N79" i="75"/>
  <c r="N73" i="75"/>
  <c r="N76" i="75"/>
  <c r="N88" i="75"/>
  <c r="N70" i="75"/>
  <c r="N82" i="75"/>
  <c r="N85" i="75"/>
  <c r="M82" i="75"/>
  <c r="M70" i="75"/>
  <c r="M88" i="75"/>
  <c r="M76" i="75"/>
  <c r="M85" i="75"/>
  <c r="M79" i="75"/>
  <c r="M73" i="75"/>
  <c r="E1137" i="97"/>
  <c r="F41" i="74"/>
  <c r="F11" i="86"/>
  <c r="G10" i="86"/>
  <c r="F1136"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H66" i="66"/>
  <c r="H90"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G53" i="82"/>
  <c r="M167" i="78"/>
  <c r="M168" i="78" s="1"/>
  <c r="M170" i="78" s="1"/>
  <c r="J167" i="78"/>
  <c r="J168" i="78" s="1"/>
  <c r="H14" i="74"/>
  <c r="G24" i="74"/>
  <c r="G15" i="74"/>
  <c r="P167" i="78"/>
  <c r="P168" i="78" s="1"/>
  <c r="P170" i="78" s="1"/>
  <c r="I53" i="73"/>
  <c r="H21" i="86"/>
  <c r="G22" i="86"/>
  <c r="E174" i="90" l="1"/>
  <c r="E175" i="90" s="1"/>
  <c r="E1111" i="97"/>
  <c r="G1111" i="97"/>
  <c r="C1111" i="97"/>
  <c r="D1111" i="97"/>
  <c r="F1111" i="97"/>
  <c r="C66" i="84"/>
  <c r="G66" i="84" s="1"/>
  <c r="Q232" i="75"/>
  <c r="Q1072" i="97"/>
  <c r="N1072" i="97"/>
  <c r="N232" i="75"/>
  <c r="G16" i="74"/>
  <c r="G1112" i="97" s="1"/>
  <c r="B1112" i="97"/>
  <c r="S696" i="97"/>
  <c r="K220" i="72"/>
  <c r="L108" i="72"/>
  <c r="M1762" i="97"/>
  <c r="L98" i="72"/>
  <c r="L330" i="72"/>
  <c r="Q227" i="75"/>
  <c r="P88" i="75"/>
  <c r="P73" i="75"/>
  <c r="P76" i="75"/>
  <c r="P82" i="75"/>
  <c r="P79" i="75"/>
  <c r="P85" i="75"/>
  <c r="P70" i="75"/>
  <c r="F1137" i="97"/>
  <c r="G41" i="74"/>
  <c r="G11" i="86"/>
  <c r="H10" i="86"/>
  <c r="G1136" i="97"/>
  <c r="N60" i="73"/>
  <c r="M69" i="73" s="1"/>
  <c r="J674" i="97"/>
  <c r="I60" i="73"/>
  <c r="H69" i="73" s="1"/>
  <c r="P63" i="73" s="1"/>
  <c r="J682" i="97" s="1"/>
  <c r="N1300" i="97"/>
  <c r="M1309" i="97" s="1"/>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H53" i="82" s="1"/>
  <c r="J317" i="72"/>
  <c r="J318" i="72" s="1"/>
  <c r="J319"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K233" i="75"/>
  <c r="AE127" i="78"/>
  <c r="O228" i="73"/>
  <c r="D148" i="78"/>
  <c r="N90" i="66"/>
  <c r="N114" i="97" s="1"/>
  <c r="O337" i="72"/>
  <c r="O338" i="72" s="1"/>
  <c r="AE124" i="78"/>
  <c r="H221" i="72"/>
  <c r="M321" i="73"/>
  <c r="L321" i="73" s="1"/>
  <c r="F133" i="78"/>
  <c r="C13" i="84"/>
  <c r="N87" i="66"/>
  <c r="N111" i="97" s="1"/>
  <c r="AE123" i="78"/>
  <c r="D34" i="90"/>
  <c r="D35" i="90" s="1"/>
  <c r="I64" i="92" s="1"/>
  <c r="M324" i="73"/>
  <c r="L324" i="73" s="1"/>
  <c r="AE126" i="78"/>
  <c r="E26" i="89"/>
  <c r="J170" i="78"/>
  <c r="J171" i="78" s="1"/>
  <c r="G15" i="82"/>
  <c r="G19" i="82" s="1"/>
  <c r="G20" i="82" s="1"/>
  <c r="H24" i="74"/>
  <c r="I14" i="74"/>
  <c r="H16" i="74"/>
  <c r="H1112" i="97" s="1"/>
  <c r="H15" i="74"/>
  <c r="I21" i="86"/>
  <c r="I22" i="86" s="1"/>
  <c r="H22" i="86"/>
  <c r="K66" i="84" l="1"/>
  <c r="E66" i="84"/>
  <c r="B1118" i="97"/>
  <c r="Q217" i="75"/>
  <c r="H1111" i="97"/>
  <c r="I66" i="84"/>
  <c r="I31" i="74"/>
  <c r="I1127" i="97" s="1"/>
  <c r="H1127" i="97"/>
  <c r="G17" i="74"/>
  <c r="B20" i="74"/>
  <c r="B1116" i="97" s="1"/>
  <c r="B1113" i="97"/>
  <c r="H23" i="74"/>
  <c r="H1119" i="97" s="1"/>
  <c r="B1119" i="97"/>
  <c r="F23" i="74"/>
  <c r="F1119" i="97" s="1"/>
  <c r="P80" i="75"/>
  <c r="P81" i="75" s="1"/>
  <c r="O80" i="75"/>
  <c r="O81" i="75" s="1"/>
  <c r="L80" i="75"/>
  <c r="L81" i="75" s="1"/>
  <c r="K80" i="75"/>
  <c r="K81" i="75" s="1"/>
  <c r="M80" i="75"/>
  <c r="M81" i="75" s="1"/>
  <c r="N80" i="75"/>
  <c r="N81" i="75" s="1"/>
  <c r="P89" i="75"/>
  <c r="P90" i="75" s="1"/>
  <c r="K89" i="75"/>
  <c r="K90" i="75" s="1"/>
  <c r="L89" i="75"/>
  <c r="L90" i="75" s="1"/>
  <c r="M89" i="75"/>
  <c r="M90" i="75" s="1"/>
  <c r="N89" i="75"/>
  <c r="N90" i="75" s="1"/>
  <c r="O89" i="75"/>
  <c r="O90" i="75" s="1"/>
  <c r="L1803" i="97"/>
  <c r="L1817" i="97"/>
  <c r="L1827" i="97"/>
  <c r="M2120" i="97"/>
  <c r="P83" i="75"/>
  <c r="P84" i="75" s="1"/>
  <c r="L83" i="75"/>
  <c r="L84" i="75" s="1"/>
  <c r="M83" i="75"/>
  <c r="M84" i="75" s="1"/>
  <c r="N83" i="75"/>
  <c r="N84" i="75" s="1"/>
  <c r="K83" i="75"/>
  <c r="K84" i="75" s="1"/>
  <c r="O83" i="75"/>
  <c r="O84" i="75" s="1"/>
  <c r="P71" i="75"/>
  <c r="P72" i="75" s="1"/>
  <c r="L71" i="75"/>
  <c r="L72" i="75" s="1"/>
  <c r="M71" i="75"/>
  <c r="M72" i="75" s="1"/>
  <c r="O71" i="75"/>
  <c r="O72" i="75" s="1"/>
  <c r="K71" i="75"/>
  <c r="K72" i="75" s="1"/>
  <c r="N71" i="75"/>
  <c r="N72" i="75" s="1"/>
  <c r="P77" i="75"/>
  <c r="P78" i="75" s="1"/>
  <c r="O77" i="75"/>
  <c r="O78" i="75" s="1"/>
  <c r="L77" i="75"/>
  <c r="L78" i="75" s="1"/>
  <c r="K77" i="75"/>
  <c r="K78" i="75" s="1"/>
  <c r="N77" i="75"/>
  <c r="N78" i="75" s="1"/>
  <c r="M77" i="75"/>
  <c r="M78" i="75" s="1"/>
  <c r="N86" i="75"/>
  <c r="N87" i="75" s="1"/>
  <c r="P86" i="75"/>
  <c r="P87" i="75" s="1"/>
  <c r="L86" i="75"/>
  <c r="L87" i="75" s="1"/>
  <c r="M86" i="75"/>
  <c r="M87" i="75" s="1"/>
  <c r="O86" i="75"/>
  <c r="O87" i="75" s="1"/>
  <c r="K86" i="75"/>
  <c r="K87" i="75" s="1"/>
  <c r="P74" i="75"/>
  <c r="P75" i="75" s="1"/>
  <c r="K74" i="75"/>
  <c r="K75" i="75" s="1"/>
  <c r="N74" i="75"/>
  <c r="N75" i="75" s="1"/>
  <c r="O74" i="75"/>
  <c r="O75" i="75" s="1"/>
  <c r="M74" i="75"/>
  <c r="M75" i="75" s="1"/>
  <c r="L74" i="75"/>
  <c r="L75" i="75" s="1"/>
  <c r="G1137" i="97"/>
  <c r="H41" i="74"/>
  <c r="H11" i="86"/>
  <c r="I10" i="86"/>
  <c r="H1136"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40" i="74"/>
  <c r="C17" i="74"/>
  <c r="C1113" i="97" s="1"/>
  <c r="C54" i="84"/>
  <c r="C56" i="84" s="1"/>
  <c r="C64" i="84" s="1"/>
  <c r="K6" i="74"/>
  <c r="L4" i="95"/>
  <c r="K8" i="74"/>
  <c r="J4" i="91"/>
  <c r="D17" i="74"/>
  <c r="D1113" i="97" s="1"/>
  <c r="K53" i="84"/>
  <c r="K54" i="84" s="1"/>
  <c r="K56" i="84" s="1"/>
  <c r="K64" i="84" s="1"/>
  <c r="G53" i="84"/>
  <c r="G54" i="84" s="1"/>
  <c r="E17" i="74"/>
  <c r="E1113" i="97" s="1"/>
  <c r="E53" i="84"/>
  <c r="E54" i="84" s="1"/>
  <c r="E56" i="84" s="1"/>
  <c r="E64" i="84" s="1"/>
  <c r="O92" i="72"/>
  <c r="O1811" i="97" s="1"/>
  <c r="F17" i="74"/>
  <c r="F1113" i="97" s="1"/>
  <c r="P92" i="72"/>
  <c r="P1811" i="97" s="1"/>
  <c r="AF125" i="78"/>
  <c r="H19" i="84"/>
  <c r="AF122" i="78"/>
  <c r="D17" i="83"/>
  <c r="C19" i="84"/>
  <c r="F16" i="85"/>
  <c r="J179" i="78"/>
  <c r="M178" i="78" s="1"/>
  <c r="G20" i="74"/>
  <c r="G1116" i="97" s="1"/>
  <c r="H17" i="74"/>
  <c r="H1113" i="97" s="1"/>
  <c r="I53" i="82"/>
  <c r="J31" i="74"/>
  <c r="J1127" i="97" s="1"/>
  <c r="I24" i="74"/>
  <c r="J14" i="74"/>
  <c r="I16" i="74"/>
  <c r="I1112" i="97" s="1"/>
  <c r="I15" i="74"/>
  <c r="F13" i="86"/>
  <c r="C22" i="74" l="1"/>
  <c r="C1118" i="97" s="1"/>
  <c r="I1111" i="97"/>
  <c r="D22" i="74"/>
  <c r="F22" i="74"/>
  <c r="G1113" i="97"/>
  <c r="G22" i="74"/>
  <c r="Q1057" i="97"/>
  <c r="Q225" i="75"/>
  <c r="C68" i="84"/>
  <c r="O219" i="75"/>
  <c r="O218" i="75"/>
  <c r="E22" i="74"/>
  <c r="H22" i="74"/>
  <c r="G13" i="86"/>
  <c r="D13" i="86"/>
  <c r="I13" i="86"/>
  <c r="E13" i="86"/>
  <c r="C20" i="74"/>
  <c r="C1116" i="97" s="1"/>
  <c r="H13" i="86"/>
  <c r="C33" i="86"/>
  <c r="H1137" i="97"/>
  <c r="I41" i="74"/>
  <c r="I11" i="86"/>
  <c r="C30" i="86"/>
  <c r="I1136" i="97"/>
  <c r="C20" i="84"/>
  <c r="H20" i="84"/>
  <c r="J40" i="74"/>
  <c r="E127" i="78"/>
  <c r="A127" i="78" s="1"/>
  <c r="O84" i="72"/>
  <c r="O1803" i="97" s="1"/>
  <c r="E20" i="74"/>
  <c r="E1116" i="97" s="1"/>
  <c r="D20" i="74"/>
  <c r="D1116" i="97" s="1"/>
  <c r="G56" i="84"/>
  <c r="G64" i="84" s="1"/>
  <c r="F20" i="74"/>
  <c r="F1116" i="97" s="1"/>
  <c r="P84" i="72"/>
  <c r="P1803" i="97" s="1"/>
  <c r="P2120" i="97" s="1"/>
  <c r="P1725" i="97" s="1"/>
  <c r="J182" i="78"/>
  <c r="J685" i="97" s="1"/>
  <c r="J687" i="97" s="1"/>
  <c r="J689" i="97" s="1"/>
  <c r="J692" i="97" s="1"/>
  <c r="K31" i="74"/>
  <c r="K1127" i="97" s="1"/>
  <c r="J53" i="82"/>
  <c r="K14" i="74"/>
  <c r="J24" i="74"/>
  <c r="J15" i="74"/>
  <c r="J16" i="74"/>
  <c r="J1112" i="97" s="1"/>
  <c r="J23" i="74"/>
  <c r="J1119" i="97" s="1"/>
  <c r="I17" i="74"/>
  <c r="I1113" i="97" s="1"/>
  <c r="H20" i="74"/>
  <c r="H1116" i="97" s="1"/>
  <c r="H1118" i="97" l="1"/>
  <c r="K68" i="84"/>
  <c r="K70" i="84" s="1"/>
  <c r="I68" i="84"/>
  <c r="I70" i="84" s="1"/>
  <c r="E68" i="84"/>
  <c r="E70" i="84" s="1"/>
  <c r="G68" i="84"/>
  <c r="G70" i="84" s="1"/>
  <c r="G1118" i="97"/>
  <c r="E1118" i="97"/>
  <c r="F634" i="97"/>
  <c r="F131" i="78"/>
  <c r="F130" i="78"/>
  <c r="B21" i="74"/>
  <c r="K21" i="74" s="1"/>
  <c r="F633" i="97"/>
  <c r="Q244" i="75"/>
  <c r="P226" i="75"/>
  <c r="N225" i="75"/>
  <c r="C70" i="84"/>
  <c r="D1118" i="97"/>
  <c r="J1111" i="97"/>
  <c r="O1059" i="97"/>
  <c r="Q1065" i="97"/>
  <c r="O1058" i="97"/>
  <c r="F1118" i="97"/>
  <c r="I22" i="74"/>
  <c r="I1137" i="97"/>
  <c r="J41" i="74"/>
  <c r="C31" i="86"/>
  <c r="D30" i="86"/>
  <c r="J1136" i="97"/>
  <c r="K40" i="74"/>
  <c r="J184" i="78"/>
  <c r="J186" i="78" s="1"/>
  <c r="I20" i="74"/>
  <c r="I1116" i="97" s="1"/>
  <c r="K24" i="74"/>
  <c r="B46" i="74"/>
  <c r="K15" i="74"/>
  <c r="K16" i="74"/>
  <c r="K1112" i="97" s="1"/>
  <c r="K23" i="74"/>
  <c r="K1119" i="97" s="1"/>
  <c r="D33" i="86"/>
  <c r="B63" i="74"/>
  <c r="B1159" i="97" s="1"/>
  <c r="K53" i="82"/>
  <c r="J17" i="74"/>
  <c r="J1113" i="97" s="1"/>
  <c r="J22" i="74" l="1"/>
  <c r="J1118" i="97" s="1"/>
  <c r="G76" i="84"/>
  <c r="G73" i="84" s="1"/>
  <c r="G72" i="84"/>
  <c r="I76" i="84"/>
  <c r="I73" i="84" s="1"/>
  <c r="I72" i="84"/>
  <c r="E21" i="74"/>
  <c r="D21" i="74"/>
  <c r="B1117" i="97"/>
  <c r="C21" i="74"/>
  <c r="F21" i="74"/>
  <c r="G21" i="74"/>
  <c r="H21" i="74"/>
  <c r="I21" i="74"/>
  <c r="I1117" i="97" s="1"/>
  <c r="B39" i="74"/>
  <c r="B1135" i="97" s="1"/>
  <c r="J21" i="74"/>
  <c r="J1117" i="97" s="1"/>
  <c r="B25" i="74"/>
  <c r="K72" i="84"/>
  <c r="K76" i="84"/>
  <c r="K73" i="84" s="1"/>
  <c r="C72" i="84"/>
  <c r="C76" i="84"/>
  <c r="C73" i="84" s="1"/>
  <c r="K1111" i="97"/>
  <c r="I1118" i="97"/>
  <c r="P1066" i="97"/>
  <c r="N1065" i="97"/>
  <c r="Q1084" i="97"/>
  <c r="E76" i="84"/>
  <c r="E73" i="84" s="1"/>
  <c r="E72" i="84"/>
  <c r="K1117" i="97"/>
  <c r="J1137" i="97"/>
  <c r="K41" i="74"/>
  <c r="D31" i="86"/>
  <c r="E30" i="86"/>
  <c r="K1136" i="97"/>
  <c r="B15" i="82"/>
  <c r="J189" i="78"/>
  <c r="M195" i="78" s="1"/>
  <c r="B72" i="74"/>
  <c r="J20" i="74"/>
  <c r="J1116" i="97" s="1"/>
  <c r="K17" i="74"/>
  <c r="K1113" i="97" s="1"/>
  <c r="C46" i="74"/>
  <c r="B56" i="74"/>
  <c r="B48" i="74"/>
  <c r="B1144" i="97" s="1"/>
  <c r="B47" i="74"/>
  <c r="B53" i="74"/>
  <c r="B55" i="74"/>
  <c r="B1151" i="97" s="1"/>
  <c r="C63" i="74"/>
  <c r="C1159" i="97" s="1"/>
  <c r="B73" i="82"/>
  <c r="E33" i="86"/>
  <c r="I39" i="74" l="1"/>
  <c r="I1135" i="97" s="1"/>
  <c r="I25" i="74"/>
  <c r="I34" i="74" s="1"/>
  <c r="I1130" i="97" s="1"/>
  <c r="B34" i="74"/>
  <c r="B1130" i="97" s="1"/>
  <c r="B33" i="74"/>
  <c r="B44" i="82"/>
  <c r="B1121" i="97"/>
  <c r="B38" i="74"/>
  <c r="B1134" i="97" s="1"/>
  <c r="B35" i="74"/>
  <c r="B1131" i="97" s="1"/>
  <c r="H1117" i="97"/>
  <c r="H39" i="74"/>
  <c r="H1135" i="97" s="1"/>
  <c r="H25" i="74"/>
  <c r="B1143" i="97"/>
  <c r="G1117" i="97"/>
  <c r="G25" i="74"/>
  <c r="G39" i="74"/>
  <c r="G1135" i="97" s="1"/>
  <c r="D1117" i="97"/>
  <c r="D39" i="74"/>
  <c r="D1135" i="97" s="1"/>
  <c r="D25" i="74"/>
  <c r="J39" i="74"/>
  <c r="J1135" i="97" s="1"/>
  <c r="K22" i="74"/>
  <c r="F1117" i="97"/>
  <c r="F25" i="74"/>
  <c r="F39" i="74"/>
  <c r="F1135" i="97" s="1"/>
  <c r="E1117" i="97"/>
  <c r="E25" i="74"/>
  <c r="E39" i="74"/>
  <c r="E1135" i="97" s="1"/>
  <c r="C1117" i="97"/>
  <c r="C39" i="74"/>
  <c r="C1135" i="97" s="1"/>
  <c r="C25" i="74"/>
  <c r="B1149" i="97"/>
  <c r="K1137" i="97"/>
  <c r="B73" i="74"/>
  <c r="E31" i="86"/>
  <c r="F30" i="86"/>
  <c r="B1168" i="97"/>
  <c r="C72" i="74"/>
  <c r="J25" i="74"/>
  <c r="J34" i="74" s="1"/>
  <c r="J1130" i="97" s="1"/>
  <c r="C73" i="82"/>
  <c r="D63" i="74"/>
  <c r="D1159" i="97" s="1"/>
  <c r="C48" i="74"/>
  <c r="C1144" i="97" s="1"/>
  <c r="C56" i="74"/>
  <c r="D46" i="74"/>
  <c r="C47" i="74"/>
  <c r="C53" i="74"/>
  <c r="C55" i="74"/>
  <c r="C1151" i="97" s="1"/>
  <c r="B49" i="74"/>
  <c r="B1145" i="97" s="1"/>
  <c r="F33" i="86"/>
  <c r="K20" i="74"/>
  <c r="K1116" i="97" s="1"/>
  <c r="I44" i="82" l="1"/>
  <c r="I51" i="82" s="1"/>
  <c r="I35" i="74"/>
  <c r="I1131" i="97" s="1"/>
  <c r="I1121" i="97"/>
  <c r="I38" i="74"/>
  <c r="I1134" i="97" s="1"/>
  <c r="C34" i="74"/>
  <c r="C1130" i="97" s="1"/>
  <c r="C38" i="74"/>
  <c r="C1134" i="97" s="1"/>
  <c r="C1121" i="97"/>
  <c r="C44" i="82"/>
  <c r="C35" i="74"/>
  <c r="C1131" i="97" s="1"/>
  <c r="E34" i="74"/>
  <c r="E1130" i="97" s="1"/>
  <c r="E38" i="74"/>
  <c r="E1134" i="97" s="1"/>
  <c r="E1121" i="97"/>
  <c r="E35" i="74"/>
  <c r="E1131" i="97" s="1"/>
  <c r="E44" i="82"/>
  <c r="C1143" i="97"/>
  <c r="K1118" i="97"/>
  <c r="K39" i="74"/>
  <c r="K1135" i="97" s="1"/>
  <c r="B54" i="74"/>
  <c r="B51" i="82"/>
  <c r="B46" i="82"/>
  <c r="B1129" i="97"/>
  <c r="C9" i="86"/>
  <c r="C17" i="86" s="1"/>
  <c r="C18" i="86" s="1"/>
  <c r="C20" i="86" s="1"/>
  <c r="C24" i="86" s="1"/>
  <c r="K6" i="86" s="1"/>
  <c r="G66" i="86" s="1"/>
  <c r="N92" i="85" s="1"/>
  <c r="S21" i="74"/>
  <c r="F34" i="74"/>
  <c r="F1130" i="97" s="1"/>
  <c r="F35" i="74"/>
  <c r="F1131" i="97" s="1"/>
  <c r="F1121" i="97"/>
  <c r="F44" i="82"/>
  <c r="F38" i="74"/>
  <c r="F1134" i="97" s="1"/>
  <c r="D34" i="74"/>
  <c r="D1130" i="97" s="1"/>
  <c r="D38" i="74"/>
  <c r="D1134" i="97" s="1"/>
  <c r="D35" i="74"/>
  <c r="D1131" i="97" s="1"/>
  <c r="D44" i="82"/>
  <c r="D1121" i="97"/>
  <c r="G34" i="74"/>
  <c r="G1130" i="97" s="1"/>
  <c r="G1121" i="97"/>
  <c r="G38" i="74"/>
  <c r="G1134" i="97" s="1"/>
  <c r="G44" i="82"/>
  <c r="G35" i="74"/>
  <c r="G1131" i="97" s="1"/>
  <c r="H34" i="74"/>
  <c r="H1130" i="97" s="1"/>
  <c r="H38" i="74"/>
  <c r="H1134" i="97" s="1"/>
  <c r="H44" i="82"/>
  <c r="H35" i="74"/>
  <c r="H1131" i="97" s="1"/>
  <c r="H1121" i="97"/>
  <c r="C1149" i="97"/>
  <c r="J1121" i="97"/>
  <c r="J38" i="74"/>
  <c r="J1134" i="97" s="1"/>
  <c r="J35" i="74"/>
  <c r="J1131" i="97" s="1"/>
  <c r="B1169" i="97"/>
  <c r="C73" i="74"/>
  <c r="F31" i="86"/>
  <c r="G30" i="86"/>
  <c r="C1168" i="97"/>
  <c r="D72" i="74"/>
  <c r="J44" i="82"/>
  <c r="J46" i="82" s="1"/>
  <c r="E46" i="74"/>
  <c r="D56" i="74"/>
  <c r="D48" i="74"/>
  <c r="D1144" i="97" s="1"/>
  <c r="D47" i="74"/>
  <c r="D53" i="74"/>
  <c r="D55" i="74"/>
  <c r="D1151" i="97" s="1"/>
  <c r="E63" i="74"/>
  <c r="E1159" i="97" s="1"/>
  <c r="D73" i="82"/>
  <c r="G33" i="86"/>
  <c r="K25" i="74"/>
  <c r="K34" i="74" s="1"/>
  <c r="K1130" i="97" s="1"/>
  <c r="B52" i="74"/>
  <c r="B1148" i="97" s="1"/>
  <c r="C49" i="74"/>
  <c r="C1145" i="97" s="1"/>
  <c r="I46" i="82" l="1"/>
  <c r="H51" i="82"/>
  <c r="H46" i="82"/>
  <c r="G51" i="82"/>
  <c r="G46" i="82"/>
  <c r="F51" i="82"/>
  <c r="F46" i="82"/>
  <c r="S1117" i="97"/>
  <c r="E46" i="82"/>
  <c r="E51" i="82"/>
  <c r="D1143" i="97"/>
  <c r="D46" i="82"/>
  <c r="D51" i="82"/>
  <c r="C54" i="74"/>
  <c r="B1150" i="97"/>
  <c r="B71" i="74"/>
  <c r="B1167" i="97" s="1"/>
  <c r="C46" i="82"/>
  <c r="C51" i="82"/>
  <c r="D1149" i="97"/>
  <c r="K1121" i="97"/>
  <c r="K38" i="74"/>
  <c r="K1134" i="97" s="1"/>
  <c r="K35" i="74"/>
  <c r="K1131" i="97" s="1"/>
  <c r="C1169" i="97"/>
  <c r="D73" i="74"/>
  <c r="G31" i="86"/>
  <c r="H30" i="86"/>
  <c r="D1168" i="97"/>
  <c r="E72" i="74"/>
  <c r="J51" i="82"/>
  <c r="C52" i="74"/>
  <c r="C1148" i="97" s="1"/>
  <c r="E73" i="82"/>
  <c r="F63" i="74"/>
  <c r="F1159" i="97" s="1"/>
  <c r="D49" i="74"/>
  <c r="D1145" i="97" s="1"/>
  <c r="B57" i="74"/>
  <c r="B66" i="74" s="1"/>
  <c r="B1162" i="97" s="1"/>
  <c r="K44" i="82"/>
  <c r="E47" i="74"/>
  <c r="E56" i="74"/>
  <c r="F46" i="74"/>
  <c r="E48" i="74"/>
  <c r="E1144" i="97" s="1"/>
  <c r="E53" i="74"/>
  <c r="E55" i="74"/>
  <c r="E1151" i="97" s="1"/>
  <c r="H33" i="86"/>
  <c r="D54" i="74" l="1"/>
  <c r="D1150" i="97" s="1"/>
  <c r="C1150" i="97"/>
  <c r="C71" i="74"/>
  <c r="C1167" i="97" s="1"/>
  <c r="E1143" i="97"/>
  <c r="E1149" i="97"/>
  <c r="B1153" i="97"/>
  <c r="B70" i="74"/>
  <c r="B1166" i="97" s="1"/>
  <c r="B67" i="74"/>
  <c r="B1163" i="97" s="1"/>
  <c r="D1169" i="97"/>
  <c r="E73" i="74"/>
  <c r="H31" i="86"/>
  <c r="I30" i="86"/>
  <c r="E1168" i="97"/>
  <c r="F72" i="74"/>
  <c r="C57" i="74"/>
  <c r="C66" i="74" s="1"/>
  <c r="C1162" i="97" s="1"/>
  <c r="D52" i="74"/>
  <c r="D1148" i="97" s="1"/>
  <c r="F56" i="74"/>
  <c r="F48" i="74"/>
  <c r="F1144" i="97" s="1"/>
  <c r="F47" i="74"/>
  <c r="G46" i="74"/>
  <c r="F53" i="74"/>
  <c r="F55" i="74"/>
  <c r="F1151" i="97" s="1"/>
  <c r="E49" i="74"/>
  <c r="E1145" i="97" s="1"/>
  <c r="F73" i="82"/>
  <c r="G63" i="74"/>
  <c r="G1159" i="97" s="1"/>
  <c r="K51" i="82"/>
  <c r="K46" i="82"/>
  <c r="B25" i="82" s="1"/>
  <c r="I33" i="86"/>
  <c r="B64" i="82"/>
  <c r="B65" i="74"/>
  <c r="B1161" i="97" s="1"/>
  <c r="D71" i="74" l="1"/>
  <c r="D1167" i="97" s="1"/>
  <c r="F1143" i="97"/>
  <c r="E54" i="74"/>
  <c r="F1149" i="97"/>
  <c r="C1153" i="97"/>
  <c r="C70" i="74"/>
  <c r="C1166" i="97" s="1"/>
  <c r="C67" i="74"/>
  <c r="C1163" i="97" s="1"/>
  <c r="E1169" i="97"/>
  <c r="F73" i="74"/>
  <c r="I31" i="86"/>
  <c r="C50" i="86"/>
  <c r="F1168"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1145" i="97" s="1"/>
  <c r="F29" i="86"/>
  <c r="H63" i="74"/>
  <c r="H1159" i="97" s="1"/>
  <c r="G73" i="82"/>
  <c r="B66" i="82"/>
  <c r="B71" i="82"/>
  <c r="C53" i="86"/>
  <c r="D57" i="74"/>
  <c r="D66" i="74" s="1"/>
  <c r="D1162" i="97" s="1"/>
  <c r="G56" i="74"/>
  <c r="G48" i="74"/>
  <c r="G1144" i="97" s="1"/>
  <c r="H46" i="74"/>
  <c r="G47" i="74"/>
  <c r="G53" i="74"/>
  <c r="G55" i="74"/>
  <c r="G1151" i="97" s="1"/>
  <c r="E1150" i="97" l="1"/>
  <c r="E71" i="74"/>
  <c r="E1167" i="97" s="1"/>
  <c r="G1143" i="97"/>
  <c r="F54" i="74"/>
  <c r="G1149" i="97"/>
  <c r="D1153" i="97"/>
  <c r="D67" i="74"/>
  <c r="D1163" i="97" s="1"/>
  <c r="D70" i="74"/>
  <c r="D1166" i="97" s="1"/>
  <c r="F1169" i="97"/>
  <c r="G73" i="74"/>
  <c r="C51" i="86"/>
  <c r="D50" i="86"/>
  <c r="G1168" i="97"/>
  <c r="H72" i="74"/>
  <c r="G29" i="86"/>
  <c r="G37" i="86" s="1"/>
  <c r="G38" i="86" s="1"/>
  <c r="G40" i="86" s="1"/>
  <c r="G44" i="86" s="1"/>
  <c r="K17" i="86" s="1"/>
  <c r="C71" i="82"/>
  <c r="C74" i="82" s="1"/>
  <c r="C75" i="82" s="1"/>
  <c r="C76" i="82" s="1"/>
  <c r="E57" i="74"/>
  <c r="E66" i="74" s="1"/>
  <c r="E1162" i="97"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47" i="74"/>
  <c r="H48" i="74"/>
  <c r="H1144" i="97" s="1"/>
  <c r="I46" i="74"/>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G54" i="74" l="1"/>
  <c r="G1150" i="97" s="1"/>
  <c r="H1143" i="97"/>
  <c r="F1150" i="97"/>
  <c r="F71" i="74"/>
  <c r="F1167" i="97" s="1"/>
  <c r="H1149" i="97"/>
  <c r="E1153" i="97"/>
  <c r="E70" i="74"/>
  <c r="E1166" i="97" s="1"/>
  <c r="E67" i="74"/>
  <c r="E1163" i="97" s="1"/>
  <c r="G1169" i="97"/>
  <c r="H73" i="74"/>
  <c r="D51" i="86"/>
  <c r="D57" i="86" s="1"/>
  <c r="D58" i="86" s="1"/>
  <c r="D60" i="86" s="1"/>
  <c r="D64" i="86" s="1"/>
  <c r="K21" i="86" s="1"/>
  <c r="E50" i="86"/>
  <c r="H1168" i="97"/>
  <c r="I72" i="74"/>
  <c r="E64" i="82"/>
  <c r="E71" i="82" s="1"/>
  <c r="E74" i="82" s="1"/>
  <c r="E65" i="74"/>
  <c r="E1161" i="97" s="1"/>
  <c r="B76" i="82"/>
  <c r="E53" i="86"/>
  <c r="H29" i="86"/>
  <c r="J46" i="74"/>
  <c r="I56" i="74"/>
  <c r="I47" i="74"/>
  <c r="I48" i="74"/>
  <c r="I1144" i="97" s="1"/>
  <c r="I53" i="74"/>
  <c r="I55" i="74"/>
  <c r="I1151" i="97" s="1"/>
  <c r="D71" i="82"/>
  <c r="D74" i="82" s="1"/>
  <c r="D66" i="82"/>
  <c r="B29" i="82"/>
  <c r="G21" i="82"/>
  <c r="G52" i="74"/>
  <c r="G1148" i="97" s="1"/>
  <c r="H49" i="74"/>
  <c r="H1145" i="97" s="1"/>
  <c r="J63" i="74"/>
  <c r="J1159" i="97" s="1"/>
  <c r="I73" i="82"/>
  <c r="F57" i="74"/>
  <c r="F66" i="74" s="1"/>
  <c r="F1162" i="97" s="1"/>
  <c r="G71" i="74" l="1"/>
  <c r="G1167" i="97" s="1"/>
  <c r="H54" i="74"/>
  <c r="I1143" i="97"/>
  <c r="I1149" i="97"/>
  <c r="F1153" i="97"/>
  <c r="F70" i="74"/>
  <c r="F1166" i="97" s="1"/>
  <c r="F67" i="74"/>
  <c r="F1163" i="97" s="1"/>
  <c r="H1169" i="97"/>
  <c r="I73" i="74"/>
  <c r="E51" i="86"/>
  <c r="E57" i="86" s="1"/>
  <c r="E58" i="86" s="1"/>
  <c r="E60" i="86" s="1"/>
  <c r="E64" i="86" s="1"/>
  <c r="K22" i="86" s="1"/>
  <c r="F50" i="86"/>
  <c r="I1168" i="97"/>
  <c r="J72" i="74"/>
  <c r="E66" i="82"/>
  <c r="I29" i="86"/>
  <c r="I37" i="86" s="1"/>
  <c r="I38" i="86" s="1"/>
  <c r="I40" i="86" s="1"/>
  <c r="I44" i="86" s="1"/>
  <c r="K19" i="86" s="1"/>
  <c r="J48" i="74"/>
  <c r="J1144" i="97" s="1"/>
  <c r="K46" i="74"/>
  <c r="J56" i="74"/>
  <c r="J47" i="74"/>
  <c r="J53" i="74"/>
  <c r="J55" i="74"/>
  <c r="J1151" i="97" s="1"/>
  <c r="H37" i="86"/>
  <c r="H38" i="86" s="1"/>
  <c r="H40" i="86" s="1"/>
  <c r="H44" i="86" s="1"/>
  <c r="K18" i="86" s="1"/>
  <c r="G57" i="74"/>
  <c r="G66" i="74" s="1"/>
  <c r="G1162" i="97" s="1"/>
  <c r="F65" i="74"/>
  <c r="F1161" i="97" s="1"/>
  <c r="F64" i="82"/>
  <c r="I49" i="74"/>
  <c r="I1145" i="97" s="1"/>
  <c r="J73" i="82"/>
  <c r="K63" i="74"/>
  <c r="K1159" i="97" s="1"/>
  <c r="D75" i="82"/>
  <c r="D76" i="82" s="1"/>
  <c r="E75" i="82"/>
  <c r="E76" i="82" s="1"/>
  <c r="H52" i="74"/>
  <c r="H1148" i="97" s="1"/>
  <c r="F53" i="86"/>
  <c r="I54" i="74" l="1"/>
  <c r="J1143" i="97"/>
  <c r="H1150" i="97"/>
  <c r="H71" i="74"/>
  <c r="H1167" i="97" s="1"/>
  <c r="J1149" i="97"/>
  <c r="G1153" i="97"/>
  <c r="G70" i="74"/>
  <c r="G1166" i="97" s="1"/>
  <c r="G67" i="74"/>
  <c r="G1163" i="97" s="1"/>
  <c r="I1169" i="97"/>
  <c r="J73" i="74"/>
  <c r="F51" i="86"/>
  <c r="F57" i="86" s="1"/>
  <c r="F58" i="86" s="1"/>
  <c r="F60" i="86" s="1"/>
  <c r="F64" i="86" s="1"/>
  <c r="K23" i="86" s="1"/>
  <c r="G50" i="86"/>
  <c r="J1168" i="97"/>
  <c r="K72" i="74"/>
  <c r="K1168" i="97" s="1"/>
  <c r="I52" i="74"/>
  <c r="I1148" i="97" s="1"/>
  <c r="F66" i="82"/>
  <c r="F71" i="82"/>
  <c r="F74" i="82" s="1"/>
  <c r="G53" i="86"/>
  <c r="G64" i="82"/>
  <c r="G65" i="74"/>
  <c r="G1161" i="97" s="1"/>
  <c r="J49" i="74"/>
  <c r="J1145" i="97" s="1"/>
  <c r="C49" i="86"/>
  <c r="K73" i="82"/>
  <c r="B95" i="74"/>
  <c r="B1191" i="97" s="1"/>
  <c r="B78" i="74"/>
  <c r="K56" i="74"/>
  <c r="K47" i="74"/>
  <c r="K48" i="74"/>
  <c r="K1144" i="97" s="1"/>
  <c r="K53" i="74"/>
  <c r="K55" i="74"/>
  <c r="K1151" i="97" s="1"/>
  <c r="H57" i="74"/>
  <c r="H66" i="74" s="1"/>
  <c r="H1162" i="97" s="1"/>
  <c r="J54" i="74" l="1"/>
  <c r="K1143" i="97"/>
  <c r="I1150" i="97"/>
  <c r="I71" i="74"/>
  <c r="I1167" i="97" s="1"/>
  <c r="K1149" i="97"/>
  <c r="H1153" i="97"/>
  <c r="H70" i="74"/>
  <c r="H1166" i="97" s="1"/>
  <c r="H67" i="74"/>
  <c r="H1163" i="97" s="1"/>
  <c r="J1169" i="97"/>
  <c r="K73" i="74"/>
  <c r="O8" i="86" s="1"/>
  <c r="O14" i="86" s="1"/>
  <c r="O33" i="86" s="1"/>
  <c r="H63" i="86" s="1"/>
  <c r="G51" i="86"/>
  <c r="G57" i="86" s="1"/>
  <c r="G58" i="86" s="1"/>
  <c r="G60" i="86" s="1"/>
  <c r="G64" i="86" s="1"/>
  <c r="K24" i="86" s="1"/>
  <c r="B1199" i="97"/>
  <c r="L100" i="85"/>
  <c r="L70" i="85"/>
  <c r="H50" i="86"/>
  <c r="I57" i="74"/>
  <c r="I66" i="74" s="1"/>
  <c r="I1162" i="97" s="1"/>
  <c r="J52" i="74"/>
  <c r="J1148" i="97" s="1"/>
  <c r="C57" i="86"/>
  <c r="C58" i="86" s="1"/>
  <c r="C60" i="86" s="1"/>
  <c r="C64" i="86" s="1"/>
  <c r="K20" i="86" s="1"/>
  <c r="F75" i="82"/>
  <c r="F76" i="82" s="1"/>
  <c r="B88" i="74"/>
  <c r="B79" i="74"/>
  <c r="B80" i="74"/>
  <c r="B1176" i="97" s="1"/>
  <c r="C78" i="74"/>
  <c r="B85" i="74"/>
  <c r="B87" i="74"/>
  <c r="B1183" i="97" s="1"/>
  <c r="H64" i="82"/>
  <c r="H65" i="74"/>
  <c r="H1161" i="97" s="1"/>
  <c r="H53" i="86"/>
  <c r="G66" i="82"/>
  <c r="G71" i="82"/>
  <c r="G74" i="82" s="1"/>
  <c r="K49" i="74"/>
  <c r="K1145" i="97" s="1"/>
  <c r="C95" i="74"/>
  <c r="C1191" i="97" s="1"/>
  <c r="K54" i="74" l="1"/>
  <c r="B1175" i="97"/>
  <c r="J1150" i="97"/>
  <c r="J71" i="74"/>
  <c r="J1167" i="97" s="1"/>
  <c r="B1181" i="97"/>
  <c r="I1153" i="97"/>
  <c r="I67" i="74"/>
  <c r="I1163" i="97" s="1"/>
  <c r="I70" i="74"/>
  <c r="I1166" i="97" s="1"/>
  <c r="K1169" i="97"/>
  <c r="B104" i="74"/>
  <c r="H51" i="86"/>
  <c r="H57" i="86" s="1"/>
  <c r="H58" i="86" s="1"/>
  <c r="H60" i="86" s="1"/>
  <c r="H64" i="86" s="1"/>
  <c r="K25" i="86" s="1"/>
  <c r="C86" i="90"/>
  <c r="F60" i="89"/>
  <c r="C1199" i="97"/>
  <c r="I65" i="74"/>
  <c r="I1161" i="97" s="1"/>
  <c r="J57" i="74"/>
  <c r="J66" i="74" s="1"/>
  <c r="J1162" i="97" s="1"/>
  <c r="I64" i="82"/>
  <c r="I66" i="82" s="1"/>
  <c r="K52" i="74"/>
  <c r="K1148" i="97" s="1"/>
  <c r="B81" i="74"/>
  <c r="B1177" i="97" s="1"/>
  <c r="D95" i="74"/>
  <c r="D1191" i="97" s="1"/>
  <c r="H66" i="82"/>
  <c r="H71" i="82"/>
  <c r="H74" i="82" s="1"/>
  <c r="C79" i="74"/>
  <c r="D78" i="74"/>
  <c r="C88" i="74"/>
  <c r="C80" i="74"/>
  <c r="C1176" i="97" s="1"/>
  <c r="C85" i="74"/>
  <c r="C87" i="74"/>
  <c r="C1183" i="97" s="1"/>
  <c r="G75" i="82"/>
  <c r="G76" i="82" s="1"/>
  <c r="C1175" i="97" l="1"/>
  <c r="B86" i="74"/>
  <c r="K1150" i="97"/>
  <c r="K71" i="74"/>
  <c r="K1167" i="97" s="1"/>
  <c r="C1181" i="97"/>
  <c r="J1153" i="97"/>
  <c r="J67" i="74"/>
  <c r="J1163" i="97" s="1"/>
  <c r="J70" i="74"/>
  <c r="J1166" i="97" s="1"/>
  <c r="B1200" i="97"/>
  <c r="C104" i="74"/>
  <c r="D1199" i="97"/>
  <c r="I71" i="82"/>
  <c r="I74" i="82" s="1"/>
  <c r="I75" i="82" s="1"/>
  <c r="I76" i="82" s="1"/>
  <c r="J65" i="74"/>
  <c r="J1161" i="97" s="1"/>
  <c r="J64" i="82"/>
  <c r="J66" i="82" s="1"/>
  <c r="E78" i="74"/>
  <c r="D79" i="74"/>
  <c r="D80" i="74"/>
  <c r="D1176" i="97" s="1"/>
  <c r="D88" i="74"/>
  <c r="D85" i="74"/>
  <c r="D87" i="74"/>
  <c r="D1183" i="97" s="1"/>
  <c r="C81" i="74"/>
  <c r="C1177" i="97" s="1"/>
  <c r="E95" i="74"/>
  <c r="E1191" i="97" s="1"/>
  <c r="B84" i="74"/>
  <c r="B1180" i="97" s="1"/>
  <c r="H75" i="82"/>
  <c r="H76" i="82" s="1"/>
  <c r="K57" i="74"/>
  <c r="K66" i="74" s="1"/>
  <c r="K1162" i="97" s="1"/>
  <c r="B1182" i="97" l="1"/>
  <c r="B102" i="74"/>
  <c r="B1198" i="97" s="1"/>
  <c r="C86" i="74"/>
  <c r="D1175" i="97"/>
  <c r="D1181" i="97"/>
  <c r="K1153" i="97"/>
  <c r="K67" i="74"/>
  <c r="K1163" i="97" s="1"/>
  <c r="K70" i="74"/>
  <c r="K1166" i="97" s="1"/>
  <c r="C1200" i="97"/>
  <c r="D104" i="74"/>
  <c r="E1199" i="97"/>
  <c r="J71" i="82"/>
  <c r="J74" i="82" s="1"/>
  <c r="J75" i="82" s="1"/>
  <c r="J76" i="82" s="1"/>
  <c r="C84" i="74"/>
  <c r="C1180" i="97" s="1"/>
  <c r="F95" i="74"/>
  <c r="F1191" i="97" s="1"/>
  <c r="K65" i="74"/>
  <c r="K1161" i="97" s="1"/>
  <c r="K64" i="82"/>
  <c r="D81" i="74"/>
  <c r="D1177" i="97" s="1"/>
  <c r="F78" i="74"/>
  <c r="E88" i="74"/>
  <c r="E79" i="74"/>
  <c r="E80" i="74"/>
  <c r="E1176" i="97" s="1"/>
  <c r="E85" i="74"/>
  <c r="E87" i="74"/>
  <c r="E1183" i="97" s="1"/>
  <c r="B89" i="74"/>
  <c r="B97" i="74" s="1"/>
  <c r="B1193" i="97" s="1"/>
  <c r="C1182" i="97" l="1"/>
  <c r="C102" i="74"/>
  <c r="C1198" i="97" s="1"/>
  <c r="E1175" i="97"/>
  <c r="D86" i="74"/>
  <c r="E1181" i="97"/>
  <c r="B1185" i="97"/>
  <c r="B98" i="74"/>
  <c r="B1194" i="97" s="1"/>
  <c r="B101" i="74"/>
  <c r="B1197" i="97" s="1"/>
  <c r="D1200" i="97"/>
  <c r="E104" i="74"/>
  <c r="F1199" i="97"/>
  <c r="B96" i="74"/>
  <c r="B1192" i="97" s="1"/>
  <c r="C89" i="74"/>
  <c r="C97" i="74" s="1"/>
  <c r="C1193" i="97" s="1"/>
  <c r="D84" i="74"/>
  <c r="D1180" i="97" s="1"/>
  <c r="E81" i="74"/>
  <c r="E1177" i="97" s="1"/>
  <c r="K71" i="82"/>
  <c r="K74" i="82" s="1"/>
  <c r="K66" i="82"/>
  <c r="F88" i="74"/>
  <c r="G78" i="74"/>
  <c r="F80" i="74"/>
  <c r="F1176" i="97" s="1"/>
  <c r="F79" i="74"/>
  <c r="F85" i="74"/>
  <c r="F87" i="74"/>
  <c r="F1183" i="97" s="1"/>
  <c r="G95" i="74"/>
  <c r="G1191" i="97" s="1"/>
  <c r="E86" i="74" l="1"/>
  <c r="E1182" i="97" s="1"/>
  <c r="F1175" i="97"/>
  <c r="D1182" i="97"/>
  <c r="D102" i="74"/>
  <c r="D1198" i="97" s="1"/>
  <c r="F1181" i="97"/>
  <c r="C1185" i="97"/>
  <c r="C98" i="74"/>
  <c r="C1194" i="97" s="1"/>
  <c r="C101" i="74"/>
  <c r="C1197" i="97" s="1"/>
  <c r="E1200" i="97"/>
  <c r="F104" i="74"/>
  <c r="G1199" i="97"/>
  <c r="C96" i="74"/>
  <c r="C1192" i="97" s="1"/>
  <c r="E84" i="74"/>
  <c r="E1180" i="97" s="1"/>
  <c r="G79" i="74"/>
  <c r="G88" i="74"/>
  <c r="G80" i="74"/>
  <c r="G1176" i="97" s="1"/>
  <c r="H78" i="74"/>
  <c r="G85" i="74"/>
  <c r="G87" i="74"/>
  <c r="G1183" i="97" s="1"/>
  <c r="K75" i="82"/>
  <c r="K76" i="82" s="1"/>
  <c r="H95" i="74"/>
  <c r="H1191" i="97" s="1"/>
  <c r="F81" i="74"/>
  <c r="F1177" i="97" s="1"/>
  <c r="D89" i="74"/>
  <c r="D97" i="74" s="1"/>
  <c r="D1193" i="97" s="1"/>
  <c r="E102" i="74" l="1"/>
  <c r="E1198" i="97" s="1"/>
  <c r="G1175" i="97"/>
  <c r="F86" i="74"/>
  <c r="G1181" i="97"/>
  <c r="D1185" i="97"/>
  <c r="D98" i="74"/>
  <c r="D1194" i="97" s="1"/>
  <c r="D101" i="74"/>
  <c r="D1197" i="97" s="1"/>
  <c r="F1200" i="97"/>
  <c r="G104" i="74"/>
  <c r="H1199" i="97"/>
  <c r="D96" i="74"/>
  <c r="D1192" i="97" s="1"/>
  <c r="E89" i="74"/>
  <c r="E97" i="74" s="1"/>
  <c r="E1193" i="97" s="1"/>
  <c r="F84" i="74"/>
  <c r="F1180" i="97" s="1"/>
  <c r="H88" i="74"/>
  <c r="H80" i="74"/>
  <c r="H1176" i="97" s="1"/>
  <c r="H79" i="74"/>
  <c r="I78" i="74"/>
  <c r="H85" i="74"/>
  <c r="H87" i="74"/>
  <c r="H1183" i="97" s="1"/>
  <c r="G81" i="74"/>
  <c r="G1177" i="97" s="1"/>
  <c r="I95" i="74"/>
  <c r="I1191" i="97" s="1"/>
  <c r="G86" i="74" l="1"/>
  <c r="G1182" i="97" s="1"/>
  <c r="F1182" i="97"/>
  <c r="F102" i="74"/>
  <c r="F1198" i="97" s="1"/>
  <c r="H1175" i="97"/>
  <c r="H1181" i="97"/>
  <c r="E1185" i="97"/>
  <c r="E98" i="74"/>
  <c r="E1194" i="97" s="1"/>
  <c r="E101" i="74"/>
  <c r="E1197" i="97" s="1"/>
  <c r="G1200" i="97"/>
  <c r="H104" i="74"/>
  <c r="I1199" i="97"/>
  <c r="E96" i="74"/>
  <c r="E1192" i="97" s="1"/>
  <c r="F89" i="74"/>
  <c r="F97" i="74" s="1"/>
  <c r="F1193" i="97" s="1"/>
  <c r="G84" i="74"/>
  <c r="G1180" i="97" s="1"/>
  <c r="I88" i="74"/>
  <c r="I79" i="74"/>
  <c r="J78" i="74"/>
  <c r="I80" i="74"/>
  <c r="I1176" i="97" s="1"/>
  <c r="I85" i="74"/>
  <c r="I87" i="74"/>
  <c r="I1183" i="97" s="1"/>
  <c r="H81" i="74"/>
  <c r="H1177" i="97" s="1"/>
  <c r="J95" i="74"/>
  <c r="J1191" i="97" s="1"/>
  <c r="G102" i="74" l="1"/>
  <c r="G1198" i="97" s="1"/>
  <c r="H86" i="74"/>
  <c r="H1182" i="97" s="1"/>
  <c r="I1175" i="97"/>
  <c r="I1181" i="97"/>
  <c r="F1185" i="97"/>
  <c r="F101" i="74"/>
  <c r="F1197" i="97" s="1"/>
  <c r="F98" i="74"/>
  <c r="F1194" i="97" s="1"/>
  <c r="H1200" i="97"/>
  <c r="I104" i="74"/>
  <c r="J1199" i="97"/>
  <c r="F96" i="74"/>
  <c r="F1192" i="97" s="1"/>
  <c r="J80" i="74"/>
  <c r="J1176" i="97" s="1"/>
  <c r="K78" i="74"/>
  <c r="J79" i="74"/>
  <c r="J88" i="74"/>
  <c r="J85" i="74"/>
  <c r="J87" i="74"/>
  <c r="J1183" i="97" s="1"/>
  <c r="I81" i="74"/>
  <c r="I1177" i="97" s="1"/>
  <c r="K95" i="74"/>
  <c r="K1191" i="97" s="1"/>
  <c r="G89" i="74"/>
  <c r="G97" i="74" s="1"/>
  <c r="G1193" i="97" s="1"/>
  <c r="H84" i="74"/>
  <c r="H1180" i="97" s="1"/>
  <c r="H102" i="74" l="1"/>
  <c r="H1198" i="97" s="1"/>
  <c r="I86" i="74"/>
  <c r="J1175" i="97"/>
  <c r="J1181" i="97"/>
  <c r="G1185" i="97"/>
  <c r="G98" i="74"/>
  <c r="G1194" i="97" s="1"/>
  <c r="G101" i="74"/>
  <c r="G1197" i="97" s="1"/>
  <c r="I1200" i="97"/>
  <c r="J104" i="74"/>
  <c r="K1199" i="97"/>
  <c r="G96" i="74"/>
  <c r="G1192" i="97" s="1"/>
  <c r="H89" i="74"/>
  <c r="H97" i="74" s="1"/>
  <c r="H1193" i="97" s="1"/>
  <c r="J81" i="74"/>
  <c r="J1177" i="97" s="1"/>
  <c r="B125" i="74"/>
  <c r="B1221" i="97" s="1"/>
  <c r="K80" i="74"/>
  <c r="K1176" i="97" s="1"/>
  <c r="B108" i="74"/>
  <c r="K88" i="74"/>
  <c r="K79" i="74"/>
  <c r="K85" i="74"/>
  <c r="K87" i="74"/>
  <c r="K1183" i="97" s="1"/>
  <c r="I84" i="74"/>
  <c r="I1180" i="97" s="1"/>
  <c r="J86" i="74" l="1"/>
  <c r="J1182" i="97" s="1"/>
  <c r="K1175" i="97"/>
  <c r="I1182" i="97"/>
  <c r="I102" i="74"/>
  <c r="I1198" i="97" s="1"/>
  <c r="K1181" i="97"/>
  <c r="H1185" i="97"/>
  <c r="H101" i="74"/>
  <c r="H1197" i="97" s="1"/>
  <c r="H98" i="74"/>
  <c r="H1194" i="97" s="1"/>
  <c r="J1200" i="97"/>
  <c r="K104" i="74"/>
  <c r="B133" i="74"/>
  <c r="B1229" i="97" s="1"/>
  <c r="H96" i="74"/>
  <c r="H1192" i="97" s="1"/>
  <c r="J84" i="74"/>
  <c r="J1180" i="97" s="1"/>
  <c r="K81" i="74"/>
  <c r="K1177" i="97" s="1"/>
  <c r="C125" i="74"/>
  <c r="C1221" i="97" s="1"/>
  <c r="I89" i="74"/>
  <c r="I97" i="74" s="1"/>
  <c r="I1193" i="97" s="1"/>
  <c r="B109" i="74"/>
  <c r="C108" i="74"/>
  <c r="B110" i="74"/>
  <c r="B1206" i="97" s="1"/>
  <c r="B118" i="74"/>
  <c r="B115" i="74"/>
  <c r="B117" i="74"/>
  <c r="B1213" i="97" s="1"/>
  <c r="J102" i="74" l="1"/>
  <c r="J1198" i="97" s="1"/>
  <c r="B1205" i="97"/>
  <c r="K86" i="74"/>
  <c r="B1211" i="97"/>
  <c r="I1185" i="97"/>
  <c r="I101" i="74"/>
  <c r="I1197" i="97" s="1"/>
  <c r="I98" i="74"/>
  <c r="I1194" i="97" s="1"/>
  <c r="K1200" i="97"/>
  <c r="B134" i="74"/>
  <c r="C133" i="74"/>
  <c r="C1229" i="97" s="1"/>
  <c r="I96" i="74"/>
  <c r="I1192" i="97" s="1"/>
  <c r="J89" i="74"/>
  <c r="J97" i="74" s="1"/>
  <c r="J1193" i="97" s="1"/>
  <c r="K84" i="74"/>
  <c r="K1180" i="97" s="1"/>
  <c r="D108" i="74"/>
  <c r="C109" i="74"/>
  <c r="C118" i="74"/>
  <c r="C110" i="74"/>
  <c r="C1206" i="97" s="1"/>
  <c r="C115" i="74"/>
  <c r="C117" i="74"/>
  <c r="C1213" i="97" s="1"/>
  <c r="D125" i="74"/>
  <c r="D1221" i="97" s="1"/>
  <c r="B111" i="74"/>
  <c r="B1207" i="97" s="1"/>
  <c r="C1205" i="97" l="1"/>
  <c r="K1182" i="97"/>
  <c r="K102" i="74"/>
  <c r="K1198" i="97" s="1"/>
  <c r="B116" i="74"/>
  <c r="C1211" i="97"/>
  <c r="J1185" i="97"/>
  <c r="J98" i="74"/>
  <c r="J1194" i="97" s="1"/>
  <c r="J101" i="74"/>
  <c r="J1197" i="97" s="1"/>
  <c r="B1230" i="97"/>
  <c r="C134" i="74"/>
  <c r="D133" i="74"/>
  <c r="D1229" i="97" s="1"/>
  <c r="K89" i="74"/>
  <c r="K97" i="74" s="1"/>
  <c r="K1193" i="97" s="1"/>
  <c r="J96" i="74"/>
  <c r="J1192" i="97" s="1"/>
  <c r="B114" i="74"/>
  <c r="B1210" i="97" s="1"/>
  <c r="C111" i="74"/>
  <c r="C1207" i="97" s="1"/>
  <c r="E125" i="74"/>
  <c r="E1221" i="97" s="1"/>
  <c r="D118" i="74"/>
  <c r="D109" i="74"/>
  <c r="E108" i="74"/>
  <c r="D110" i="74"/>
  <c r="D1206" i="97" s="1"/>
  <c r="D115" i="74"/>
  <c r="D117" i="74"/>
  <c r="D1213" i="97" s="1"/>
  <c r="D1205" i="97" l="1"/>
  <c r="C116" i="74"/>
  <c r="B1212" i="97"/>
  <c r="B132" i="74"/>
  <c r="B1228" i="97" s="1"/>
  <c r="D1211" i="97"/>
  <c r="K1185" i="97"/>
  <c r="K98" i="74"/>
  <c r="K1194" i="97" s="1"/>
  <c r="K101" i="74"/>
  <c r="K1197" i="97" s="1"/>
  <c r="C1230" i="97"/>
  <c r="D134" i="74"/>
  <c r="E133" i="74"/>
  <c r="E1229" i="97" s="1"/>
  <c r="K96" i="74"/>
  <c r="K1192" i="97" s="1"/>
  <c r="B119" i="74"/>
  <c r="B127" i="74" s="1"/>
  <c r="B1223" i="97" s="1"/>
  <c r="C114" i="74"/>
  <c r="C1210" i="97" s="1"/>
  <c r="F125" i="74"/>
  <c r="F1221" i="97" s="1"/>
  <c r="F108" i="74"/>
  <c r="E109" i="74"/>
  <c r="E118" i="74"/>
  <c r="E110" i="74"/>
  <c r="E1206" i="97" s="1"/>
  <c r="E115" i="74"/>
  <c r="E117" i="74"/>
  <c r="E1213" i="97" s="1"/>
  <c r="D111" i="74"/>
  <c r="D1207" i="97" s="1"/>
  <c r="E1205" i="97" l="1"/>
  <c r="C1212" i="97"/>
  <c r="C132" i="74"/>
  <c r="C1228" i="97" s="1"/>
  <c r="D116" i="74"/>
  <c r="E1211" i="97"/>
  <c r="B1215" i="97"/>
  <c r="B131" i="74"/>
  <c r="B1227" i="97" s="1"/>
  <c r="B128" i="74"/>
  <c r="B1224" i="97" s="1"/>
  <c r="D1230" i="97"/>
  <c r="E134" i="74"/>
  <c r="F133" i="74"/>
  <c r="F1229" i="97" s="1"/>
  <c r="B126" i="74"/>
  <c r="B1222" i="97" s="1"/>
  <c r="C119" i="74"/>
  <c r="C127" i="74" s="1"/>
  <c r="C1223" i="97" s="1"/>
  <c r="E111" i="74"/>
  <c r="E1207" i="97" s="1"/>
  <c r="F118" i="74"/>
  <c r="F110" i="74"/>
  <c r="F1206" i="97" s="1"/>
  <c r="F109" i="74"/>
  <c r="F115" i="74"/>
  <c r="F117" i="74"/>
  <c r="F1213" i="97" s="1"/>
  <c r="D114" i="74"/>
  <c r="D1210" i="97" s="1"/>
  <c r="F1205" i="97" l="1"/>
  <c r="E116" i="74"/>
  <c r="D1212" i="97"/>
  <c r="D132" i="74"/>
  <c r="D1228" i="97" s="1"/>
  <c r="F1211" i="97"/>
  <c r="C1215" i="97"/>
  <c r="C128" i="74"/>
  <c r="C1224" i="97" s="1"/>
  <c r="C131" i="74"/>
  <c r="C1227" i="97" s="1"/>
  <c r="E1230" i="97"/>
  <c r="F134" i="74"/>
  <c r="F1230" i="97" s="1"/>
  <c r="C126" i="74"/>
  <c r="C1222" i="97" s="1"/>
  <c r="E114" i="74"/>
  <c r="E1210" i="97" s="1"/>
  <c r="F111" i="74"/>
  <c r="F1207" i="97" s="1"/>
  <c r="D119" i="74"/>
  <c r="D127" i="74" s="1"/>
  <c r="D1223" i="97" s="1"/>
  <c r="E1212" i="97" l="1"/>
  <c r="E132" i="74"/>
  <c r="E1228" i="97" s="1"/>
  <c r="F116" i="74"/>
  <c r="D1215" i="97"/>
  <c r="D131" i="74"/>
  <c r="D1227" i="97" s="1"/>
  <c r="D128" i="74"/>
  <c r="D1224" i="97" s="1"/>
  <c r="D126" i="74"/>
  <c r="D1222" i="97" s="1"/>
  <c r="E119" i="74"/>
  <c r="E127" i="74" s="1"/>
  <c r="E1223" i="97" s="1"/>
  <c r="F114" i="74"/>
  <c r="F1210" i="97" s="1"/>
  <c r="F1212" i="97" l="1"/>
  <c r="F132" i="74"/>
  <c r="F1228" i="97" s="1"/>
  <c r="E1215" i="97"/>
  <c r="E128" i="74"/>
  <c r="E1224" i="97" s="1"/>
  <c r="E131" i="74"/>
  <c r="E1227" i="97" s="1"/>
  <c r="E126" i="74"/>
  <c r="E1222" i="97" s="1"/>
  <c r="F119" i="74"/>
  <c r="F127" i="74" s="1"/>
  <c r="F1223" i="97" s="1"/>
  <c r="F1215" i="97" l="1"/>
  <c r="F131" i="74"/>
  <c r="F1227" i="97" s="1"/>
  <c r="F128" i="74"/>
  <c r="F1224" i="97" s="1"/>
  <c r="F126" i="74"/>
  <c r="F1222" i="97" s="1"/>
  <c r="E19" i="72" l="1"/>
  <c r="E1738" i="97" s="1"/>
  <c r="L185" i="72"/>
  <c r="E24" i="72" l="1"/>
  <c r="E25" i="72" l="1"/>
  <c r="E1744" i="97" s="1"/>
  <c r="E20" i="72" l="1"/>
  <c r="O228" i="72"/>
  <c r="O1947" i="97" s="1"/>
  <c r="O2120" i="97" s="1"/>
  <c r="O1725" i="97" s="1"/>
  <c r="P228" i="72"/>
  <c r="P401" i="72" l="1"/>
  <c r="P6" i="72" s="1"/>
  <c r="O401" i="72"/>
  <c r="O6" i="72" s="1"/>
  <c r="E23" i="72"/>
  <c r="E1742" i="97" s="1"/>
  <c r="E14" i="86" l="1"/>
  <c r="F14" i="86"/>
  <c r="G14" i="86"/>
  <c r="H14" i="86"/>
  <c r="I14" i="86"/>
  <c r="C34" i="86"/>
  <c r="D34" i="86"/>
  <c r="E34" i="86"/>
  <c r="D1128" i="97"/>
  <c r="E1128" i="97"/>
  <c r="F1128" i="97"/>
  <c r="G1128" i="97"/>
  <c r="H1128" i="97"/>
  <c r="I1128" i="97"/>
  <c r="J1128" i="97"/>
  <c r="K1128" i="97"/>
  <c r="D33" i="74"/>
  <c r="D1129" i="97" s="1"/>
  <c r="E33" i="74"/>
  <c r="E1129" i="97" s="1"/>
  <c r="F33" i="74"/>
  <c r="F1129" i="97" s="1"/>
  <c r="G33" i="74"/>
  <c r="H9" i="86" s="1"/>
  <c r="H33" i="74"/>
  <c r="H1129" i="97" s="1"/>
  <c r="I33" i="74"/>
  <c r="I1129" i="97" s="1"/>
  <c r="J33" i="74"/>
  <c r="D29" i="86" s="1"/>
  <c r="K33" i="74"/>
  <c r="E29" i="86" s="1"/>
  <c r="H17" i="86" l="1"/>
  <c r="H18" i="86" s="1"/>
  <c r="H20" i="86" s="1"/>
  <c r="H24" i="86" s="1"/>
  <c r="K11" i="86" s="1"/>
  <c r="E37" i="86"/>
  <c r="E38" i="86" s="1"/>
  <c r="E40" i="86" s="1"/>
  <c r="E44" i="86" s="1"/>
  <c r="K15" i="86" s="1"/>
  <c r="D37" i="86"/>
  <c r="D38" i="86" s="1"/>
  <c r="D40" i="86" s="1"/>
  <c r="D44" i="86" s="1"/>
  <c r="K14" i="86" s="1"/>
  <c r="K1129" i="97"/>
  <c r="G1129" i="97"/>
  <c r="C29" i="86"/>
  <c r="G9" i="86"/>
  <c r="J1129" i="97"/>
  <c r="F9" i="86"/>
  <c r="I9" i="86"/>
  <c r="E9" i="86"/>
  <c r="E17" i="86" l="1"/>
  <c r="E18" i="86" s="1"/>
  <c r="E20" i="86" s="1"/>
  <c r="E24" i="86" s="1"/>
  <c r="K8" i="86" s="1"/>
  <c r="G17" i="86"/>
  <c r="G18" i="86" s="1"/>
  <c r="G20" i="86" s="1"/>
  <c r="G24" i="86" s="1"/>
  <c r="K10" i="86" s="1"/>
  <c r="I17" i="86"/>
  <c r="I18" i="86" s="1"/>
  <c r="I20" i="86" s="1"/>
  <c r="I24" i="86" s="1"/>
  <c r="K12" i="86" s="1"/>
  <c r="C37" i="86"/>
  <c r="C38" i="86" s="1"/>
  <c r="C40" i="86" s="1"/>
  <c r="C44" i="86" s="1"/>
  <c r="K13" i="86" s="1"/>
  <c r="F17" i="86"/>
  <c r="F18" i="86" s="1"/>
  <c r="F20" i="86" s="1"/>
  <c r="F24" i="86" s="1"/>
  <c r="K9" i="86" s="1"/>
  <c r="D14" i="86"/>
  <c r="C1128" i="97"/>
  <c r="R1119" i="97" s="1"/>
  <c r="R22" i="74"/>
  <c r="R23" i="74"/>
  <c r="R24" i="74"/>
  <c r="R25" i="74"/>
  <c r="R26" i="74"/>
  <c r="R27" i="74"/>
  <c r="R28" i="74"/>
  <c r="R29" i="74"/>
  <c r="R30" i="74"/>
  <c r="R31" i="74"/>
  <c r="R32" i="74"/>
  <c r="C33" i="74"/>
  <c r="S22" i="74" s="1"/>
  <c r="R33" i="74"/>
  <c r="R34" i="74"/>
  <c r="R35" i="74"/>
  <c r="I47" i="68" s="1"/>
  <c r="R36" i="74"/>
  <c r="R37" i="74"/>
  <c r="R38" i="74"/>
  <c r="R39" i="74"/>
  <c r="R40" i="74"/>
  <c r="C1140" i="97" l="1"/>
  <c r="S37" i="74"/>
  <c r="S39" i="74"/>
  <c r="R1132" i="97"/>
  <c r="R1136" i="97"/>
  <c r="R1134" i="97"/>
  <c r="R1128" i="97"/>
  <c r="S35" i="74"/>
  <c r="F47" i="68" s="1"/>
  <c r="L47" i="68" s="1"/>
  <c r="L481" i="97" s="1"/>
  <c r="R1131" i="97"/>
  <c r="S40" i="74"/>
  <c r="S38" i="74"/>
  <c r="S36" i="74"/>
  <c r="S34" i="74"/>
  <c r="R1135" i="97"/>
  <c r="R1130" i="97"/>
  <c r="S33" i="74"/>
  <c r="R1133" i="97"/>
  <c r="R1129" i="97"/>
  <c r="E1140" i="97"/>
  <c r="I481" i="97"/>
  <c r="S31" i="74"/>
  <c r="S29" i="74"/>
  <c r="S27" i="74"/>
  <c r="S25" i="74"/>
  <c r="S23" i="74"/>
  <c r="R1126" i="97"/>
  <c r="R1124" i="97"/>
  <c r="R1122" i="97"/>
  <c r="R1120" i="97"/>
  <c r="R1118" i="97"/>
  <c r="C1129" i="97"/>
  <c r="D9" i="86"/>
  <c r="D1140" i="97"/>
  <c r="S32" i="74"/>
  <c r="S30" i="74"/>
  <c r="S28" i="74"/>
  <c r="S26" i="74"/>
  <c r="S24" i="74"/>
  <c r="R1127" i="97"/>
  <c r="R1125" i="97"/>
  <c r="R1123" i="97"/>
  <c r="R1121" i="97"/>
  <c r="F481" i="97" l="1"/>
  <c r="D17" i="86"/>
  <c r="D18" i="86" s="1"/>
  <c r="D20" i="86" s="1"/>
  <c r="D24" i="86" s="1"/>
  <c r="K7" i="86" s="1"/>
  <c r="F85" i="92"/>
  <c r="F89" i="92" s="1"/>
  <c r="F105" i="92" s="1"/>
  <c r="F1140" i="97"/>
  <c r="S1128" i="97"/>
  <c r="S1118" i="97"/>
  <c r="S1124" i="97"/>
  <c r="S1129" i="97"/>
  <c r="S1131" i="97"/>
  <c r="S1133" i="97"/>
  <c r="S1119" i="97"/>
  <c r="S1121" i="97"/>
  <c r="S1123" i="97"/>
  <c r="S1125" i="97"/>
  <c r="S1127" i="97"/>
  <c r="S1130" i="97"/>
  <c r="S1132" i="97"/>
  <c r="S1134" i="97"/>
  <c r="S1136" i="97"/>
  <c r="S1135" i="97"/>
  <c r="S1120" i="97"/>
  <c r="S1122" i="97"/>
  <c r="S1126" i="97"/>
  <c r="G1140" i="97" l="1"/>
  <c r="H1140" i="97" l="1"/>
  <c r="I1140" i="97" l="1"/>
  <c r="J1140" i="97" l="1"/>
  <c r="K1140" i="97" l="1"/>
  <c r="B1172" i="97" l="1"/>
  <c r="C1172" i="97" l="1"/>
  <c r="D1172" i="97" l="1"/>
  <c r="E1172" i="97" l="1"/>
  <c r="F1172" i="97" l="1"/>
  <c r="G1172" i="97" l="1"/>
  <c r="H1172" i="97" l="1"/>
  <c r="I1172" i="97" l="1"/>
  <c r="K1172" i="97" l="1"/>
  <c r="J1172" i="9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<sst xmlns="http://schemas.openxmlformats.org/spreadsheetml/2006/main" count="19961" uniqueCount="7198">
  <si>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</si>
  <si>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</si>
  <si>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</si>
  <si>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</si>
  <si>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</si>
  <si>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</si>
  <si>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</si>
  <si>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</si>
  <si>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</si>
  <si>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</si>
  <si>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</si>
  <si>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</si>
  <si>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</si>
  <si>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</si>
  <si>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</si>
  <si>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</si>
  <si>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</si>
  <si>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</si>
  <si>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</si>
  <si>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</si>
  <si>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</si>
  <si>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</si>
  <si>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</si>
  <si>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</si>
  <si>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</si>
  <si>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</si>
  <si>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</si>
  <si>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</si>
  <si>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</si>
  <si>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</si>
  <si>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</si>
  <si>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</si>
  <si>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</si>
  <si>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</si>
  <si>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</si>
  <si>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</si>
  <si>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</si>
  <si>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</si>
  <si>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</si>
  <si>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</si>
  <si>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</si>
  <si>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</si>
  <si>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</si>
  <si>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</si>
  <si>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</si>
  <si>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</si>
  <si>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</si>
  <si>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</si>
  <si>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</si>
  <si>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</si>
  <si>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</si>
  <si>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</si>
  <si>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</si>
  <si>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</si>
  <si>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</si>
  <si>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</si>
  <si>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</si>
  <si>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</si>
  <si>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</si>
  <si>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</si>
  <si>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</si>
  <si>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</si>
  <si>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</si>
  <si>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</si>
  <si>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</si>
  <si>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</si>
  <si>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</si>
  <si>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</si>
  <si>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</si>
  <si>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</si>
  <si>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</si>
  <si>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</si>
  <si>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</si>
  <si>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</si>
  <si>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</si>
  <si>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</si>
  <si>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</si>
  <si>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</si>
  <si>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</si>
  <si>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</si>
  <si>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</si>
  <si>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</si>
  <si>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</si>
  <si>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</si>
  <si>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</si>
  <si>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</si>
  <si>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</si>
  <si>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</si>
  <si>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</si>
  <si>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</si>
  <si>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</si>
  <si>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</si>
  <si>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</si>
  <si>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</si>
  <si>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</si>
  <si>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</si>
  <si>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</si>
  <si>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</si>
  <si>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</si>
  <si>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</si>
  <si>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</si>
  <si>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</si>
  <si>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</si>
  <si>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</si>
  <si>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</si>
  <si>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</si>
  <si>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</si>
  <si>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</si>
  <si>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</si>
  <si>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</si>
  <si>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</si>
  <si>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</si>
  <si>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</si>
  <si>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</si>
  <si>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</si>
  <si>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</si>
  <si>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</si>
  <si>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</si>
  <si>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</si>
  <si>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</si>
  <si>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</si>
  <si>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</si>
  <si>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</si>
  <si>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</si>
  <si>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</si>
  <si>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</si>
  <si>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</si>
  <si>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</si>
  <si>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</si>
  <si>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</si>
  <si>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</si>
  <si>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</si>
  <si>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</si>
  <si>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</si>
  <si>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</si>
  <si>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</si>
  <si>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</si>
  <si>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</si>
  <si>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</si>
  <si>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</si>
  <si>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</si>
  <si>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</si>
  <si>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</si>
  <si>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</si>
  <si>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</si>
  <si>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</si>
  <si>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</si>
  <si>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</si>
  <si>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</si>
  <si>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</si>
  <si>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</si>
  <si>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</si>
  <si>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</si>
  <si>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</si>
  <si>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</si>
  <si>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</si>
  <si>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</si>
  <si>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</si>
  <si>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</si>
  <si>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</si>
  <si>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</si>
  <si>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</si>
  <si>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</si>
  <si>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</si>
  <si>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</si>
  <si>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</si>
  <si>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</si>
  <si>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</si>
  <si>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</si>
  <si>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</si>
  <si>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</si>
  <si>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</si>
  <si>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</si>
  <si>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</si>
  <si>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</si>
  <si>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</si>
  <si>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</si>
  <si>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</si>
  <si>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</si>
  <si>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</si>
  <si>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</si>
  <si>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</si>
  <si>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</si>
  <si>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</si>
  <si>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</si>
  <si>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</si>
  <si>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</si>
  <si>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</si>
  <si>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</si>
  <si>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</si>
  <si>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</si>
  <si>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</si>
  <si>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</si>
  <si>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</si>
  <si>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</si>
  <si>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</si>
  <si>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</si>
  <si>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</si>
  <si>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</si>
  <si>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</si>
  <si>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</si>
  <si>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</si>
  <si>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</si>
  <si>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</si>
  <si>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</si>
  <si>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</si>
  <si>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</si>
  <si>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</si>
  <si>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</si>
  <si>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</si>
  <si>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</si>
  <si>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</si>
  <si>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</si>
  <si>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</si>
  <si>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</si>
  <si>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</si>
  <si>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</si>
  <si>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</si>
  <si>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</si>
  <si>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</si>
  <si>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</si>
  <si>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</si>
  <si>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</si>
  <si>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</si>
  <si>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</si>
  <si>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</si>
  <si>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</si>
  <si>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</si>
  <si>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</si>
  <si>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</si>
  <si>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</si>
  <si>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</si>
  <si>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</si>
  <si>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</si>
  <si>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</si>
  <si>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</si>
  <si>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</si>
  <si>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</si>
  <si>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</si>
  <si>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</si>
  <si>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</si>
  <si>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</si>
  <si>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</si>
  <si>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</si>
  <si>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</si>
  <si>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</si>
  <si>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</si>
  <si>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</si>
  <si>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</si>
  <si>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</si>
  <si>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</si>
  <si>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</si>
  <si>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</si>
  <si>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</si>
  <si>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</si>
  <si>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</si>
  <si>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</si>
  <si>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</si>
  <si>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</si>
  <si>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</si>
  <si>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</si>
  <si>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</si>
  <si>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</si>
  <si>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</si>
  <si>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</si>
  <si>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</si>
  <si>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</si>
  <si>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</si>
  <si>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</si>
  <si>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</si>
  <si>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</si>
  <si>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</si>
  <si>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</si>
  <si>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</si>
  <si>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</si>
  <si>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</si>
  <si>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</si>
  <si>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</si>
  <si>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</si>
  <si>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</si>
  <si>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</si>
  <si>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</si>
  <si>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</si>
  <si>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</si>
  <si>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</si>
  <si>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</si>
  <si>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</si>
  <si>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</si>
  <si>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</si>
  <si>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</si>
  <si>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</si>
  <si>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</si>
  <si>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</si>
  <si>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</si>
  <si>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</si>
  <si>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</si>
  <si>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</si>
  <si>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</si>
  <si>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</si>
  <si>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</si>
  <si>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</si>
  <si>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</si>
  <si>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</si>
  <si>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</si>
  <si>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</si>
  <si>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</si>
  <si>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</si>
  <si>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</si>
  <si>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</si>
  <si>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</si>
  <si>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</si>
  <si>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</si>
  <si>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</si>
  <si>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</si>
  <si>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</si>
  <si>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</si>
  <si>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</si>
  <si>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</si>
  <si>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</si>
  <si>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</si>
  <si>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</si>
  <si>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</si>
  <si>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</si>
  <si>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</si>
  <si>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</si>
  <si>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</si>
  <si>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</si>
  <si>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</si>
  <si>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</si>
  <si>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</si>
  <si>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</si>
  <si>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</si>
  <si>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</si>
  <si>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</si>
  <si>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</si>
  <si>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</si>
  <si>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</si>
  <si>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</si>
  <si>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</si>
  <si>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</si>
  <si>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</si>
  <si>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</si>
  <si>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</si>
  <si>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</si>
  <si>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</si>
  <si>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</si>
  <si>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</si>
  <si>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</si>
  <si>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</si>
  <si>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</si>
  <si>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</si>
  <si>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</si>
  <si>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</si>
  <si>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</si>
  <si>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</si>
  <si>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</si>
  <si>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</si>
  <si>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</si>
  <si>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</si>
  <si>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</si>
  <si>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</si>
  <si>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</si>
  <si>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</si>
  <si>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</si>
  <si>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</si>
  <si>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</si>
  <si>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</si>
  <si>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</si>
  <si>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</si>
  <si>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</si>
  <si>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</si>
  <si>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</si>
  <si>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</si>
  <si>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</si>
  <si>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</si>
  <si>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</si>
  <si>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</si>
  <si>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</si>
  <si>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</si>
  <si>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</si>
  <si>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</si>
  <si>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</si>
  <si>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</si>
  <si>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</si>
  <si>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</si>
  <si>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</si>
  <si>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</si>
  <si>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</si>
  <si>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</si>
  <si>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</si>
  <si>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</si>
  <si>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</si>
  <si>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</si>
  <si>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</si>
  <si>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</si>
  <si>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</si>
  <si>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</si>
  <si>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</si>
  <si>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</si>
  <si>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</si>
  <si>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</si>
  <si>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</si>
  <si>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</si>
  <si>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</si>
  <si>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</si>
  <si>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</si>
  <si>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</si>
  <si>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</si>
  <si>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</si>
  <si>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</si>
  <si>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</si>
  <si>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</si>
  <si>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</si>
  <si>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</si>
  <si>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</si>
  <si>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</si>
  <si>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</si>
  <si>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</si>
  <si>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</si>
  <si>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</si>
  <si>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</si>
  <si>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</si>
  <si>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</si>
  <si>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</si>
  <si>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</si>
  <si>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</si>
  <si>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</si>
  <si>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</si>
  <si>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</si>
  <si>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</si>
  <si>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</si>
  <si>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</si>
  <si>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</si>
  <si>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</si>
  <si>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</si>
  <si>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</si>
  <si>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</si>
  <si>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</si>
  <si>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</si>
  <si>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</si>
  <si>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</si>
  <si>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</si>
  <si>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</si>
  <si>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</si>
  <si>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</si>
  <si>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</si>
  <si>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</si>
  <si>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</si>
  <si>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</si>
  <si>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</si>
  <si>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</si>
  <si>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</si>
  <si>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</si>
  <si>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</si>
  <si>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</si>
  <si>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</si>
  <si>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</si>
  <si>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</si>
  <si>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</si>
  <si>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</si>
  <si>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</si>
  <si>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</si>
  <si>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</si>
  <si>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</si>
  <si>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</si>
  <si>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</si>
  <si>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</si>
  <si>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</si>
  <si>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</si>
  <si>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</si>
  <si>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</si>
  <si>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</si>
  <si>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</si>
  <si>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</si>
  <si>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</si>
  <si>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</si>
  <si>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</si>
  <si>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</si>
  <si>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</si>
  <si>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</si>
  <si>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</si>
  <si>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</si>
  <si>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</si>
  <si>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</si>
  <si>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</si>
  <si>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</si>
  <si>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</si>
  <si>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</si>
  <si>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</si>
  <si>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</si>
  <si>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</si>
  <si>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</si>
  <si>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</si>
  <si>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</si>
  <si>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</si>
  <si>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</si>
  <si>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</si>
  <si>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</si>
  <si>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</si>
  <si>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</si>
  <si>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</si>
  <si>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</si>
  <si>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</si>
  <si>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</si>
  <si>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</si>
  <si>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</si>
  <si>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</si>
  <si>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</si>
  <si>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</si>
  <si>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</si>
  <si>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</si>
  <si>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</si>
  <si>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</si>
  <si>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</si>
  <si>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</si>
  <si>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</si>
  <si>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</si>
  <si>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</si>
  <si>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</si>
  <si>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</si>
  <si>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</si>
  <si>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</si>
  <si>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</si>
  <si>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</si>
  <si>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</si>
  <si>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</si>
  <si>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</si>
  <si>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</si>
  <si>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</si>
  <si>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</si>
  <si>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</si>
  <si>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</si>
  <si>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</si>
  <si>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</si>
  <si>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</si>
  <si>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</si>
  <si>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</si>
  <si>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</si>
  <si>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</si>
  <si>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</si>
  <si>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</si>
  <si>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</si>
  <si>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</si>
  <si>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</si>
  <si>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</si>
  <si>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</si>
  <si>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</si>
  <si>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</si>
  <si>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</si>
  <si>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</si>
  <si>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</si>
  <si>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</si>
  <si>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</si>
  <si>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</si>
  <si>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</si>
  <si>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</si>
  <si>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</si>
  <si>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</si>
  <si>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</si>
  <si>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</si>
  <si>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</si>
  <si>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</si>
  <si>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</si>
  <si>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</si>
  <si>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</si>
  <si>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</si>
  <si>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</si>
  <si>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</si>
  <si>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</si>
  <si>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</si>
  <si>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</si>
  <si>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</si>
  <si>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</si>
  <si>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</si>
  <si>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</si>
  <si>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</si>
  <si>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</si>
  <si>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</si>
  <si>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</si>
  <si>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</si>
  <si>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</si>
  <si>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</si>
  <si>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</si>
  <si>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</si>
  <si>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</si>
  <si>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</si>
  <si>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</si>
  <si>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</si>
  <si>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</si>
  <si>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</si>
  <si>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</si>
  <si>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</si>
  <si>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</si>
  <si>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</si>
  <si>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</si>
  <si>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</si>
  <si>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</si>
  <si>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</si>
  <si>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</si>
  <si>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</si>
  <si>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</si>
  <si>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</si>
  <si>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</si>
  <si>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</si>
  <si>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</si>
  <si>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</si>
  <si>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</si>
  <si>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</si>
  <si>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</si>
  <si>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</si>
  <si>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</si>
  <si>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</si>
  <si>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</si>
  <si>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</si>
  <si>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</si>
  <si>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</si>
  <si>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</si>
  <si>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</si>
  <si>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</si>
  <si>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</si>
  <si>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</si>
  <si>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</si>
  <si>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</si>
  <si>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</si>
  <si>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</si>
  <si>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</si>
  <si>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</si>
  <si>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</si>
  <si>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</si>
  <si>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</si>
  <si>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</si>
  <si>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</si>
  <si>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</si>
  <si>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</si>
  <si>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</si>
  <si>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</si>
  <si>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</si>
  <si>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</si>
  <si>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</si>
  <si>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</si>
  <si>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</si>
  <si>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</si>
  <si>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</si>
  <si>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</si>
  <si>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</si>
  <si>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</si>
  <si>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</si>
  <si>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</si>
  <si>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</si>
  <si>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</si>
  <si>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</si>
  <si>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</si>
  <si>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</si>
  <si>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</si>
  <si>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</si>
  <si>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</si>
  <si>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</si>
  <si>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</si>
  <si>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</si>
  <si>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</si>
  <si>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</si>
  <si>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</si>
  <si>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</si>
  <si>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</si>
  <si>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</si>
  <si>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</si>
  <si>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</si>
  <si>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</si>
  <si>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</si>
  <si>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</si>
  <si>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</si>
  <si>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</si>
  <si>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</si>
  <si>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</si>
  <si>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</si>
  <si>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</si>
  <si>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</si>
  <si>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</si>
  <si>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</si>
  <si>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</si>
  <si>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</si>
  <si>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</si>
  <si>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</si>
  <si>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</si>
  <si>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</si>
  <si>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</si>
  <si>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</si>
  <si>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</si>
  <si>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</si>
  <si>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</si>
  <si>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</si>
  <si>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</si>
  <si>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</si>
  <si>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</si>
  <si>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</si>
  <si>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</si>
  <si>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</si>
  <si>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</si>
  <si>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</si>
  <si>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</si>
  <si>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</si>
  <si>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</si>
  <si>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</si>
  <si>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</si>
  <si>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</si>
  <si>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</si>
  <si>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</si>
  <si>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</si>
  <si>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</si>
  <si>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</si>
  <si>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</si>
  <si>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</si>
  <si>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</si>
  <si>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</si>
  <si>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</si>
  <si>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</si>
  <si>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</si>
  <si>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</si>
  <si>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</si>
  <si>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</si>
  <si>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</si>
  <si>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</si>
  <si>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</si>
  <si>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</si>
  <si>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</si>
  <si>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</si>
  <si>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</si>
  <si>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</si>
  <si>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</si>
  <si>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</si>
  <si>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</si>
  <si>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</si>
  <si>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</si>
  <si>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</si>
  <si>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</si>
  <si>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</si>
  <si>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</si>
  <si>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</si>
  <si>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</si>
  <si>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</si>
  <si>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</si>
  <si>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</si>
  <si>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</si>
  <si>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</si>
  <si>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</si>
  <si>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</si>
  <si>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</si>
  <si>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</si>
  <si>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</si>
  <si>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</si>
  <si>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</si>
  <si>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</si>
  <si>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</si>
  <si>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</si>
  <si>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</si>
  <si>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</si>
  <si>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</si>
  <si>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</si>
  <si>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</si>
  <si>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</si>
  <si>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</si>
  <si>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</si>
  <si>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</si>
  <si>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</si>
  <si>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</si>
  <si>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</si>
  <si>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</si>
  <si>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</si>
  <si>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</si>
  <si>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</si>
  <si>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</si>
  <si>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</si>
  <si>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</si>
  <si>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</si>
  <si>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</si>
  <si>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</si>
  <si>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</si>
  <si>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</si>
  <si>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</si>
  <si>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</si>
  <si>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</si>
  <si>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</si>
  <si>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</si>
  <si>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</si>
  <si>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</si>
  <si>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</si>
  <si>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</si>
  <si>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</si>
  <si>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</si>
  <si>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</si>
  <si>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</si>
  <si>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</si>
  <si>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</si>
  <si>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</si>
  <si>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</si>
  <si>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</si>
  <si>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</si>
  <si>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</si>
  <si>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</si>
  <si>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</si>
  <si>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</si>
  <si>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</si>
  <si>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</si>
  <si>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</si>
  <si>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</si>
  <si>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</si>
  <si>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</si>
  <si>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</si>
  <si>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</si>
  <si>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</si>
  <si>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</si>
  <si>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</si>
  <si>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</si>
  <si>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</si>
  <si>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</si>
  <si>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</si>
  <si>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</si>
  <si>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</si>
  <si>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</si>
  <si>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</si>
  <si>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</si>
  <si>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</si>
  <si>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</si>
  <si>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</si>
  <si>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</si>
  <si>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</si>
  <si>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</si>
  <si>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</si>
  <si>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</si>
  <si>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</si>
  <si>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</si>
  <si>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</si>
  <si>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</si>
  <si>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</si>
  <si>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</si>
  <si>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</si>
  <si>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</si>
  <si>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</si>
  <si>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</si>
  <si>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</si>
  <si>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</si>
  <si>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</si>
  <si>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</si>
  <si>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</si>
  <si>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</si>
  <si>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</si>
  <si>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</si>
  <si>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</si>
  <si>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</si>
  <si>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</si>
  <si>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</si>
  <si>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</si>
  <si>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</si>
  <si>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</si>
  <si>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</si>
  <si>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</si>
  <si>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</si>
  <si>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</si>
  <si>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</si>
  <si>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</si>
  <si>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</si>
  <si>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</si>
  <si>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</si>
  <si>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</si>
  <si>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</si>
  <si>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</si>
  <si>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</si>
  <si>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</si>
  <si>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</si>
  <si>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</si>
  <si>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</si>
  <si>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</si>
  <si>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</si>
  <si>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</si>
  <si>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</si>
  <si>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</si>
  <si>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</si>
  <si>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</si>
  <si>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</si>
  <si>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</si>
  <si>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</si>
  <si>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</si>
  <si>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</si>
  <si>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</si>
  <si>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</si>
  <si>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</si>
  <si>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</si>
  <si>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</si>
  <si>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</si>
  <si>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</si>
  <si>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</si>
  <si>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</si>
  <si>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</si>
  <si>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</si>
  <si>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</si>
  <si>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</si>
  <si>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</si>
  <si>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</si>
  <si>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</si>
  <si>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</si>
  <si>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</si>
  <si>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</si>
  <si>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</si>
  <si>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</si>
  <si>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</si>
  <si>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</si>
  <si>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</si>
  <si>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</si>
  <si>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</si>
  <si>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</si>
  <si>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</si>
  <si>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</si>
  <si>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</si>
  <si>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</si>
  <si>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</si>
  <si>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</si>
  <si>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</si>
  <si>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</si>
  <si>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</si>
  <si>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</si>
  <si>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</si>
  <si>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</si>
  <si>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</si>
  <si>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</si>
  <si>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</si>
  <si>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</si>
  <si>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</si>
  <si>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</si>
  <si>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</si>
  <si>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</si>
  <si>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</si>
  <si>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</si>
  <si>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</si>
  <si>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</si>
  <si>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</si>
  <si>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</si>
  <si>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</si>
  <si>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</si>
  <si>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</si>
  <si>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</si>
  <si>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</si>
  <si>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</si>
  <si>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</si>
  <si>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</si>
  <si>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</si>
  <si>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</si>
  <si>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</si>
  <si>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</si>
  <si>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</si>
  <si>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</si>
  <si>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</si>
  <si>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</si>
  <si>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</si>
  <si>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</si>
  <si>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</si>
  <si>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</si>
  <si>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</si>
  <si>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</si>
  <si>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</si>
  <si>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</si>
  <si>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</si>
  <si>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</si>
  <si>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</si>
  <si>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</si>
  <si>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</si>
  <si>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</si>
  <si>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</si>
  <si>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</si>
  <si>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</si>
  <si>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</si>
  <si>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</si>
  <si>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</si>
  <si>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</si>
  <si>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</si>
  <si>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</si>
  <si>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</si>
  <si>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</si>
  <si>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</si>
  <si>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</si>
  <si>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</si>
  <si>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</si>
  <si>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</si>
  <si>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</si>
  <si>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</si>
  <si>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</si>
  <si>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</si>
  <si>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</si>
  <si>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</si>
  <si>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</si>
  <si>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</si>
  <si>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</si>
  <si>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</si>
  <si>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</si>
  <si>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</si>
  <si>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</si>
  <si>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</si>
  <si>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</si>
  <si>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</si>
  <si>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</si>
  <si>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</si>
  <si>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</si>
  <si>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</si>
  <si>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</si>
  <si>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</si>
  <si>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</si>
  <si>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</si>
  <si>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</si>
  <si>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</si>
  <si>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</si>
  <si>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</si>
  <si>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</si>
  <si>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</si>
  <si>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</si>
  <si>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</si>
  <si>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</si>
  <si>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</si>
  <si>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</si>
  <si>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</si>
  <si>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</si>
  <si>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</si>
  <si>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</si>
  <si>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</si>
  <si>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</si>
  <si>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</si>
  <si>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</si>
  <si>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</si>
  <si>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</si>
  <si>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</si>
  <si>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</si>
  <si>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</si>
  <si>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</si>
  <si>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</si>
  <si>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</si>
  <si>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</si>
  <si>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</si>
  <si>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</si>
  <si>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</si>
  <si>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</si>
  <si>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</si>
  <si>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</si>
  <si>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</si>
  <si>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</si>
  <si>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</si>
  <si>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</si>
  <si>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</si>
  <si>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</si>
  <si>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</si>
  <si>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</si>
  <si>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</si>
  <si>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</si>
  <si>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</si>
  <si>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</si>
  <si>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</si>
  <si>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</si>
  <si>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</si>
  <si>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</si>
  <si>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</si>
  <si>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</si>
  <si>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</si>
  <si>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</si>
  <si>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</si>
  <si>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</si>
  <si>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</si>
  <si>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</si>
  <si>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</si>
  <si>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</si>
  <si>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</si>
  <si>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</si>
  <si>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</si>
  <si>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</si>
  <si>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</si>
  <si>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</si>
  <si>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</si>
  <si>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</si>
  <si>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</si>
  <si>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</si>
  <si>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</si>
  <si>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</si>
  <si>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</si>
  <si>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</si>
  <si>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</si>
  <si>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</si>
  <si>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</si>
  <si>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</si>
  <si>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</si>
  <si>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</si>
  <si>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</si>
  <si>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</si>
  <si>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</si>
  <si>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</si>
  <si>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</si>
  <si>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</si>
  <si>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</si>
  <si>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</si>
  <si>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</si>
  <si>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</si>
  <si>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</si>
  <si>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</si>
  <si>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</si>
  <si>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</si>
  <si>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</si>
  <si>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</si>
  <si>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</si>
  <si>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</si>
  <si>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</si>
  <si>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</si>
  <si>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</si>
  <si>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</si>
  <si>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</si>
  <si>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</si>
  <si>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</si>
  <si>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</si>
  <si>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</si>
  <si>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</si>
  <si>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</si>
  <si>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</si>
  <si>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</si>
  <si>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</si>
  <si>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</si>
  <si>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</si>
  <si>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</si>
  <si>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</si>
  <si>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</si>
  <si>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</si>
  <si>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</si>
  <si>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</si>
  <si>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</si>
  <si>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</si>
  <si>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</si>
  <si>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</si>
  <si>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</si>
  <si>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</si>
  <si>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</si>
  <si>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</si>
  <si>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</si>
  <si>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</si>
  <si>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</si>
  <si>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</si>
  <si>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</si>
  <si>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</si>
  <si>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</si>
  <si>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</si>
  <si>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</si>
  <si>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</si>
  <si>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</si>
  <si>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</si>
  <si>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</si>
  <si>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</si>
  <si>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</si>
  <si>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</si>
  <si>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</si>
  <si>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</si>
  <si>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</si>
  <si>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</si>
  <si>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</si>
  <si>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</si>
  <si>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</si>
  <si>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</si>
  <si>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</si>
  <si>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</si>
  <si>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</si>
  <si>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</si>
  <si>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</si>
  <si>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</si>
  <si>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</si>
  <si>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</si>
  <si>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</si>
  <si>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</si>
  <si>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</si>
  <si>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</si>
  <si>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</si>
  <si>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</si>
  <si>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</si>
  <si>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</si>
  <si>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</si>
  <si>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</si>
  <si>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</si>
  <si>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</si>
  <si>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</si>
  <si>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</si>
  <si>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</si>
  <si>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</si>
  <si>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</si>
  <si>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</si>
  <si>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</si>
  <si>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</si>
  <si>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</si>
  <si>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</si>
  <si>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</si>
  <si>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</si>
  <si>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</si>
  <si>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</si>
  <si>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</si>
  <si>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</si>
  <si>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</si>
  <si>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</si>
  <si>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</si>
  <si>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</si>
  <si>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</si>
  <si>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</si>
  <si>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</si>
  <si>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</si>
  <si>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</si>
  <si>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</si>
  <si>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</si>
  <si>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</si>
  <si>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</si>
  <si>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</si>
  <si>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</si>
  <si>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</si>
  <si>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</si>
  <si>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</si>
  <si>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</si>
  <si>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</si>
  <si>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</si>
  <si>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</si>
  <si>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</si>
  <si>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</si>
  <si>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</si>
  <si>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</si>
  <si>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</si>
  <si>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</si>
  <si>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</si>
  <si>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</si>
  <si>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</si>
  <si>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</si>
  <si>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</si>
  <si>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</si>
  <si>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</si>
  <si>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</si>
  <si>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</si>
  <si>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</si>
  <si>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</si>
  <si>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</si>
  <si>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</si>
  <si>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</si>
  <si>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</si>
  <si>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</si>
  <si>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</si>
  <si>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</si>
  <si>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</si>
  <si>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</si>
  <si>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</si>
  <si>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</si>
  <si>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</si>
  <si>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</si>
  <si>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</si>
  <si>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</si>
  <si>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</si>
  <si>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</si>
  <si>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</si>
  <si>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</si>
  <si>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</si>
  <si>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</si>
  <si>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</si>
  <si>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</si>
  <si>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</si>
  <si>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</si>
  <si>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</si>
  <si>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</si>
  <si>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</si>
  <si>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</si>
  <si>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</si>
  <si>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</si>
  <si>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</si>
  <si>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</si>
  <si>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</si>
  <si>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</si>
  <si>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</si>
  <si>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</si>
  <si>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</si>
  <si>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</si>
  <si>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</si>
  <si>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</si>
  <si>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</si>
  <si>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</si>
  <si>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</si>
  <si>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</si>
  <si>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</si>
  <si>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</si>
  <si>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</si>
  <si>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</si>
  <si>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</si>
  <si>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</si>
  <si>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</si>
  <si>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</si>
  <si>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</si>
  <si>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</si>
  <si>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</si>
  <si>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</si>
  <si>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</si>
  <si>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</si>
  <si>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</si>
  <si>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</si>
  <si>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</si>
  <si>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</si>
  <si>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</si>
  <si>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</si>
  <si>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</si>
  <si>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</si>
  <si>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</si>
  <si>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</si>
  <si>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</si>
  <si>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</si>
  <si>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</si>
  <si>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</si>
  <si>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</si>
  <si>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</si>
  <si>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</si>
  <si>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</si>
  <si>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</si>
  <si>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</si>
  <si>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</si>
  <si>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</si>
  <si>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</si>
  <si>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</si>
  <si>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</si>
  <si>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</si>
  <si>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</si>
  <si>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</si>
  <si>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</si>
  <si>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</si>
  <si>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</si>
  <si>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</si>
  <si>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</si>
  <si>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</si>
  <si>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</si>
  <si>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</si>
  <si>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</si>
  <si>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</si>
  <si>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</si>
  <si>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</si>
  <si>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</si>
  <si>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</si>
  <si>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</si>
  <si>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</si>
  <si>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</si>
  <si>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</si>
  <si>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</si>
  <si>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</si>
  <si>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</si>
  <si>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</si>
  <si>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</si>
  <si>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</si>
  <si>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</si>
  <si>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</si>
  <si>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</si>
  <si>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</si>
  <si>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</si>
  <si>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</si>
  <si>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</si>
  <si>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</si>
  <si>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</si>
  <si>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</si>
  <si>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</si>
  <si>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</si>
  <si>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</si>
  <si>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</si>
  <si>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</si>
  <si>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</si>
  <si>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</si>
  <si>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</si>
  <si>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</si>
  <si>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</si>
  <si>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</si>
  <si>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</si>
  <si>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</si>
  <si>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</si>
  <si>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</si>
  <si>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</si>
  <si>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</si>
  <si>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</si>
  <si>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</si>
  <si>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</si>
  <si>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</si>
  <si>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</si>
  <si>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</si>
  <si>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</si>
  <si>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</si>
  <si>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</si>
  <si>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</si>
  <si>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</si>
  <si>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</si>
  <si>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</si>
  <si>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</si>
  <si>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</si>
  <si>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</si>
  <si>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</si>
  <si>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</si>
  <si>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</si>
  <si>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</si>
  <si>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</si>
  <si>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</si>
  <si>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</si>
  <si>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</si>
  <si>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</si>
  <si>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</si>
  <si>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</si>
  <si>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</si>
  <si>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</si>
  <si>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</si>
  <si>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</si>
  <si>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</si>
  <si>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</si>
  <si>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</si>
  <si>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</si>
  <si>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</si>
  <si>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</si>
  <si>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</si>
  <si>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</si>
  <si>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</si>
  <si>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</si>
  <si>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</si>
  <si>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</si>
  <si>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</si>
  <si>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</si>
  <si>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</si>
  <si>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</si>
  <si>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</si>
  <si>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</si>
  <si>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</si>
  <si>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</si>
  <si>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</si>
  <si>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</si>
  <si>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</si>
  <si>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</si>
  <si>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</si>
  <si>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</si>
  <si>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</si>
  <si>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</si>
  <si>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</si>
  <si>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</si>
  <si>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</si>
  <si>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</si>
  <si>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</si>
  <si>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</si>
  <si>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</si>
  <si>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</si>
  <si>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</si>
  <si>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</si>
  <si>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</si>
  <si>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</si>
  <si>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</si>
  <si>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</si>
  <si>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</si>
  <si>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</si>
  <si>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</si>
  <si>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</si>
  <si>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</si>
  <si>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</si>
  <si>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</si>
  <si>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</si>
  <si>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</si>
  <si>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</si>
  <si>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</si>
  <si>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</si>
  <si>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</si>
  <si>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</si>
  <si>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</si>
  <si>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</si>
  <si>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</si>
  <si>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</si>
  <si>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</si>
  <si>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</si>
  <si>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</si>
  <si>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</si>
  <si>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</si>
  <si>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</si>
  <si>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</si>
  <si>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</si>
  <si>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</si>
  <si>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</si>
  <si>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</si>
  <si>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</si>
  <si>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</si>
  <si>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</si>
  <si>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</si>
  <si>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</si>
  <si>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</si>
  <si>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</si>
  <si>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</si>
  <si>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</si>
  <si>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</si>
  <si>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</si>
  <si>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</si>
  <si>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</si>
  <si>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</si>
  <si>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</si>
  <si>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</si>
  <si>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</si>
  <si>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</si>
  <si>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</si>
  <si>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</si>
  <si>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</si>
  <si>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</si>
  <si>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</si>
  <si>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</si>
  <si>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</si>
  <si>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</si>
  <si>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</si>
  <si>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</si>
  <si>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</si>
  <si>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</si>
  <si>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</si>
  <si>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</si>
  <si>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</si>
  <si>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</si>
  <si>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</si>
  <si>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</si>
  <si>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</si>
  <si>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</si>
  <si>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</si>
  <si>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</si>
  <si>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</si>
  <si>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</si>
  <si>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</si>
  <si>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</si>
  <si>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</si>
  <si>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</si>
  <si>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</si>
  <si>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</si>
  <si>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</si>
  <si>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</si>
  <si>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</si>
  <si>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</si>
  <si>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</si>
  <si>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</si>
  <si>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</si>
  <si>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</si>
  <si>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</si>
  <si>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</si>
  <si>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</si>
  <si>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</si>
  <si>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</si>
  <si>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</si>
  <si>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</si>
  <si>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</si>
  <si>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</si>
  <si>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</si>
  <si>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</si>
  <si>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</si>
  <si>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</si>
  <si>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</si>
  <si>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</si>
  <si>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</si>
  <si>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</si>
  <si>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</si>
  <si>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</si>
  <si>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</si>
  <si>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</si>
  <si>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</si>
  <si>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</si>
  <si>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</si>
  <si>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</si>
  <si>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</si>
  <si>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</si>
  <si>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</si>
  <si>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</si>
  <si>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</si>
  <si>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</si>
  <si>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</si>
  <si>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</si>
  <si>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</si>
  <si>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</si>
  <si>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</si>
  <si>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</si>
  <si>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</si>
  <si>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</si>
  <si>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</si>
  <si>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</si>
  <si>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</si>
  <si>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</si>
  <si>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</si>
  <si>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</si>
  <si>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</si>
  <si>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</si>
  <si>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</si>
  <si>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</si>
  <si>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</si>
  <si>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</si>
  <si>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</si>
  <si>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</si>
  <si>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</si>
  <si>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</si>
  <si>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</si>
  <si>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</si>
  <si>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</si>
  <si>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</si>
  <si>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</si>
  <si>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</si>
  <si>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</si>
  <si>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</si>
  <si>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</si>
  <si>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</si>
  <si>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</si>
  <si>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</si>
  <si>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</si>
  <si>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</si>
  <si>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</si>
  <si>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</si>
  <si>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</si>
  <si>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</si>
  <si>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</si>
  <si>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</si>
  <si>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</si>
  <si>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</si>
  <si>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</si>
  <si>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</si>
  <si>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</si>
  <si>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</si>
  <si>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</si>
  <si>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</si>
  <si>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</si>
  <si>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</si>
  <si>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</si>
  <si>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</si>
  <si>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</si>
  <si>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</si>
  <si>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</si>
  <si>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</si>
  <si>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</si>
  <si>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</si>
  <si>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</si>
  <si>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</si>
  <si>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</si>
  <si>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</si>
  <si>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</si>
  <si>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</si>
  <si>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</si>
  <si>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</si>
  <si>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</si>
  <si>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</si>
  <si>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</si>
  <si>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</si>
  <si>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</si>
  <si>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</si>
  <si>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</si>
  <si>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</si>
  <si>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</si>
  <si>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</si>
  <si>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</si>
  <si>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</si>
  <si>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</si>
  <si>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</si>
  <si>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</si>
  <si>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</si>
  <si>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</si>
  <si>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</si>
  <si>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</si>
  <si>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</si>
  <si>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</si>
  <si>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</si>
  <si>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</si>
  <si>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</si>
  <si>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</si>
  <si>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</si>
  <si>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</si>
  <si>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</si>
  <si>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</si>
  <si>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</si>
  <si>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</si>
  <si>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</si>
  <si>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</si>
  <si>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</si>
  <si>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</si>
  <si>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</si>
  <si>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</si>
  <si>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</si>
  <si>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</si>
  <si>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</si>
  <si>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</si>
  <si>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</si>
  <si>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</si>
  <si>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</si>
  <si>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</si>
  <si>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</si>
  <si>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</si>
  <si>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</si>
  <si>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</si>
  <si>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</si>
  <si>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</si>
  <si>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</si>
  <si>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</si>
  <si>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</si>
  <si>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</si>
  <si>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</si>
  <si>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</si>
  <si>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</si>
  <si>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</si>
  <si>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</si>
  <si>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</si>
  <si>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</si>
  <si>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</si>
  <si>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</si>
  <si>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</si>
  <si>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</si>
  <si>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</si>
  <si>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</si>
  <si>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</si>
  <si>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</si>
  <si>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</si>
  <si>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</si>
  <si>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</si>
  <si>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</si>
  <si>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</si>
  <si>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</si>
  <si>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</si>
  <si>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</si>
  <si>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</si>
  <si>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</si>
  <si>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</si>
  <si>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</si>
  <si>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</si>
  <si>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</si>
  <si>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</si>
  <si>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</si>
  <si>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</si>
  <si>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</si>
  <si>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</si>
  <si>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</si>
  <si>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</si>
  <si>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</si>
  <si>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</si>
  <si>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</si>
  <si>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</si>
  <si>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</si>
  <si>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</si>
  <si>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</si>
  <si>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</si>
  <si>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</si>
  <si>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</si>
  <si>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</si>
  <si>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</si>
  <si>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</si>
  <si>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</si>
  <si>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</si>
  <si>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</si>
  <si>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</si>
  <si>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</si>
  <si>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</si>
  <si>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</si>
  <si>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</si>
  <si>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</si>
  <si>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</si>
  <si>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</si>
  <si>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</si>
  <si>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</si>
  <si>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</si>
  <si>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</si>
  <si>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</si>
  <si>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</si>
  <si>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</si>
  <si>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</si>
  <si>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</si>
  <si>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</si>
  <si>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</si>
  <si>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</si>
  <si>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</si>
  <si>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</si>
  <si>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</si>
  <si>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</si>
  <si>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</si>
  <si>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</si>
  <si>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</si>
  <si>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</si>
  <si>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</si>
  <si>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</si>
  <si>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</si>
  <si>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</si>
  <si>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</si>
  <si>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</si>
  <si>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</si>
  <si>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</si>
  <si>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</si>
  <si>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</si>
  <si>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</si>
  <si>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</si>
  <si>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</si>
  <si>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</si>
  <si>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</si>
  <si>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</si>
  <si>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</si>
  <si>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</si>
  <si>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</si>
  <si>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</si>
  <si>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</si>
  <si>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</si>
  <si>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</si>
  <si>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</si>
  <si>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</si>
  <si>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</si>
  <si>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</si>
  <si>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</si>
  <si>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</si>
  <si>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</si>
  <si>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</si>
  <si>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</si>
  <si>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</si>
  <si>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</si>
  <si>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</si>
  <si>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</si>
  <si>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</si>
  <si>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</si>
  <si>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</si>
  <si>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</si>
  <si>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</si>
  <si>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</si>
  <si>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</si>
  <si>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</si>
  <si>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</si>
  <si>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</si>
  <si>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</si>
  <si>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</si>
  <si>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</si>
  <si>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</si>
  <si>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</si>
  <si>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</si>
  <si>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</si>
  <si>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</si>
  <si>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</si>
  <si>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</si>
  <si>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</si>
  <si>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</si>
  <si>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</si>
  <si>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</si>
  <si>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</si>
  <si>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</si>
  <si>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</si>
  <si>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</si>
  <si>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</si>
  <si>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</si>
  <si>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</si>
  <si>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</si>
  <si>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</si>
  <si>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</si>
  <si>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</si>
  <si>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</si>
  <si>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</si>
  <si>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</si>
  <si>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</si>
  <si>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</si>
  <si>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</si>
  <si>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</si>
  <si>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</si>
  <si>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</si>
  <si>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</si>
  <si>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</si>
  <si>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</si>
  <si>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</si>
  <si>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</si>
  <si>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</si>
  <si>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</si>
  <si>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</si>
  <si>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</si>
  <si>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</si>
  <si>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</si>
  <si>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</si>
  <si>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</si>
  <si>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</si>
  <si>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</si>
  <si>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</si>
  <si>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</si>
  <si>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</si>
  <si>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</si>
  <si>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</si>
  <si>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</si>
  <si>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</si>
  <si>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</si>
  <si>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</si>
  <si>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</si>
  <si>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</si>
  <si>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</si>
  <si>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</si>
  <si>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</si>
  <si>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</si>
  <si>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</si>
  <si>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</si>
  <si>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</si>
  <si>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</si>
  <si>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</si>
  <si>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</si>
  <si>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</si>
  <si>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</si>
  <si>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</si>
  <si>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</si>
  <si>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</si>
  <si>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</si>
  <si>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</si>
  <si>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</si>
  <si>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</si>
  <si>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</si>
  <si>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</si>
  <si>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</si>
  <si>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</si>
  <si>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</si>
  <si>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</si>
  <si>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</si>
  <si>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</si>
  <si>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</si>
  <si>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</si>
  <si>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</si>
  <si>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</si>
  <si>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</si>
  <si>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</si>
  <si>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</si>
  <si>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</si>
  <si>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</si>
  <si>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</si>
  <si>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</si>
  <si>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</si>
  <si>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</si>
  <si>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</si>
  <si>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</si>
  <si>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</si>
  <si>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</si>
  <si>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</si>
  <si>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</si>
  <si>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</si>
  <si>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</si>
  <si>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</si>
  <si>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</si>
  <si>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</si>
  <si>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</si>
  <si>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</si>
  <si>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</si>
  <si>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</si>
  <si>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</si>
  <si>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</si>
  <si>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</si>
  <si>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</si>
  <si>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</si>
  <si>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</si>
  <si>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</si>
  <si>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</si>
  <si>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</si>
  <si>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</si>
  <si>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</si>
  <si>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</si>
  <si>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</si>
  <si>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</si>
  <si>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</si>
  <si>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</si>
  <si>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</si>
  <si>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</si>
  <si>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</si>
  <si>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</si>
  <si>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</si>
  <si>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</si>
  <si>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</si>
  <si>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</si>
  <si>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</si>
  <si>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</si>
  <si>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</si>
  <si>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</si>
  <si>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</si>
  <si>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</si>
  <si>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</si>
  <si>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</si>
  <si>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</si>
  <si>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</si>
  <si>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</si>
  <si>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</si>
  <si>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</si>
  <si>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</si>
  <si>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</si>
  <si>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</si>
  <si>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</si>
  <si>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</si>
  <si>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</si>
  <si>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</si>
  <si>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</si>
  <si>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</si>
  <si>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</si>
  <si>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</si>
  <si>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</si>
  <si>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</si>
  <si>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</si>
  <si>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</si>
  <si>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</si>
  <si>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</si>
  <si>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</si>
  <si>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</si>
  <si>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</si>
  <si>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</si>
  <si>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</si>
  <si>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</si>
  <si>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</si>
  <si>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</si>
  <si>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</si>
  <si>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</si>
  <si>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</si>
  <si>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</si>
  <si>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</si>
  <si>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</si>
  <si>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</si>
  <si>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</si>
  <si>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</si>
  <si>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</si>
  <si>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</si>
  <si>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</si>
  <si>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</si>
  <si>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</si>
  <si>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</si>
  <si>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</si>
  <si>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</si>
  <si>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</si>
  <si>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</si>
  <si>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</si>
  <si>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</si>
  <si>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</si>
  <si>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</si>
  <si>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</si>
  <si>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</si>
  <si>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</si>
  <si>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</si>
  <si>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</si>
  <si>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</si>
  <si>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</si>
  <si>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</si>
  <si>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</si>
  <si>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</si>
  <si>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</si>
  <si>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</si>
  <si>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</si>
  <si>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</si>
  <si>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</si>
  <si>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</si>
  <si>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</si>
  <si>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</si>
  <si>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</si>
  <si>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</si>
  <si>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</si>
  <si>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</si>
  <si>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</si>
  <si>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</si>
  <si>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</si>
  <si>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</si>
  <si>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</si>
  <si>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</si>
  <si>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</si>
  <si>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</si>
  <si>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</si>
  <si>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</si>
  <si>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</si>
  <si>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</si>
  <si>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</si>
  <si>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</si>
  <si>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</si>
  <si>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</si>
  <si>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</si>
  <si>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</si>
  <si>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</si>
  <si>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</si>
  <si>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</si>
  <si>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</si>
  <si>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</si>
  <si>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</si>
  <si>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</si>
  <si>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</si>
  <si>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</si>
  <si>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</si>
  <si>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</si>
  <si>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</si>
  <si>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</si>
  <si>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</si>
  <si>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</si>
  <si>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</si>
  <si>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</si>
  <si>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</si>
  <si>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</si>
  <si>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</si>
  <si>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</si>
  <si>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</si>
  <si>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</si>
  <si>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</si>
  <si>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</si>
  <si>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</si>
  <si>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</si>
  <si>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</si>
  <si>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</si>
  <si>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</si>
  <si>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</si>
  <si>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</si>
  <si>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</si>
  <si>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</si>
  <si>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</si>
  <si>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</si>
  <si>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</si>
  <si>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</si>
  <si>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</si>
  <si>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</si>
  <si>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</si>
  <si>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</si>
  <si>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</si>
  <si>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</si>
  <si>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</si>
  <si>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</si>
  <si>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</si>
  <si>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</si>
  <si>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</si>
  <si>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</si>
  <si>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</si>
  <si>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</si>
  <si>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</si>
  <si>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</si>
  <si>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</si>
  <si>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</si>
  <si>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</si>
  <si>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</si>
  <si>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</si>
  <si>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</si>
  <si>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</si>
  <si>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</si>
  <si>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</si>
  <si>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</si>
  <si>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</si>
  <si>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</si>
  <si>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</si>
  <si>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</si>
  <si>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</si>
  <si>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</si>
  <si>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</si>
  <si>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</si>
  <si>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</si>
  <si>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</si>
  <si>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</si>
  <si>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</si>
  <si>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</si>
  <si>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</si>
  <si>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</si>
  <si>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</si>
  <si>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</si>
  <si>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</si>
  <si>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</si>
  <si>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</si>
  <si>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</si>
  <si>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</si>
  <si>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</si>
  <si>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</si>
  <si>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</si>
  <si>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</si>
  <si>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</si>
  <si>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</si>
  <si>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</si>
  <si>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</si>
  <si>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</si>
  <si>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</si>
  <si>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</si>
  <si>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</si>
  <si>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</si>
  <si>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</si>
  <si>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</si>
  <si>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</si>
  <si>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</si>
  <si>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</si>
  <si>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</si>
  <si>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</si>
  <si>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</si>
  <si>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</si>
  <si>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</si>
  <si>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</si>
  <si>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</si>
  <si>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</si>
  <si>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</si>
  <si>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</si>
  <si>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</si>
  <si>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</si>
  <si>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</si>
  <si>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</si>
  <si>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</si>
  <si>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</si>
  <si>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</si>
  <si>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</si>
  <si>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</si>
  <si>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</si>
  <si>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</si>
  <si>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</si>
  <si>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</si>
  <si>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</si>
  <si>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</si>
  <si>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</si>
  <si>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</si>
  <si>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</si>
  <si>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</si>
  <si>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</si>
  <si>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</si>
  <si>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</si>
  <si>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</si>
  <si>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</si>
  <si>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</si>
  <si>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</si>
  <si>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</si>
  <si>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</si>
  <si>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</si>
  <si>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</si>
  <si>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</si>
  <si>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</si>
  <si>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</si>
  <si>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</si>
  <si>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</si>
  <si>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</si>
  <si>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</si>
  <si>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</si>
  <si>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</si>
  <si>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</si>
  <si>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</si>
  <si>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</si>
  <si>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</si>
  <si>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</si>
  <si>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</si>
  <si>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</si>
  <si>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</si>
  <si>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</si>
  <si>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</si>
  <si>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</si>
  <si>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</si>
  <si>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</si>
  <si>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</si>
  <si>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</si>
  <si>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</si>
  <si>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</si>
  <si>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</si>
  <si>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</si>
  <si>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</si>
  <si>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</si>
  <si>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</si>
  <si>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</si>
  <si>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</si>
  <si>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</si>
  <si>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</si>
  <si>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</si>
  <si>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</si>
  <si>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</si>
  <si>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</si>
  <si>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</si>
  <si>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</si>
  <si>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</si>
  <si>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</si>
  <si>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</si>
  <si>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</si>
  <si>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</si>
  <si>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</si>
  <si>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</si>
  <si>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</si>
  <si>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</si>
  <si>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</si>
  <si>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</si>
  <si>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</si>
  <si>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</si>
  <si>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</si>
  <si>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</si>
  <si>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</si>
  <si>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</si>
  <si>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</si>
  <si>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</si>
  <si>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</si>
  <si>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</si>
  <si>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</si>
  <si>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</si>
  <si>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</si>
  <si>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</si>
  <si>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</si>
  <si>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</si>
  <si>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</si>
  <si>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</si>
  <si>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</si>
  <si>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</si>
  <si>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</si>
  <si>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</si>
  <si>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</si>
  <si>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</si>
  <si>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</si>
  <si>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</si>
  <si>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</si>
  <si>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</si>
  <si>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</si>
  <si>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</si>
  <si>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</si>
  <si>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</si>
  <si>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</si>
  <si>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</si>
  <si>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</si>
  <si>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</si>
  <si>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</si>
  <si>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</si>
  <si>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</si>
  <si>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</si>
  <si>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</si>
  <si>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</si>
  <si>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</si>
  <si>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</si>
  <si>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</si>
  <si>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</si>
  <si>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</si>
  <si>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</si>
  <si>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</si>
  <si>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</si>
  <si>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</si>
  <si>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</si>
  <si>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</si>
  <si>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</si>
  <si>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</si>
  <si>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</si>
  <si>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</si>
  <si>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</si>
  <si>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</si>
  <si>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</si>
  <si>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</si>
  <si>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</si>
  <si>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</si>
  <si>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</si>
  <si>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</si>
  <si>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</si>
  <si>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</si>
  <si>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</si>
  <si>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</si>
  <si>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</si>
  <si>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</si>
  <si>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</si>
  <si>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</si>
  <si>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</si>
  <si>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</si>
  <si>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</si>
  <si>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</si>
  <si>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</si>
  <si>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</si>
  <si>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</si>
  <si>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</si>
  <si>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</si>
  <si>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</si>
  <si>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</si>
  <si>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</si>
  <si>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</si>
  <si>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</si>
  <si>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</si>
  <si>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</si>
  <si>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</si>
  <si>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</si>
  <si>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</si>
  <si>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</si>
  <si>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</si>
  <si>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</si>
  <si>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</si>
  <si>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</si>
  <si>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</si>
  <si>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</si>
  <si>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</si>
  <si>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</si>
  <si>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</si>
  <si>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</si>
  <si>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</si>
  <si>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</si>
  <si>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</si>
  <si>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</si>
  <si>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</si>
  <si>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</si>
  <si>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</si>
  <si>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</si>
  <si>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</si>
  <si>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</si>
  <si>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</si>
  <si>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</si>
  <si>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</si>
  <si>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</si>
  <si>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</si>
  <si>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</si>
  <si>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</si>
  <si>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</si>
  <si>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</si>
  <si>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</si>
  <si>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</si>
  <si>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</si>
  <si>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</si>
  <si>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</si>
  <si>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</si>
  <si>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</si>
  <si>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</si>
  <si>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</si>
  <si>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</si>
  <si>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</si>
  <si>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</si>
  <si>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</si>
  <si>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</si>
  <si>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</si>
  <si>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</si>
  <si>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</si>
  <si>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</si>
  <si>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</si>
  <si>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</si>
  <si>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</si>
  <si>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</si>
  <si>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</si>
  <si>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</si>
  <si>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</si>
  <si>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</si>
  <si>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</si>
  <si>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</si>
  <si>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</si>
  <si>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</si>
  <si>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</si>
  <si>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</si>
  <si>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</si>
  <si>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</si>
  <si>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</si>
  <si>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</si>
  <si>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</si>
  <si>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</si>
  <si>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</si>
  <si>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</si>
  <si>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</si>
  <si>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</si>
  <si>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</si>
  <si>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</si>
  <si>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</si>
  <si>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</si>
  <si>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</si>
  <si>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</si>
  <si>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</si>
  <si>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</si>
  <si>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</si>
  <si>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</si>
  <si>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</si>
  <si>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</si>
  <si>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</si>
  <si>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</si>
  <si>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</si>
  <si>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</si>
  <si>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</si>
  <si>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</si>
  <si>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</si>
  <si>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</si>
  <si>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</si>
  <si>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</si>
  <si>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</si>
  <si>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</si>
  <si>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</si>
  <si>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</si>
  <si>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</si>
  <si>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</si>
  <si>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</si>
  <si>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</si>
  <si>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</si>
  <si>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</si>
  <si>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</si>
  <si>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</si>
  <si>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</si>
  <si>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</si>
  <si>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</si>
  <si>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</si>
  <si>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</si>
  <si>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</si>
  <si>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</si>
  <si>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</si>
  <si>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</si>
  <si>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</si>
  <si>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</si>
  <si>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</si>
  <si>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</si>
  <si>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</si>
  <si>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</si>
  <si>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</si>
  <si>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</si>
  <si>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</si>
  <si>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</si>
  <si>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</si>
  <si>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</si>
  <si>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</si>
  <si>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</si>
  <si>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</si>
  <si>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</si>
  <si>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</si>
  <si>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</si>
  <si>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</si>
  <si>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</si>
  <si>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</si>
  <si>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</si>
  <si>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</si>
  <si>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</si>
  <si>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</si>
  <si>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</si>
  <si>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</si>
  <si>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</si>
  <si>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</si>
  <si>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</si>
  <si>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</si>
  <si>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</si>
  <si>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</si>
  <si>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</si>
  <si>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</si>
  <si>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</si>
  <si>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</si>
  <si>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</si>
  <si>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</si>
  <si>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</si>
  <si>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</si>
  <si>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</si>
  <si>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</si>
  <si>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</si>
  <si>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</si>
  <si>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</si>
  <si>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</si>
  <si>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</si>
  <si>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</si>
  <si>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</si>
  <si>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</si>
  <si>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</si>
  <si>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</si>
  <si>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</si>
  <si>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</si>
  <si>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</si>
  <si>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</si>
  <si>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</si>
  <si>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</si>
  <si>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</si>
  <si>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</si>
  <si>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</si>
  <si>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</si>
  <si>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</si>
  <si>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</si>
  <si>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</si>
  <si>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</si>
  <si>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</si>
  <si>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</si>
  <si>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</si>
  <si>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</si>
  <si>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</si>
  <si>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</si>
  <si>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</si>
  <si>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</si>
  <si>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</si>
  <si>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</si>
  <si>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</si>
  <si>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</si>
  <si>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</si>
  <si>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</si>
  <si>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</si>
  <si>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</si>
  <si>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</si>
  <si>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</si>
  <si>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</si>
  <si>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</si>
  <si>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</si>
  <si>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</si>
  <si>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</si>
  <si>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</si>
  <si>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</si>
  <si>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</si>
  <si>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</si>
  <si>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</si>
  <si>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</si>
  <si>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</si>
  <si>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</si>
  <si>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</si>
  <si>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</si>
  <si>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</si>
  <si>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</si>
  <si>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</si>
  <si>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</si>
  <si>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</si>
  <si>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</si>
  <si>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</si>
  <si>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</si>
  <si>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</si>
  <si>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</si>
  <si>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</si>
  <si>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</si>
  <si>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</si>
  <si>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</si>
  <si>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</si>
  <si>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</si>
  <si>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</si>
  <si>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</si>
  <si>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</si>
  <si>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</si>
  <si>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</si>
  <si>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</si>
  <si>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</si>
  <si>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</si>
  <si>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</si>
  <si>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</si>
  <si>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</si>
  <si>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</si>
  <si>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</si>
  <si>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</si>
  <si>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</si>
  <si>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</si>
  <si>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</si>
  <si>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</si>
  <si>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</si>
  <si>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</si>
  <si>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</si>
  <si>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</si>
  <si>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</si>
  <si>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</si>
  <si>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</si>
  <si>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</si>
  <si>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</si>
  <si>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</si>
  <si>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</si>
  <si>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</si>
  <si>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</si>
  <si>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</si>
  <si>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</si>
  <si>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</si>
  <si>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</si>
  <si>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</si>
  <si>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</si>
  <si>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</si>
  <si>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</si>
  <si>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</si>
  <si>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</si>
  <si>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</si>
  <si>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</si>
  <si>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</si>
  <si>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</si>
  <si>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</si>
  <si>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</si>
  <si>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</si>
  <si>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</si>
  <si>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</si>
  <si>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</si>
  <si>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</si>
  <si>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</si>
  <si>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</si>
  <si>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</si>
  <si>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</si>
  <si>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</si>
  <si>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</si>
  <si>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</si>
  <si>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</si>
  <si>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</si>
  <si>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</si>
  <si>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</si>
  <si>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</si>
  <si>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</si>
  <si>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</si>
  <si>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</si>
  <si>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</si>
  <si>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</si>
  <si>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</si>
  <si>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</si>
  <si>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</si>
  <si>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</si>
  <si>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</si>
  <si>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</si>
  <si>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</si>
  <si>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</si>
  <si>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</si>
  <si>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</si>
  <si>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</si>
  <si>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</si>
  <si>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</si>
  <si>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</si>
  <si>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</si>
  <si>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</si>
  <si>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</si>
  <si>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</si>
  <si>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</si>
  <si>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</si>
  <si>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</si>
  <si>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</si>
  <si>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</si>
  <si>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</si>
  <si>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</si>
  <si>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</si>
  <si>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</si>
  <si>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</si>
  <si>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</si>
  <si>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</si>
  <si>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</si>
  <si>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</si>
  <si>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</si>
  <si>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</si>
  <si>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</si>
  <si>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</si>
  <si>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</si>
  <si>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</si>
  <si>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</si>
  <si>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</si>
  <si>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</si>
  <si>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</si>
  <si>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</si>
  <si>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</si>
  <si>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</si>
  <si>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</si>
  <si>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</si>
  <si>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</si>
  <si>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</si>
  <si>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</si>
  <si>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</si>
  <si>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</si>
  <si>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</si>
  <si>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</si>
  <si>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</si>
  <si>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</si>
  <si>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</si>
  <si>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</si>
  <si>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</si>
  <si>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</si>
  <si>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</si>
  <si>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</si>
  <si>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</si>
  <si>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</si>
  <si>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</si>
  <si>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</si>
  <si>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</si>
  <si>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</si>
  <si>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</si>
  <si>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</si>
  <si>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</si>
  <si>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</si>
  <si>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</si>
  <si>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</si>
  <si>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</si>
  <si>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</si>
  <si>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</si>
  <si>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</si>
  <si>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</si>
  <si>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</si>
  <si>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</si>
  <si>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</si>
  <si>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</si>
  <si>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</si>
  <si>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</si>
  <si>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</si>
  <si>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</si>
  <si>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</si>
  <si>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</si>
  <si>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</si>
  <si>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</si>
  <si>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</si>
  <si>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</si>
  <si>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</si>
  <si>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</si>
  <si>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</si>
  <si>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</si>
  <si>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</si>
  <si>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</si>
  <si>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</si>
  <si>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</si>
  <si>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</si>
  <si>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</si>
  <si>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</si>
  <si>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</si>
  <si>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</si>
  <si>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</si>
  <si>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</si>
  <si>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</si>
  <si>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</si>
  <si>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</si>
  <si>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</si>
  <si>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</si>
  <si>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</si>
  <si>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</si>
  <si>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</si>
  <si>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</si>
  <si>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</si>
  <si>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</si>
  <si>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</si>
  <si>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</si>
  <si>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</si>
  <si>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</si>
  <si>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</si>
  <si>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</si>
  <si>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</si>
  <si>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</si>
  <si>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</si>
  <si>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</si>
  <si>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</si>
  <si>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</si>
  <si>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</si>
  <si>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</si>
  <si>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</si>
  <si>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</si>
  <si>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</si>
  <si>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</si>
  <si>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</si>
  <si>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</si>
  <si>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</si>
  <si>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</si>
  <si>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</si>
  <si>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</si>
  <si>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</si>
  <si>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</si>
  <si>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</si>
  <si>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</si>
  <si>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</si>
  <si>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</si>
  <si>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</si>
  <si>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</si>
  <si>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</si>
  <si>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</si>
  <si>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</si>
  <si>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</si>
  <si>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</si>
  <si>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</si>
  <si>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</si>
  <si>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</si>
  <si>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</si>
  <si>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</si>
  <si>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</si>
  <si>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</si>
  <si>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</si>
  <si>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</si>
  <si>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</si>
  <si>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</si>
  <si>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</si>
  <si>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</si>
  <si>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</si>
  <si>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</si>
  <si>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</si>
  <si>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</si>
  <si>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</si>
  <si>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</si>
  <si>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</si>
  <si>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</si>
  <si>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</si>
  <si>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</si>
  <si>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</si>
  <si>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</si>
  <si>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</si>
  <si>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</si>
  <si>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</si>
  <si>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</si>
  <si>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</si>
  <si>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</si>
  <si>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</si>
  <si>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</si>
  <si>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</si>
  <si>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</si>
  <si>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</si>
  <si>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</si>
  <si>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</si>
  <si>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</si>
  <si>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</si>
  <si>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</si>
  <si>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</si>
  <si>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</si>
  <si>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</si>
  <si>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</si>
  <si>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</si>
  <si>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</si>
  <si>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</si>
  <si>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</si>
  <si>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</si>
  <si>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</si>
  <si>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</si>
  <si>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</si>
  <si>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</si>
  <si>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</si>
  <si>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</si>
  <si>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</si>
  <si>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</si>
  <si>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</si>
  <si>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</si>
  <si>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</si>
  <si>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</si>
  <si>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</si>
  <si>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</si>
  <si>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</si>
  <si>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</si>
  <si>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</si>
  <si>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</si>
  <si>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</si>
  <si>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</si>
  <si>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</si>
  <si>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</si>
  <si>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</si>
  <si>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</si>
  <si>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</si>
  <si>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</si>
  <si>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</si>
  <si>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</si>
  <si>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</si>
  <si>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</si>
  <si>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</si>
  <si>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</si>
  <si>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</si>
  <si>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</si>
  <si>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</si>
  <si>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</si>
  <si>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</si>
  <si>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</si>
  <si>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</si>
  <si>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</si>
  <si>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</si>
  <si>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</si>
  <si>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</si>
  <si>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</si>
  <si>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</si>
  <si>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</si>
  <si>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</si>
  <si>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</si>
  <si>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</si>
  <si>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</si>
  <si>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</si>
  <si>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</si>
  <si>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</si>
  <si>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</si>
  <si>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</si>
  <si>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</si>
  <si>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</si>
  <si>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</si>
  <si>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</si>
  <si>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</si>
  <si>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</si>
  <si>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</si>
  <si>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</si>
  <si>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</si>
  <si>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</si>
  <si>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</si>
  <si>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</si>
  <si>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</si>
  <si>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</si>
  <si>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</si>
  <si>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</si>
  <si>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</si>
  <si>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</si>
  <si>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</si>
  <si>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</si>
  <si>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</si>
  <si>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</si>
  <si>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</si>
  <si>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</si>
  <si>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</si>
  <si>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</si>
  <si>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</si>
  <si>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</si>
  <si>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</si>
  <si>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</si>
  <si>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</si>
  <si>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</si>
  <si>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</si>
  <si>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</si>
  <si>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</si>
  <si>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</si>
  <si>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</si>
  <si>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</si>
  <si>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</si>
  <si>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</si>
  <si>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</si>
  <si>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</si>
  <si>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</si>
  <si>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</si>
  <si>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</si>
  <si>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</si>
  <si>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</si>
  <si>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</si>
  <si>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</si>
  <si>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</si>
  <si>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</si>
  <si>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</si>
  <si>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</si>
  <si>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</si>
  <si>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</si>
  <si>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</si>
  <si>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</si>
  <si>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</si>
  <si>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</si>
  <si>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</si>
  <si>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</si>
  <si>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</si>
  <si>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</si>
  <si>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</si>
  <si>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</si>
  <si>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</si>
  <si>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</si>
  <si>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</si>
  <si>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</si>
  <si>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</si>
  <si>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</si>
  <si>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</si>
  <si>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</si>
  <si>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</si>
  <si>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</si>
  <si>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</si>
  <si>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</si>
  <si>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</si>
  <si>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</si>
  <si>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</si>
  <si>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</si>
  <si>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</si>
  <si>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</si>
  <si>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</si>
  <si>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</si>
  <si>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</si>
  <si>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</si>
  <si>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</si>
  <si>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</si>
  <si>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</si>
  <si>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</si>
  <si>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</si>
  <si>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</si>
  <si>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</si>
  <si>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</si>
  <si>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</si>
  <si>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</si>
  <si>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</si>
  <si>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</si>
  <si>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</si>
  <si>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</si>
  <si>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</si>
  <si>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</si>
  <si>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</si>
  <si>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</si>
  <si>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</si>
  <si>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</si>
  <si>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</si>
  <si>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</si>
  <si>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</si>
  <si>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</si>
  <si>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</si>
  <si>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</si>
  <si>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</si>
  <si>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</si>
  <si>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</si>
  <si>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</si>
  <si>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</si>
  <si>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</si>
  <si>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</si>
  <si>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</si>
  <si>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</si>
  <si>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</si>
  <si>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</si>
  <si>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</si>
  <si>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</si>
  <si>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</si>
  <si>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</si>
  <si>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</si>
  <si>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</si>
  <si>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</si>
  <si>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</si>
  <si>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</si>
  <si>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</si>
  <si>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</si>
  <si>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</si>
  <si>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</si>
  <si>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</si>
  <si>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</si>
  <si>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</si>
  <si>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</si>
  <si>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</si>
  <si>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</si>
  <si>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</si>
  <si>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</si>
  <si>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</si>
  <si>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</si>
  <si>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</si>
  <si>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</si>
  <si>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</si>
  <si>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</si>
  <si>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</si>
  <si>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</si>
  <si>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</si>
  <si>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</si>
  <si>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</si>
  <si>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</si>
  <si>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</si>
  <si>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</si>
  <si>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</si>
  <si>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</si>
  <si>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</si>
  <si>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</si>
  <si>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</si>
  <si>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</si>
  <si>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</si>
  <si>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</si>
  <si>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</si>
  <si>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</si>
  <si>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</si>
  <si>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</si>
  <si>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</si>
  <si>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</si>
  <si>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</si>
  <si>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</si>
  <si>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</si>
  <si>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</si>
  <si>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</si>
  <si>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</si>
  <si>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</si>
  <si>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</si>
  <si>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</si>
  <si>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</si>
  <si>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</si>
  <si>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</si>
  <si>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</si>
  <si>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</si>
  <si>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</si>
  <si>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</si>
  <si>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</si>
  <si>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</si>
  <si>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</si>
  <si>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</si>
  <si>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</si>
  <si>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</si>
  <si>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</si>
  <si>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</si>
  <si>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</si>
  <si>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</si>
  <si>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</si>
  <si>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</si>
  <si>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</si>
  <si>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</si>
  <si>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</si>
  <si>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</si>
  <si>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</si>
  <si>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</si>
  <si>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</si>
  <si>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</si>
  <si>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</si>
  <si>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</si>
  <si>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</si>
  <si>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</si>
  <si>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</si>
  <si>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</si>
  <si>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</si>
  <si>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</si>
  <si>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</si>
  <si>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</si>
  <si>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</si>
  <si>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</si>
  <si>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</si>
  <si>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</si>
  <si>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</si>
  <si>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</si>
  <si>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</si>
  <si>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</si>
  <si>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</si>
  <si>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</si>
  <si>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</si>
  <si>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</si>
  <si>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</si>
  <si>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</si>
  <si>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</si>
  <si>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</si>
  <si>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</si>
  <si>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</si>
  <si>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</si>
  <si>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</si>
  <si>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</si>
  <si>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</si>
  <si>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</si>
  <si>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</si>
  <si>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</si>
  <si>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</si>
  <si>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</si>
  <si>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</si>
  <si>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</si>
  <si>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</si>
  <si>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</si>
  <si>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</si>
  <si>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</si>
  <si>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</si>
  <si>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</si>
  <si>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</si>
  <si>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</si>
  <si>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</si>
  <si>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</si>
  <si>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</si>
  <si>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</si>
  <si>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</si>
  <si>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</si>
  <si>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</si>
  <si>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</si>
  <si>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</si>
  <si>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</si>
  <si>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</si>
  <si>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</si>
  <si>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</si>
  <si>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</si>
  <si>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</si>
  <si>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</si>
  <si>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</si>
  <si>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</si>
  <si>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</si>
  <si>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</si>
  <si>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</si>
  <si>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</si>
  <si>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</si>
  <si>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</si>
  <si>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</si>
  <si>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</si>
  <si>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</si>
  <si>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</si>
  <si>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</si>
  <si>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</si>
  <si>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</si>
  <si>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</si>
  <si>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</si>
  <si>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</si>
  <si>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</si>
  <si>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</si>
  <si>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</si>
  <si>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</si>
  <si>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</si>
  <si>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</si>
  <si>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</si>
  <si>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</si>
  <si>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</si>
  <si>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</si>
  <si>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</si>
  <si>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</si>
  <si>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</si>
  <si>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</si>
  <si>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</si>
  <si>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</si>
  <si>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</si>
  <si>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</si>
  <si>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</si>
  <si>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</si>
  <si>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</si>
  <si>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</si>
  <si>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</si>
  <si>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</si>
  <si>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</si>
  <si>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</si>
  <si>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</si>
  <si>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</si>
  <si>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</si>
  <si>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</si>
  <si>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</si>
  <si>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</si>
  <si>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</si>
  <si>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</si>
  <si>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</si>
  <si>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</si>
  <si>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</si>
  <si>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</si>
  <si>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</si>
  <si>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</si>
  <si>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</si>
  <si>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</si>
  <si>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</si>
  <si>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</si>
  <si>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</si>
  <si>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</si>
  <si>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</si>
  <si>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</si>
  <si>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</si>
  <si>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</si>
  <si>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</si>
  <si>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</si>
  <si>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</si>
  <si>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</si>
  <si>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</si>
  <si>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</si>
  <si>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</si>
  <si>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</si>
  <si>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</si>
  <si>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</si>
  <si>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</si>
  <si>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</si>
  <si>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</si>
  <si>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</si>
  <si>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</si>
  <si>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</si>
  <si>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</si>
  <si>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</si>
  <si>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</si>
  <si>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</si>
  <si>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</si>
  <si>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</si>
  <si>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</si>
  <si>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</si>
  <si>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</si>
  <si>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</si>
  <si>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</si>
  <si>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</si>
  <si>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</si>
  <si>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</si>
  <si>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</si>
  <si>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</si>
  <si>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</si>
  <si>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</si>
  <si>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</si>
  <si>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</si>
  <si>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</si>
  <si>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</si>
  <si>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</si>
  <si>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</si>
  <si>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</si>
  <si>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</si>
  <si>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</si>
  <si>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</si>
  <si>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</si>
  <si>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</si>
  <si>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</si>
  <si>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</si>
  <si>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</si>
  <si>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</si>
  <si>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</si>
  <si>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</si>
  <si>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</si>
  <si>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</si>
  <si>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</si>
  <si>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</si>
  <si>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</si>
  <si>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</si>
  <si>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</si>
  <si>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</si>
  <si>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</si>
  <si>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</si>
  <si>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</si>
  <si>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</si>
  <si>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</si>
  <si>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</si>
  <si>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</si>
  <si>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</si>
  <si>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</si>
  <si>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</si>
  <si>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</si>
  <si>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</si>
  <si>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</si>
  <si>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</si>
  <si>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</si>
  <si>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</si>
  <si>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</si>
  <si>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</si>
  <si>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</si>
  <si>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</si>
  <si>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</si>
  <si>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</si>
  <si>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</si>
  <si>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</si>
  <si>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</si>
  <si>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</si>
  <si>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</si>
  <si>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</si>
  <si>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</si>
  <si>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</si>
  <si>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</si>
  <si>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</si>
  <si>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</si>
  <si>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</si>
  <si>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</si>
  <si>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</si>
  <si>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</si>
  <si>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</si>
  <si>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</si>
  <si>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</si>
  <si>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</si>
  <si>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</si>
  <si>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</si>
  <si>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</si>
  <si>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</si>
  <si>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</si>
  <si>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</si>
  <si>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</si>
  <si>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</si>
  <si>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</si>
  <si>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</si>
  <si>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</si>
  <si>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</si>
  <si>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</si>
  <si>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</si>
  <si>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</si>
  <si>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</si>
  <si>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</si>
  <si>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</si>
  <si>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</si>
  <si>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</si>
  <si>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</si>
  <si>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</si>
  <si>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</si>
  <si>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</si>
  <si>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</si>
  <si>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</si>
  <si>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</si>
  <si>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</si>
  <si>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</si>
  <si>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</si>
  <si>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</si>
  <si>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</si>
  <si>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</si>
  <si>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</si>
  <si>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</si>
  <si>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</si>
  <si>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</si>
  <si>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</si>
  <si>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</si>
  <si>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</si>
  <si>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</si>
  <si>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</si>
  <si>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</si>
  <si>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</si>
  <si>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</si>
  <si>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</si>
  <si>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</si>
  <si>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</si>
  <si>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</si>
  <si>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</si>
  <si>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</si>
  <si>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</si>
  <si>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</si>
  <si>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</si>
  <si>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</si>
  <si>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</si>
  <si>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</si>
  <si>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</si>
  <si>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</si>
  <si>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</si>
  <si>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</si>
  <si>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</si>
  <si>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</si>
  <si>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</si>
  <si>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</si>
  <si>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</si>
  <si>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</si>
  <si>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</si>
  <si>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</si>
  <si>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</si>
  <si>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</si>
  <si>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</si>
  <si>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</si>
  <si>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</si>
  <si>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</si>
  <si>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</si>
  <si>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</si>
  <si>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</si>
  <si>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</si>
  <si>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</si>
  <si>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</si>
  <si>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</si>
  <si>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</si>
  <si>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</si>
  <si>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</si>
  <si>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</si>
  <si>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</si>
  <si>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</si>
  <si>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</si>
  <si>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</si>
  <si>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</si>
  <si>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</si>
  <si>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</si>
  <si>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</si>
  <si>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</si>
  <si>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</si>
  <si>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</si>
  <si>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</si>
  <si>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</si>
  <si>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</si>
  <si>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</si>
  <si>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</si>
  <si>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</si>
  <si>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</si>
  <si>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</si>
  <si>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</si>
  <si>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</si>
  <si>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</si>
  <si>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</si>
  <si>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</si>
  <si>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</si>
  <si>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</si>
  <si>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</si>
  <si>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</si>
  <si>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</si>
  <si>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</si>
  <si>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</si>
  <si>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</si>
  <si>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</si>
  <si>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</si>
  <si>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</si>
  <si>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</si>
  <si>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</si>
  <si>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</si>
  <si>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</si>
  <si>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</si>
  <si>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</si>
  <si>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</si>
  <si>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</si>
  <si>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</si>
  <si>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</si>
  <si>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</si>
  <si>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</si>
  <si>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</si>
  <si>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</si>
  <si>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</si>
  <si>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</si>
  <si>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</si>
  <si>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</si>
  <si>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</si>
  <si>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</si>
  <si>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</si>
  <si>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</si>
  <si>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</si>
  <si>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</si>
  <si>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</si>
  <si>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</si>
  <si>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</si>
  <si>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</si>
  <si>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</si>
  <si>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</si>
  <si>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</si>
  <si>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</si>
  <si>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</si>
  <si>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</si>
  <si>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</si>
  <si>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</si>
  <si>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</si>
  <si>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</si>
  <si>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</si>
  <si>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</si>
  <si>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</si>
  <si>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</si>
  <si>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</si>
  <si>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</si>
  <si>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</si>
  <si>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</si>
  <si>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</si>
  <si>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</si>
  <si>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</si>
  <si>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</si>
  <si>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</si>
  <si>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</si>
  <si>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</si>
  <si>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</si>
  <si>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</si>
  <si>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</si>
  <si>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</si>
  <si>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</si>
  <si>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</si>
  <si>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</si>
  <si>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</si>
  <si>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</si>
  <si>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</si>
  <si>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</si>
  <si>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</si>
  <si>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</si>
  <si>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</si>
  <si>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</si>
  <si>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</si>
  <si>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</si>
  <si>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</si>
  <si>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</si>
  <si>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</si>
  <si>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</si>
  <si>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</si>
  <si>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</si>
  <si>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</si>
  <si>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</si>
  <si>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</si>
  <si>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</si>
  <si>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</si>
  <si>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</si>
  <si>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</si>
  <si>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</si>
  <si>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</si>
  <si>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</si>
  <si>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</si>
  <si>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</si>
  <si>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</si>
  <si>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</si>
  <si>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</si>
  <si>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</si>
  <si>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</si>
  <si>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</si>
  <si>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</si>
  <si>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</si>
  <si>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</si>
  <si>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</si>
  <si>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</si>
  <si>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</si>
  <si>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</si>
  <si>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</si>
  <si>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</si>
  <si>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</si>
  <si>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</si>
  <si>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</si>
  <si>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</si>
  <si>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</si>
  <si>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</si>
  <si>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</si>
  <si>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</si>
  <si>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</si>
  <si>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</si>
  <si>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</si>
  <si>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</si>
  <si>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</si>
  <si>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</si>
  <si>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</si>
  <si>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</si>
  <si>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</si>
  <si>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</si>
  <si>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</si>
  <si>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</si>
  <si>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</si>
  <si>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</si>
  <si>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</si>
  <si>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</si>
  <si>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</si>
  <si>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</si>
  <si>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</si>
  <si>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</si>
  <si>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</si>
  <si>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</si>
  <si>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</si>
  <si>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</si>
  <si>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</si>
  <si>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</si>
  <si>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</si>
  <si>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</si>
  <si>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</si>
  <si>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</si>
  <si>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</si>
  <si>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</si>
  <si>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</si>
  <si>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</si>
  <si>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</si>
  <si>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</si>
  <si>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</si>
  <si>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</si>
  <si>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</si>
  <si>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</si>
  <si>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</si>
  <si>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</si>
  <si>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</si>
  <si>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</si>
  <si>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</si>
  <si>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</si>
  <si>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</si>
  <si>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</si>
  <si>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</si>
  <si>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</si>
  <si>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</si>
  <si>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</si>
  <si>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</si>
  <si>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</si>
  <si>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</si>
  <si>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</si>
  <si>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</si>
  <si>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</si>
  <si>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</si>
  <si>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</si>
  <si>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</si>
  <si>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</si>
  <si>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</si>
  <si>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</si>
  <si>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</si>
  <si>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</si>
  <si>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</si>
  <si>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</si>
  <si>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</si>
  <si>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</si>
  <si>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</si>
  <si>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</si>
  <si>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</si>
  <si>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</si>
  <si>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</si>
  <si>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</si>
  <si>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</si>
  <si>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</si>
  <si>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</si>
  <si>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</si>
  <si>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</si>
  <si>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</si>
  <si>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</si>
  <si>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</si>
  <si>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</si>
  <si>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</si>
  <si>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</si>
  <si>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</si>
  <si>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</si>
  <si>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</si>
  <si>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</si>
  <si>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</si>
  <si>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</si>
  <si>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</si>
  <si>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</si>
  <si>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</si>
  <si>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</si>
  <si>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</si>
  <si>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</si>
  <si>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</si>
  <si>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</si>
  <si>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</si>
  <si>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</si>
  <si>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</si>
  <si>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</si>
  <si>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</si>
  <si>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</si>
  <si>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</si>
  <si>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</si>
  <si>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</si>
  <si>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</si>
  <si>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</si>
  <si>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</si>
  <si>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</si>
  <si>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</si>
  <si>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</si>
  <si>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</si>
  <si>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</si>
  <si>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</si>
  <si>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</si>
  <si>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</si>
  <si>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</si>
  <si>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</si>
  <si>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</si>
  <si>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</si>
  <si>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</si>
  <si>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</si>
  <si>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</si>
  <si>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</si>
  <si>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</si>
  <si>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</si>
  <si>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</si>
  <si>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</si>
  <si>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</si>
  <si>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</si>
  <si>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</si>
  <si>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</si>
  <si>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</si>
  <si>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</si>
  <si>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</si>
  <si>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</si>
  <si>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</si>
  <si>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</si>
  <si>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</si>
  <si>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</si>
  <si>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</si>
  <si>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</si>
  <si>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</si>
  <si>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</si>
  <si>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</si>
  <si>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</si>
  <si>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</si>
  <si>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</si>
  <si>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</si>
  <si>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</si>
  <si>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</si>
  <si>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</si>
  <si>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</si>
  <si>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</si>
  <si>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</si>
  <si>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</si>
  <si>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</si>
  <si>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</si>
  <si>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</si>
  <si>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</si>
  <si>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</si>
  <si>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</si>
  <si>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</si>
  <si>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</si>
  <si>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</si>
  <si>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</si>
  <si>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</si>
  <si>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</si>
  <si>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</si>
  <si>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</si>
  <si>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</si>
  <si>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</si>
  <si>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</si>
  <si>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</si>
  <si>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</si>
  <si>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</si>
  <si>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</si>
  <si>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</si>
  <si>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</si>
  <si>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</si>
  <si>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</si>
  <si>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</si>
  <si>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</si>
  <si>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</si>
  <si>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</si>
  <si>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</si>
  <si>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</si>
  <si>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</si>
  <si>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</si>
  <si>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</si>
  <si>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</si>
  <si>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</si>
  <si>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</si>
  <si>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</si>
  <si>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</si>
  <si>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</si>
  <si>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</si>
  <si>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</si>
  <si>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</si>
  <si>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</si>
  <si>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</si>
  <si>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</si>
  <si>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</si>
  <si>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</si>
  <si>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</si>
  <si>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</si>
  <si>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</si>
  <si>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</si>
  <si>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</si>
  <si>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</si>
  <si>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</si>
  <si>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</si>
  <si>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</si>
  <si>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</si>
  <si>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</si>
  <si>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</si>
  <si>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</si>
  <si>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</si>
  <si>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</si>
  <si>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</si>
  <si>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</si>
  <si>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</si>
  <si>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</si>
  <si>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</si>
  <si>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</si>
  <si>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</si>
  <si>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</si>
  <si>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</si>
  <si>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</si>
  <si>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</si>
  <si>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</si>
  <si>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</si>
  <si>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</si>
  <si>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</si>
  <si>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</si>
  <si>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</si>
  <si>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</si>
  <si>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</si>
  <si>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</si>
  <si>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</si>
  <si>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</si>
  <si>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</si>
  <si>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</si>
  <si>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</si>
  <si>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</si>
  <si>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</si>
  <si>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</si>
  <si>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</si>
  <si>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</si>
  <si>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</si>
  <si>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</si>
  <si>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</si>
  <si>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</si>
  <si>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</si>
  <si>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</si>
  <si>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</si>
  <si>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</si>
  <si>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</si>
  <si>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</si>
  <si>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</si>
  <si>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</si>
  <si>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</si>
  <si>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</si>
  <si>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</si>
  <si>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</si>
  <si>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</si>
  <si>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</si>
  <si>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</si>
  <si>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</si>
  <si>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</si>
  <si>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</si>
  <si>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</si>
  <si>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</si>
  <si>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</si>
  <si>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</si>
  <si>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</si>
  <si>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</si>
  <si>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</si>
  <si>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</si>
  <si>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</si>
  <si>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</si>
  <si>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</si>
  <si>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</si>
  <si>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</si>
  <si>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</si>
  <si>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</si>
  <si>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</si>
  <si>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</si>
  <si>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</si>
  <si>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</si>
  <si>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</si>
  <si>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</si>
  <si>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</si>
  <si>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</si>
  <si>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</si>
  <si>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</si>
  <si>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</si>
  <si>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</si>
  <si>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</si>
  <si>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</si>
  <si>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</si>
  <si>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</si>
  <si>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</si>
  <si>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</si>
  <si>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</si>
  <si>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</si>
  <si>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</si>
  <si>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</si>
  <si>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</si>
  <si>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</si>
  <si>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</si>
  <si>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</si>
  <si>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</si>
  <si>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</si>
  <si>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</si>
  <si>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</si>
  <si>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</si>
  <si>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</si>
  <si>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</si>
  <si>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</si>
  <si>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</si>
  <si>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</si>
  <si>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</si>
  <si>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</si>
  <si>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</si>
  <si>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</si>
  <si>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</si>
  <si>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</si>
  <si>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</si>
  <si>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</si>
  <si>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</si>
  <si>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</si>
  <si>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</si>
  <si>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</si>
  <si>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</si>
  <si>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</si>
  <si>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</si>
  <si>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</si>
  <si>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</si>
  <si>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</si>
  <si>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</si>
  <si>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</si>
  <si>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</si>
  <si>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</si>
  <si>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</si>
  <si>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</si>
  <si>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</si>
  <si>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</si>
  <si>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</si>
  <si>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</si>
  <si>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</si>
  <si>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</si>
  <si>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</si>
  <si>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</si>
  <si>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</si>
  <si>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</si>
  <si>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</si>
  <si>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</si>
  <si>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</si>
  <si>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</si>
  <si>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</si>
  <si>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</si>
  <si>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</si>
  <si>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</si>
  <si>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</si>
  <si>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</si>
  <si>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</si>
  <si>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</si>
  <si>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</si>
  <si>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</si>
  <si>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</si>
  <si>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</si>
  <si>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</si>
  <si>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</si>
  <si>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</si>
  <si>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</si>
  <si>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</si>
  <si>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</si>
  <si>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</si>
  <si>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</si>
  <si>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</si>
  <si>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</si>
  <si>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</si>
  <si>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</si>
  <si>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</si>
  <si>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</si>
  <si>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</si>
  <si>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</si>
  <si>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</si>
  <si>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</si>
  <si>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</si>
  <si>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</si>
  <si>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</si>
  <si>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</si>
  <si>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</si>
  <si>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</si>
  <si>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</si>
  <si>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</si>
  <si>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</si>
  <si>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</si>
  <si>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</si>
  <si>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</si>
  <si>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</si>
  <si>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</si>
  <si>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</si>
  <si>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</si>
  <si>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</si>
  <si>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</si>
  <si>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</si>
  <si>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</si>
  <si>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</si>
  <si>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</si>
  <si>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</si>
  <si>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</si>
  <si>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</si>
  <si>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</si>
  <si>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</si>
  <si>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</si>
  <si>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</si>
  <si>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</si>
  <si>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</si>
  <si>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</si>
  <si>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</si>
  <si>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</si>
  <si>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</si>
  <si>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</si>
  <si>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</si>
  <si>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</si>
  <si>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</si>
  <si>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</si>
  <si>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</si>
  <si>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</si>
  <si>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</si>
  <si>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</si>
  <si>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</si>
  <si>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</si>
  <si>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</si>
  <si>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</si>
  <si>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</si>
  <si>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</si>
  <si>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</si>
  <si>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</si>
  <si>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</si>
  <si>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</si>
  <si>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</si>
  <si>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</si>
  <si>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</si>
  <si>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</si>
  <si>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</si>
  <si>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</si>
  <si>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</si>
  <si>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</si>
  <si>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</si>
  <si>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</si>
  <si>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</si>
  <si>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</si>
  <si>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</si>
  <si>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</si>
  <si>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</si>
  <si>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</si>
  <si>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</si>
  <si>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</si>
  <si>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</si>
  <si>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</si>
  <si>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</si>
  <si>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</si>
  <si>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</si>
  <si>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</si>
  <si>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</si>
  <si>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</si>
  <si>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</si>
  <si>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</si>
  <si>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</si>
  <si>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</si>
  <si>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</si>
  <si>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</si>
  <si>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</si>
  <si>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</si>
  <si>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</si>
  <si>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</si>
  <si>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</si>
  <si>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</si>
  <si>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</si>
  <si>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</si>
  <si>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</si>
  <si>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</si>
  <si>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</si>
  <si>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</si>
  <si>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</si>
  <si>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</si>
  <si>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</si>
  <si>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</si>
  <si>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</si>
  <si>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</si>
  <si>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</si>
  <si>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</si>
  <si>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</si>
  <si>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</si>
  <si>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</si>
  <si>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</si>
  <si>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</si>
  <si>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</si>
  <si>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</si>
  <si>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</si>
  <si>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</si>
  <si>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</si>
  <si>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</si>
  <si>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</si>
  <si>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</si>
  <si>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</si>
  <si>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</si>
  <si>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</si>
  <si>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</si>
  <si>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</si>
  <si>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</si>
  <si>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</si>
  <si>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</si>
  <si>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</si>
  <si>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</si>
  <si>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</si>
  <si>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</si>
  <si>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</si>
  <si>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</si>
  <si>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</si>
  <si>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</si>
  <si>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</si>
  <si>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</si>
  <si>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</si>
  <si>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</si>
  <si>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</si>
  <si>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</si>
  <si>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</si>
  <si>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</si>
  <si>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</si>
  <si>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</si>
  <si>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</si>
  <si>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</si>
  <si>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</si>
  <si>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</si>
  <si>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</si>
  <si>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</si>
  <si>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</si>
  <si>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</si>
  <si>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</si>
  <si>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</si>
  <si>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</si>
  <si>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</si>
  <si>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</si>
  <si>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</si>
  <si>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</si>
  <si>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</si>
  <si>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</si>
  <si>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</si>
  <si>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</si>
  <si>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</si>
  <si>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</si>
  <si>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</si>
  <si>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</si>
  <si>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</si>
  <si>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</si>
  <si>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</si>
  <si>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</si>
  <si>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</si>
  <si>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</si>
  <si>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</si>
  <si>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</si>
  <si>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</si>
  <si>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</si>
  <si>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</si>
  <si>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</si>
  <si>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</si>
  <si>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</si>
  <si>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</si>
  <si>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</si>
  <si>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</si>
  <si>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</si>
  <si>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</si>
  <si>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</si>
  <si>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</si>
  <si>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</si>
  <si>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</si>
  <si>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</si>
  <si>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</si>
  <si>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</si>
  <si>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</si>
  <si>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</si>
  <si>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</si>
  <si>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</si>
  <si>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</si>
  <si>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</si>
  <si>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</si>
  <si>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</si>
  <si>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</si>
  <si>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</si>
  <si>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</si>
  <si>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</si>
  <si>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</si>
  <si>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</si>
  <si>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</si>
  <si>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</si>
  <si>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</si>
  <si>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</si>
  <si>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</si>
  <si>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</si>
  <si>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</si>
  <si>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</si>
  <si>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</si>
  <si>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</si>
  <si>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</si>
  <si>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</si>
  <si>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</si>
  <si>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</si>
  <si>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</si>
  <si>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</si>
  <si>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</si>
  <si>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</si>
  <si>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</si>
  <si>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</si>
  <si>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</si>
  <si>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</si>
  <si>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</si>
  <si>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</si>
  <si>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</si>
  <si>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</si>
  <si>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</si>
  <si>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</si>
  <si>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</si>
  <si>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</si>
  <si>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</si>
  <si>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</si>
  <si>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</si>
  <si>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</si>
  <si>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</si>
  <si>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</si>
  <si>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</si>
  <si>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</si>
  <si>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</si>
  <si>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</si>
  <si>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</si>
  <si>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</si>
  <si>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</si>
  <si>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</si>
  <si>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</si>
  <si>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</si>
  <si>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</si>
  <si>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</si>
  <si>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</si>
  <si>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</si>
  <si>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</si>
  <si>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</si>
  <si>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</si>
  <si>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</si>
  <si>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</si>
  <si>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</si>
  <si>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</si>
  <si>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</si>
  <si>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</si>
  <si>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</si>
  <si>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</si>
  <si>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</si>
  <si>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</si>
  <si>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</si>
  <si>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</si>
  <si>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</si>
  <si>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</si>
  <si>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</si>
  <si>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</si>
  <si>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</si>
  <si>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</si>
  <si>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</si>
  <si>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</si>
  <si>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</si>
  <si>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</si>
  <si>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</si>
  <si>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</si>
  <si>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</si>
  <si>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</si>
  <si>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</si>
  <si>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</si>
  <si>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</si>
  <si>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</si>
  <si>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</si>
  <si>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</si>
  <si>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</si>
  <si>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</si>
  <si>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</si>
  <si>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</si>
  <si>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</si>
  <si>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</si>
  <si>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</si>
  <si>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</si>
  <si>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</si>
  <si>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</si>
  <si>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</si>
  <si>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</si>
  <si>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</si>
  <si>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</si>
  <si>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</si>
  <si>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</si>
  <si>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</si>
  <si>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</si>
  <si>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</si>
  <si>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</si>
  <si>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</si>
  <si>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</si>
  <si>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</si>
  <si>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</si>
  <si>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</si>
  <si>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</si>
  <si>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</si>
  <si>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</si>
  <si>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</si>
  <si>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</si>
  <si>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</si>
  <si>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</si>
  <si>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</si>
  <si>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</si>
  <si>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</si>
  <si>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</si>
  <si>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</si>
  <si>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</si>
  <si>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</si>
  <si>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</si>
  <si>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</si>
  <si>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</si>
  <si>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</si>
  <si>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</si>
  <si>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</si>
  <si>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</si>
  <si>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</si>
  <si>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</si>
  <si>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</si>
  <si>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</si>
  <si>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</si>
  <si>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</si>
  <si>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</si>
  <si>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</si>
  <si>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</si>
  <si>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</si>
  <si>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</si>
  <si>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</si>
  <si>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</si>
  <si>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</si>
  <si>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</si>
  <si>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</si>
  <si>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</si>
  <si>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</si>
  <si>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</si>
  <si>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</si>
  <si>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</si>
  <si>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</si>
  <si>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</si>
  <si>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</si>
  <si>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</si>
  <si>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</si>
  <si>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</si>
  <si>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</si>
  <si>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</si>
  <si>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</si>
  <si>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</si>
  <si>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</si>
  <si>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</si>
  <si>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</si>
  <si>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</si>
  <si>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</si>
  <si>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</si>
  <si>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</si>
  <si>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</si>
  <si>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</si>
  <si>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</si>
  <si>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</si>
  <si>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</si>
  <si>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</si>
  <si>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</si>
  <si>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</si>
  <si>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</si>
  <si>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</si>
  <si>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</si>
  <si>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</si>
  <si>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</si>
  <si>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</si>
  <si>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</si>
  <si>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</si>
  <si>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</si>
  <si>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</si>
  <si>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</si>
  <si>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</si>
  <si>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</si>
  <si>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</si>
  <si>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</si>
  <si>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</si>
  <si>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</si>
  <si>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</si>
  <si>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</si>
  <si>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</si>
  <si>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</si>
  <si>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</si>
  <si>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</si>
  <si>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</si>
  <si>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</si>
  <si>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</si>
  <si>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</si>
  <si>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</si>
  <si>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</si>
  <si>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</si>
  <si>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</si>
  <si>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</si>
  <si>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</si>
  <si>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</si>
  <si>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</si>
  <si>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</si>
  <si>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</si>
  <si>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</si>
  <si>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</si>
  <si>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</si>
  <si>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</si>
  <si>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</si>
  <si>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</si>
  <si>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</si>
  <si>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</si>
  <si>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</si>
  <si>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</si>
  <si>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</si>
  <si>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</si>
  <si>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</si>
  <si>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</si>
  <si>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</si>
  <si>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</si>
  <si>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</si>
  <si>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</si>
  <si>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</si>
  <si>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</si>
  <si>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</si>
  <si>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</si>
  <si>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</si>
  <si>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</si>
  <si>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</si>
  <si>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</si>
  <si>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</si>
  <si>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</si>
  <si>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</si>
  <si>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</si>
  <si>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</si>
  <si>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</si>
  <si>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</si>
  <si>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</si>
  <si>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</si>
  <si>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</si>
  <si>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</si>
  <si>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</si>
  <si>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</si>
  <si>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</si>
  <si>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</si>
  <si>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</si>
  <si>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</si>
  <si>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</si>
  <si>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</si>
  <si>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</si>
  <si>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</si>
  <si>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</si>
  <si>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</si>
  <si>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</si>
  <si>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</si>
  <si>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</si>
  <si>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</si>
  <si>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</si>
  <si>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</si>
  <si>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</si>
  <si>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</si>
  <si>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</si>
  <si>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</si>
  <si>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</si>
  <si>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</si>
  <si>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</si>
  <si>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</si>
  <si>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</si>
  <si>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</si>
  <si>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</si>
  <si>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</si>
  <si>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</si>
  <si>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</si>
  <si>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</si>
  <si>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</si>
  <si>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</si>
  <si>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</si>
  <si>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</si>
  <si>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</si>
  <si>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</si>
  <si>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</si>
  <si>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</si>
  <si>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</si>
  <si>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</si>
  <si>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</si>
  <si>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</si>
  <si>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</si>
  <si>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</si>
  <si>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</si>
  <si>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</si>
  <si>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</si>
  <si>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</si>
  <si>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</si>
  <si>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</si>
  <si>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</si>
  <si>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</si>
  <si>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</si>
  <si>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</si>
  <si>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</si>
  <si>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</si>
  <si>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</si>
  <si>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</si>
  <si>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</si>
  <si>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</si>
  <si>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</si>
  <si>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</si>
  <si>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</si>
  <si>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</si>
  <si>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</si>
  <si>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</si>
  <si>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</si>
  <si>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</si>
  <si>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</si>
  <si>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</si>
  <si>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</si>
  <si>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</si>
  <si>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</si>
  <si>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</si>
  <si>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</si>
  <si>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</si>
  <si>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</si>
  <si>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</si>
  <si>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</si>
  <si>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</si>
  <si>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</si>
  <si>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</si>
  <si>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</si>
  <si>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</si>
  <si>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</si>
  <si>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</si>
  <si>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</si>
  <si>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</si>
  <si>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</si>
  <si>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</si>
  <si>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</si>
  <si>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</si>
  <si>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</si>
  <si>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</si>
  <si>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</si>
  <si>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</si>
  <si>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</si>
  <si>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</si>
  <si>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</si>
  <si>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</si>
  <si>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</si>
  <si>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</si>
  <si>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</si>
  <si>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</si>
  <si>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</si>
  <si>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</si>
  <si>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</si>
  <si>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</si>
  <si>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</si>
  <si>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</si>
  <si>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</si>
  <si>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</si>
  <si>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</si>
  <si>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</si>
  <si>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</si>
  <si>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</si>
  <si>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</si>
  <si>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</si>
  <si>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</si>
  <si>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</si>
  <si>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</si>
  <si>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</si>
  <si>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</si>
  <si>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</si>
  <si>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</si>
  <si>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</si>
  <si>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</si>
  <si>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</si>
  <si>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</si>
  <si>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</si>
  <si>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</si>
  <si>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</si>
  <si>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</si>
  <si>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</si>
  <si>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</si>
  <si>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</si>
  <si>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</si>
  <si>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</si>
  <si>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</si>
  <si>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</si>
  <si>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</si>
  <si>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</si>
  <si>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</si>
  <si>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</si>
  <si>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</si>
  <si>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</si>
  <si>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</si>
  <si>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</si>
  <si>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</si>
  <si>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</si>
  <si>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</si>
  <si>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</si>
  <si>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</si>
  <si>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</si>
  <si>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</si>
  <si>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</si>
  <si>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</si>
  <si>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</si>
  <si>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</si>
  <si>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</si>
  <si>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</si>
  <si>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</si>
  <si>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</si>
  <si>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</si>
  <si>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</si>
  <si>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</si>
  <si>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</si>
  <si>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</si>
  <si>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</si>
  <si>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</si>
  <si>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</si>
  <si>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</si>
  <si>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</si>
  <si>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</si>
  <si>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</si>
  <si>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</si>
  <si>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</si>
  <si>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</si>
  <si>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</si>
  <si>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</si>
  <si>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</si>
  <si>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</si>
  <si>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</si>
  <si>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</si>
  <si>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</si>
  <si>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</si>
  <si>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</si>
  <si>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</si>
  <si>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</si>
  <si>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</si>
  <si>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</si>
  <si>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</si>
  <si>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</si>
  <si>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</si>
  <si>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</si>
  <si>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</si>
  <si>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</si>
  <si>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</si>
  <si>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</si>
  <si>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</si>
  <si>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</si>
  <si>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</si>
  <si>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</si>
  <si>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</si>
  <si>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</si>
  <si>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</si>
  <si>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</si>
  <si>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</si>
  <si>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</si>
  <si>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</si>
  <si>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</si>
  <si>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</si>
  <si>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</si>
  <si>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</si>
  <si>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</si>
  <si>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</si>
  <si>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</si>
  <si>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</si>
  <si>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</si>
  <si>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</si>
  <si>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</si>
  <si>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</si>
  <si>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</si>
  <si>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</si>
  <si>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</si>
  <si>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</si>
  <si>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</si>
  <si>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</si>
  <si>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</si>
  <si>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</si>
  <si>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</si>
  <si>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</si>
  <si>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</si>
  <si>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</si>
  <si>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</si>
  <si>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</si>
  <si>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</si>
  <si>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</si>
  <si>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</si>
  <si>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</si>
  <si>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</si>
  <si>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</si>
  <si>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</si>
  <si>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</si>
  <si>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</si>
  <si>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</si>
  <si>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</si>
  <si>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</si>
  <si>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</si>
  <si>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</si>
  <si>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</si>
  <si>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</si>
  <si>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</si>
  <si>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</si>
  <si>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</si>
  <si>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</si>
  <si>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</si>
  <si>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</si>
  <si>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</si>
  <si>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</si>
  <si>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</si>
  <si>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</si>
  <si>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</si>
  <si>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</si>
  <si>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</si>
  <si>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</si>
  <si>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</si>
  <si>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</si>
  <si>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</si>
  <si>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</si>
  <si>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</si>
  <si>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</si>
  <si>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</si>
  <si>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</si>
  <si>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</si>
  <si>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</si>
  <si>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</si>
  <si>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</si>
  <si>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</si>
  <si>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</si>
  <si>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</si>
  <si>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</si>
  <si>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</si>
  <si>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</si>
  <si>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</si>
  <si>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</si>
  <si>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</si>
  <si>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</si>
  <si>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</si>
  <si>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</si>
  <si>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</si>
  <si>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</si>
  <si>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</si>
  <si>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</si>
  <si>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</si>
  <si>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</si>
  <si>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</si>
  <si>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</si>
  <si>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</si>
  <si>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</si>
  <si>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</si>
  <si>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</si>
  <si>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</si>
  <si>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</si>
  <si>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</si>
  <si>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</si>
  <si>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</si>
  <si>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</si>
  <si>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</si>
  <si>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</si>
  <si>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</si>
  <si>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</si>
  <si>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</si>
  <si>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</si>
  <si>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</si>
  <si>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</si>
  <si>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</si>
  <si>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</si>
  <si>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</si>
  <si>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</si>
  <si>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</si>
  <si>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</si>
  <si>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</si>
  <si>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</si>
  <si>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</si>
  <si>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</si>
  <si>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</si>
  <si>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</si>
  <si>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</si>
  <si>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</si>
  <si>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</si>
  <si>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</si>
  <si>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</si>
  <si>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</si>
  <si>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</si>
  <si>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</si>
  <si>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</si>
  <si>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</si>
  <si>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</si>
  <si>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</si>
  <si>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</si>
  <si>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</si>
  <si>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</si>
  <si>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</si>
  <si>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</si>
  <si>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</si>
  <si>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</si>
  <si>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</si>
  <si>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</si>
  <si>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</si>
  <si>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</si>
  <si>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</si>
  <si>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</si>
  <si>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</si>
  <si>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</si>
  <si>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</si>
  <si>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</si>
  <si>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</si>
  <si>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</si>
  <si>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</si>
  <si>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</si>
  <si>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</si>
  <si>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</si>
  <si>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</si>
  <si>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</si>
  <si>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</si>
  <si>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</si>
  <si>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</si>
  <si>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</si>
  <si>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</si>
  <si>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</si>
  <si>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</si>
  <si>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</si>
  <si>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</si>
  <si>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</si>
  <si>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</si>
  <si>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</si>
  <si>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</si>
  <si>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</si>
  <si>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</si>
  <si>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</si>
  <si>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</si>
  <si>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</si>
  <si>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</si>
  <si>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</si>
  <si>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</si>
  <si>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</si>
  <si>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</si>
  <si>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</si>
  <si>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</si>
  <si>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</si>
  <si>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</si>
  <si>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</si>
  <si>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</si>
  <si>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</si>
  <si>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</si>
  <si>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</si>
  <si>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</si>
  <si>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</si>
  <si>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</si>
  <si>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</si>
  <si>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</si>
  <si>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</si>
  <si>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</si>
  <si>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</si>
  <si>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</si>
  <si>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</si>
  <si>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</si>
  <si>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</si>
  <si>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</si>
  <si>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</si>
  <si>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</si>
  <si>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</si>
  <si>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</si>
  <si>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</si>
  <si>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</si>
  <si>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</si>
  <si>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</si>
  <si>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</si>
  <si>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</si>
  <si>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</si>
  <si>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</si>
  <si>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</si>
  <si>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</si>
  <si>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</si>
  <si>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</si>
  <si>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</si>
  <si>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</si>
  <si>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</si>
  <si>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</si>
  <si>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</si>
  <si>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</si>
  <si>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</si>
  <si>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</si>
  <si>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</si>
  <si>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</si>
  <si>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</si>
  <si>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</si>
  <si>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</si>
  <si>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</si>
  <si>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</si>
  <si>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</si>
  <si>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</si>
  <si>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</si>
  <si>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</si>
  <si>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</si>
  <si>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</si>
  <si>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</si>
  <si>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</si>
  <si>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</si>
  <si>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</si>
  <si>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</si>
  <si>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</si>
  <si>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</si>
  <si>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</si>
  <si>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</si>
  <si>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</si>
  <si>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</si>
  <si>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</si>
  <si>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</si>
  <si>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</si>
  <si>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</si>
  <si>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</si>
  <si>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</si>
  <si>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</si>
  <si>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</si>
  <si>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</si>
  <si>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</si>
  <si>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</si>
  <si>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</si>
  <si>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</si>
  <si>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</si>
  <si>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</si>
  <si>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</si>
  <si>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</si>
  <si>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</si>
  <si>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</si>
  <si>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</si>
  <si>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</si>
  <si>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</si>
  <si>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</si>
  <si>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</si>
  <si>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</si>
  <si>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</si>
  <si>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</si>
  <si>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</si>
  <si>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</si>
  <si>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</si>
  <si>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</si>
  <si>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</si>
  <si>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</si>
  <si>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</si>
  <si>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</si>
  <si>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</si>
  <si>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</si>
  <si>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</si>
  <si>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</si>
  <si>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</si>
  <si>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</si>
  <si>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</si>
  <si>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</si>
  <si>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</si>
  <si>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</si>
  <si>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</si>
  <si>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</si>
  <si>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</si>
  <si>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</si>
  <si>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</si>
  <si>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</si>
  <si>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</si>
  <si>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</si>
  <si>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</si>
  <si>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</si>
  <si>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</si>
  <si>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</si>
  <si>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</si>
  <si>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</si>
  <si>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</si>
  <si>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</si>
  <si>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</si>
  <si>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</si>
  <si>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</si>
  <si>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</si>
  <si>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</si>
  <si>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</si>
  <si>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</si>
  <si>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</si>
  <si>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</si>
  <si>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</si>
  <si>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</si>
  <si>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</si>
  <si>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</si>
  <si>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</si>
  <si>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</si>
  <si>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</si>
  <si>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</si>
  <si>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</si>
  <si>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</si>
  <si>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</si>
  <si>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</si>
  <si>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</si>
  <si>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</si>
  <si>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</si>
  <si>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</si>
  <si>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</si>
  <si>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</si>
  <si>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</si>
  <si>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</si>
  <si>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</si>
  <si>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</si>
  <si>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</si>
  <si>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</si>
  <si>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</si>
  <si>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</si>
  <si>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</si>
  <si>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</si>
  <si>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</si>
  <si>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</si>
  <si>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</si>
  <si>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</si>
  <si>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</si>
  <si>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</si>
  <si>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</si>
  <si>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</si>
  <si>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</si>
  <si>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</si>
  <si>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</si>
  <si>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</si>
  <si>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</si>
  <si>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</si>
  <si>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</si>
  <si>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</si>
  <si>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</si>
  <si>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</si>
  <si>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</si>
  <si>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</si>
  <si>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</si>
  <si>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</si>
  <si>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</si>
  <si>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</si>
  <si>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</si>
  <si>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</si>
  <si>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</si>
  <si>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</si>
  <si>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</si>
  <si>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</si>
  <si>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</si>
  <si>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</si>
  <si>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</si>
  <si>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</si>
  <si>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</si>
  <si>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</si>
  <si>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</si>
  <si>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</si>
  <si>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</si>
  <si>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</si>
  <si>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</si>
  <si>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</si>
  <si>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</si>
  <si>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</si>
  <si>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</si>
  <si>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</si>
  <si>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</si>
  <si>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</si>
  <si>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</si>
  <si>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</si>
  <si>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</si>
  <si>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</si>
  <si>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</si>
  <si>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</si>
  <si>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</si>
  <si>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</si>
  <si>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</si>
  <si>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</si>
  <si>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</si>
  <si>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</si>
  <si>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</si>
  <si>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</si>
  <si>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</si>
  <si>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</si>
  <si>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</si>
  <si>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</si>
  <si>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</si>
  <si>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</si>
  <si>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</si>
  <si>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</si>
  <si>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</si>
  <si>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</si>
  <si>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</si>
  <si>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</si>
  <si>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</si>
  <si>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</si>
  <si>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</si>
  <si>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</si>
  <si>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</si>
  <si>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</si>
  <si>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</si>
  <si>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</si>
  <si>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</si>
  <si>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</si>
  <si>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</si>
  <si>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</si>
  <si>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</si>
  <si>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</si>
  <si>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</si>
  <si>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</si>
  <si>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</si>
  <si>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</si>
  <si>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</si>
  <si>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</si>
  <si>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</si>
  <si>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</si>
  <si>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</si>
  <si>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</si>
  <si>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</si>
  <si>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</si>
  <si>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</si>
  <si>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</si>
  <si>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</si>
  <si>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</si>
  <si>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</si>
  <si>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</si>
  <si>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</si>
  <si>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</si>
  <si>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</si>
  <si>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</si>
  <si>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</si>
  <si>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</si>
  <si>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</si>
  <si>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</si>
  <si>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</si>
  <si>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</si>
  <si>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</si>
  <si>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</si>
  <si>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</si>
  <si>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</si>
  <si>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</si>
  <si>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</si>
  <si>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</si>
  <si>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</si>
  <si>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</si>
  <si>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</si>
  <si>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</si>
  <si>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</si>
  <si>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</si>
  <si>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</si>
  <si>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</si>
  <si>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</si>
  <si>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</si>
  <si>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</si>
  <si>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</si>
  <si>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</si>
  <si>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</si>
  <si>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</si>
  <si>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</si>
  <si>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</si>
  <si>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</si>
  <si>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</si>
  <si>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</si>
  <si>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</si>
  <si>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</si>
  <si>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</si>
  <si>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</si>
  <si>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</si>
  <si>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</si>
  <si>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</si>
  <si>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</si>
  <si>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</si>
  <si>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</si>
  <si>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</si>
  <si>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</si>
  <si>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</si>
  <si>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</si>
  <si>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</si>
  <si>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</si>
  <si>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</si>
  <si>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</si>
  <si>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</si>
  <si>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</si>
  <si>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</si>
  <si>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</si>
  <si>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</si>
  <si>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</si>
  <si>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</si>
  <si>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</si>
  <si>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</si>
  <si>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</si>
  <si>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</si>
  <si>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</si>
  <si>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</si>
  <si>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</si>
  <si>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</si>
  <si>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</si>
  <si>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</si>
  <si>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</si>
  <si>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</si>
  <si>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</si>
  <si>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</si>
  <si>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</si>
  <si>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</si>
  <si>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</si>
  <si>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</si>
  <si>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</si>
  <si>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</si>
  <si>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</si>
  <si>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</si>
  <si>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</si>
  <si>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</si>
  <si>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</si>
  <si>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</si>
  <si>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</si>
  <si>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</si>
  <si>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</si>
  <si>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</si>
  <si>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</si>
  <si>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</si>
  <si>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</si>
  <si>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</si>
  <si>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</si>
  <si>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</si>
  <si>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</si>
  <si>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</si>
  <si>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</si>
  <si>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</si>
  <si>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</si>
  <si>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</si>
  <si>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</si>
  <si>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</si>
  <si>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</si>
  <si>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</si>
  <si>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</si>
  <si>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</si>
  <si>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</si>
  <si>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</si>
  <si>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</si>
  <si>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</si>
  <si>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</si>
  <si>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</si>
  <si>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</si>
  <si>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</si>
  <si>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</si>
  <si>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</si>
  <si>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</si>
  <si>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</si>
  <si>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</si>
  <si>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</si>
  <si>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</si>
  <si>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</si>
  <si>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</si>
  <si>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</si>
  <si>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</si>
  <si>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</si>
  <si>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</si>
  <si>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</si>
  <si>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</si>
  <si>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</si>
  <si>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</si>
  <si>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</si>
  <si>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</si>
  <si>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</si>
  <si>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</si>
  <si>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</si>
  <si>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</si>
  <si>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</si>
  <si>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</si>
  <si>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</si>
  <si>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</si>
  <si>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</si>
  <si>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</si>
  <si>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</si>
  <si>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</si>
  <si>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</si>
  <si>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</si>
  <si>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</si>
  <si>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</si>
  <si>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</si>
  <si>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</si>
  <si>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</si>
  <si>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</si>
  <si>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</si>
  <si>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</si>
  <si>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</si>
  <si>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</si>
  <si>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</si>
  <si>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</si>
  <si>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</si>
  <si>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</si>
  <si>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</si>
  <si>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</si>
  <si>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</si>
  <si>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</si>
  <si>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</si>
  <si>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</si>
  <si>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</si>
  <si>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</si>
  <si>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</si>
  <si>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</si>
  <si>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</si>
  <si>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</si>
  <si>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</si>
  <si>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</si>
  <si>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</si>
  <si>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</si>
  <si>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</si>
  <si>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</si>
  <si>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</si>
  <si>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</si>
  <si>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</si>
  <si>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</si>
  <si>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</si>
  <si>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</si>
  <si>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</si>
  <si>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</si>
  <si>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</si>
  <si>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</si>
  <si>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</si>
  <si>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</si>
  <si>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</si>
  <si>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</si>
  <si>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</si>
  <si>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</si>
  <si>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</si>
  <si>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</si>
  <si>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</si>
  <si>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</si>
  <si>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</si>
  <si>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</si>
  <si>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</si>
  <si>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</si>
  <si>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</si>
  <si>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</si>
  <si>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</si>
  <si>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</si>
  <si>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</si>
  <si>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</si>
  <si>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</si>
  <si>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</si>
  <si>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</si>
  <si>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</si>
  <si>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</si>
  <si>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</si>
  <si>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</si>
  <si>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</si>
  <si>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</si>
  <si>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</si>
  <si>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</si>
  <si>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</si>
  <si>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</si>
  <si>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</si>
  <si>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</si>
  <si>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</si>
  <si>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</si>
  <si>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</si>
  <si>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</si>
  <si>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</si>
  <si>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</si>
  <si>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</si>
  <si>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</si>
  <si>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</si>
  <si>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</si>
  <si>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</si>
  <si>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</si>
  <si>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</si>
  <si>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</si>
  <si>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</si>
  <si>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</si>
  <si>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</si>
  <si>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</si>
  <si>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</si>
  <si>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</si>
  <si>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</si>
  <si>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</si>
  <si>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</si>
  <si>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</si>
  <si>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</si>
  <si>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</si>
  <si>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</si>
  <si>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</si>
  <si>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</si>
  <si>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</si>
  <si>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</si>
  <si>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</si>
  <si>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</si>
  <si>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</si>
  <si>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</si>
  <si>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</si>
  <si>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</si>
  <si>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</si>
  <si>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</si>
  <si>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</si>
  <si>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</si>
  <si>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</si>
  <si>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</si>
  <si>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</si>
  <si>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</si>
  <si>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</si>
  <si>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</si>
  <si>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</si>
  <si>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</si>
  <si>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</si>
  <si>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</si>
  <si>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</si>
  <si>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</si>
  <si>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</si>
  <si>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</si>
  <si>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</si>
  <si>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</si>
  <si>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</si>
  <si>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</si>
  <si>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</si>
  <si>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</si>
  <si>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</si>
  <si>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</si>
  <si>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</si>
  <si>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</si>
  <si>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</si>
  <si>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</si>
  <si>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</si>
  <si>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</si>
  <si>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</si>
  <si>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</si>
  <si>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</si>
  <si>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</si>
  <si>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</si>
  <si>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</si>
  <si>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</si>
  <si>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</si>
  <si>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</si>
  <si>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</si>
  <si>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</si>
  <si>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</si>
  <si>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</si>
  <si>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</si>
  <si>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</si>
  <si>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</si>
  <si>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</si>
  <si>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</si>
  <si>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</si>
  <si>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</si>
  <si>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</si>
  <si>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</si>
  <si>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</si>
  <si>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</si>
  <si>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</si>
  <si>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</si>
  <si>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</si>
  <si>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</si>
  <si>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</si>
  <si>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</si>
  <si>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</si>
  <si>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</si>
  <si>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</si>
  <si>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</si>
  <si>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</si>
  <si>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</si>
  <si>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</si>
  <si>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</si>
  <si>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</si>
  <si>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</si>
  <si>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</si>
  <si>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</si>
  <si>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</si>
  <si>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</si>
  <si>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</si>
  <si>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</si>
  <si>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</si>
  <si>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</si>
  <si>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</si>
  <si>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</si>
  <si>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</si>
  <si>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</si>
  <si>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</si>
  <si>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</si>
  <si>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</si>
  <si>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</si>
  <si>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</si>
  <si>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</si>
  <si>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</si>
  <si>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</si>
  <si>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</si>
  <si>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</si>
  <si>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</si>
  <si>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</si>
  <si>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</si>
  <si>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</si>
  <si>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</si>
  <si>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</si>
  <si>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</si>
  <si>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</si>
  <si>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</si>
  <si>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</si>
  <si>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</si>
  <si>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</si>
  <si>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</si>
  <si>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</si>
  <si>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</si>
  <si>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</si>
  <si>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</si>
  <si>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</si>
  <si>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</si>
  <si>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</si>
  <si>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</si>
  <si>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</si>
  <si>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</si>
  <si>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</si>
  <si>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</si>
  <si>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</si>
  <si>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</si>
  <si>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</si>
  <si>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</si>
  <si>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</si>
  <si>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</si>
  <si>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</si>
  <si>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</si>
  <si>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</si>
  <si>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</si>
  <si>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</si>
  <si>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</si>
  <si>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</si>
  <si>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</si>
  <si>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</si>
  <si>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</si>
  <si>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</si>
  <si>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</si>
  <si>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</si>
  <si>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</si>
  <si>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</si>
  <si>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</si>
  <si>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</si>
  <si>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</si>
  <si>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</si>
  <si>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</si>
  <si>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</si>
  <si>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</si>
  <si>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</si>
  <si>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</si>
  <si>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</si>
  <si>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</si>
  <si>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</si>
  <si>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</si>
  <si>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</si>
  <si>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</si>
  <si>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</si>
  <si>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</si>
  <si>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</si>
  <si>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</si>
  <si>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</si>
  <si>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</si>
  <si>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</si>
  <si>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</si>
  <si>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</si>
  <si>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</si>
  <si>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</si>
  <si>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</si>
  <si>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</si>
  <si>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</si>
  <si>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</si>
  <si>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</si>
  <si>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</si>
  <si>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</si>
  <si>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</si>
  <si>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</si>
  <si>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</si>
  <si>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</si>
  <si>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</si>
  <si>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</si>
  <si>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</si>
  <si>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</si>
  <si>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</si>
  <si>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</si>
  <si>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</si>
  <si>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</si>
  <si>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</si>
  <si>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</si>
  <si>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</si>
  <si>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</si>
  <si>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</si>
  <si>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</si>
  <si>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</si>
  <si>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</si>
  <si>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</si>
  <si>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</si>
  <si>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</si>
  <si>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</si>
  <si>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</si>
  <si>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</si>
  <si>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</si>
  <si>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</si>
  <si>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</si>
  <si>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</si>
  <si>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</si>
  <si>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</si>
  <si>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</si>
  <si>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</si>
  <si>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</si>
  <si>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</si>
  <si>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</si>
  <si>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</si>
  <si>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</si>
  <si>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</si>
  <si>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</si>
  <si>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</si>
  <si>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</si>
  <si>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</si>
  <si>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</si>
  <si>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</si>
  <si>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</si>
  <si>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</si>
  <si>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</si>
  <si>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</si>
  <si>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</si>
  <si>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</si>
  <si>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</si>
  <si>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</si>
  <si>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</si>
  <si>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</si>
  <si>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</si>
  <si>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</si>
  <si>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</si>
  <si>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</si>
  <si>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</si>
  <si>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</si>
  <si>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</si>
  <si>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</si>
  <si>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</si>
  <si>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</si>
  <si>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</si>
  <si>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</si>
  <si>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</si>
  <si>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</si>
  <si>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</si>
  <si>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</si>
  <si>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</si>
  <si>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</si>
  <si>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</si>
  <si>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</si>
  <si>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</si>
  <si>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</si>
  <si>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</si>
  <si>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</si>
  <si>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</si>
  <si>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</si>
  <si>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</si>
  <si>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</si>
  <si>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</si>
  <si>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</si>
  <si>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</si>
  <si>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</si>
  <si>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</si>
  <si>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</si>
  <si>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</si>
  <si>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</si>
  <si>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</si>
  <si>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</si>
  <si>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</si>
  <si>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</si>
  <si>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</si>
  <si>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</si>
  <si>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</si>
  <si>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</si>
  <si>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</si>
  <si>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</si>
  <si>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</si>
  <si>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</si>
  <si>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</si>
  <si>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</si>
  <si>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</si>
  <si>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</si>
  <si>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</si>
  <si>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</si>
  <si>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</si>
  <si>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</si>
  <si>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</si>
  <si>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</si>
  <si>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</si>
  <si>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</si>
  <si>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</si>
  <si>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</si>
  <si>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</si>
  <si>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</si>
  <si>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</si>
  <si>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</si>
  <si>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</si>
  <si>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</si>
  <si>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</si>
  <si>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</si>
  <si>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</si>
  <si>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</si>
  <si>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</si>
  <si>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</si>
  <si>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</si>
  <si>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</si>
  <si>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</si>
  <si>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</si>
  <si>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</si>
  <si>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</si>
  <si>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</si>
  <si>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</si>
  <si>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</si>
  <si>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</si>
  <si>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</si>
  <si>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</si>
  <si>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</si>
  <si>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</si>
  <si>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</si>
  <si>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</si>
  <si>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</si>
  <si>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</si>
  <si>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</si>
  <si>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</si>
  <si>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</si>
  <si>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</si>
  <si>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</si>
  <si>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</si>
  <si>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</si>
  <si>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</si>
  <si>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</si>
  <si>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</si>
  <si>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</si>
  <si>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</si>
  <si>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</si>
  <si>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</si>
  <si>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</si>
  <si>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</si>
  <si>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</si>
  <si>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</si>
  <si>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</si>
  <si>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</si>
  <si>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</si>
  <si>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</si>
  <si>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</si>
  <si>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</si>
  <si>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</si>
  <si>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</si>
  <si>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</si>
  <si>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</si>
  <si>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</si>
  <si>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</si>
  <si>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</si>
  <si>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</si>
  <si>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</si>
  <si>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</si>
  <si>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</si>
  <si>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</si>
  <si>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</si>
  <si>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</si>
  <si>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</si>
  <si>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</si>
  <si>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</si>
  <si>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</si>
  <si>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</si>
  <si>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</si>
  <si>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</si>
  <si>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</si>
  <si>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</si>
  <si>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</si>
  <si>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</si>
  <si>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</si>
  <si>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</si>
  <si>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</si>
  <si>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</si>
  <si>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</si>
  <si>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</si>
  <si>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</si>
  <si>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</si>
  <si>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</si>
  <si>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</si>
  <si>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</si>
  <si>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</si>
  <si>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</si>
  <si>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</si>
  <si>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</si>
  <si>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</si>
  <si>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</si>
  <si>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</si>
  <si>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</si>
  <si>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</si>
  <si>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</si>
  <si>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</si>
  <si>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</si>
  <si>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</si>
  <si>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</si>
  <si>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</si>
  <si>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</si>
  <si>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</si>
  <si>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</si>
  <si>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</si>
  <si>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</si>
  <si>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</si>
  <si>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</si>
  <si>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</si>
  <si>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</si>
  <si>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</si>
  <si>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</si>
  <si>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</si>
  <si>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</si>
  <si>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</si>
  <si>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</si>
  <si>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</si>
  <si>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</si>
  <si>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</si>
  <si>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</si>
  <si>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</si>
  <si>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</si>
  <si>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</si>
  <si>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</si>
  <si>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</si>
  <si>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</si>
  <si>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</si>
  <si>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</si>
  <si>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</si>
  <si>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</si>
  <si>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</si>
  <si>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</si>
  <si>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</si>
  <si>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</si>
  <si>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</si>
  <si>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</si>
  <si>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</si>
  <si>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</si>
  <si>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</si>
  <si>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</si>
  <si>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</si>
  <si>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</si>
  <si>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</si>
  <si>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</si>
  <si>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</si>
  <si>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</si>
  <si>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</si>
  <si>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</si>
  <si>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</si>
  <si>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</si>
  <si>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</si>
  <si>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</si>
  <si>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</si>
  <si>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</si>
  <si>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</si>
  <si>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</si>
  <si>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</si>
  <si>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</si>
  <si>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</si>
  <si>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</si>
  <si>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</si>
  <si>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</si>
  <si>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</si>
  <si>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</si>
  <si>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</si>
  <si>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</si>
  <si>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</si>
  <si>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</si>
  <si>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</si>
  <si>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</si>
  <si>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</si>
  <si>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</si>
  <si>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</si>
  <si>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</si>
  <si>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</si>
  <si>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</si>
  <si>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</si>
  <si>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</si>
  <si>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</si>
  <si>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</si>
  <si>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</si>
  <si>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</si>
  <si>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</si>
  <si>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</si>
  <si>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</si>
  <si>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</si>
  <si>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</si>
  <si>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</si>
  <si>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</si>
  <si>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</si>
  <si>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</si>
  <si>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</si>
  <si>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</si>
  <si>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</si>
  <si>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</si>
  <si>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</si>
  <si>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</si>
  <si>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</si>
  <si>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</si>
  <si>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</si>
  <si>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</si>
  <si>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</si>
  <si>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</si>
  <si>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</si>
  <si>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</si>
  <si>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</si>
  <si>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</si>
  <si>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</si>
  <si>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</si>
  <si>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</si>
  <si>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</si>
  <si>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</si>
  <si>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</si>
  <si>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</si>
  <si>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</si>
  <si>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</si>
  <si>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</si>
  <si>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</si>
  <si>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</si>
  <si>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</si>
  <si>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</si>
  <si>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</si>
  <si>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</si>
  <si>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</si>
  <si>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</si>
  <si>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</si>
  <si>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</si>
  <si>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</si>
  <si>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</si>
  <si>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</si>
  <si>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</si>
  <si>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</si>
  <si>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</si>
  <si>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</si>
  <si>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</si>
  <si>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</si>
  <si>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</si>
  <si>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</si>
  <si>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</si>
  <si>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</si>
  <si>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</si>
  <si>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</si>
  <si>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</si>
  <si>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</si>
  <si>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</si>
  <si>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</si>
  <si>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</si>
  <si>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</si>
  <si>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</si>
  <si>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</si>
  <si>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</si>
  <si>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</si>
  <si>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</si>
  <si>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</si>
  <si>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</si>
  <si>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</si>
  <si>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</si>
  <si>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</si>
  <si>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</si>
  <si>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</si>
  <si>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</si>
  <si>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</si>
  <si>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</si>
  <si>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</si>
  <si>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</si>
  <si>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</si>
  <si>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</si>
  <si>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</si>
  <si>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</si>
  <si>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</si>
  <si>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</si>
  <si>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</si>
  <si>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</si>
  <si>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</si>
  <si>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</si>
  <si>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</si>
  <si>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</si>
  <si>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</si>
  <si>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</si>
  <si>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</si>
  <si>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</si>
  <si>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</si>
  <si>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</si>
  <si>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</si>
  <si>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</si>
  <si>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</si>
  <si>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</si>
  <si>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</si>
  <si>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</si>
  <si>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</si>
  <si>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</si>
  <si>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</si>
  <si>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</si>
  <si>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</si>
  <si>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</si>
  <si>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</si>
  <si>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</si>
  <si>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</si>
  <si>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</si>
  <si>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</si>
  <si>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</si>
  <si>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</si>
  <si>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</si>
  <si>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</si>
  <si>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</si>
  <si>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</si>
  <si>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</si>
  <si>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</si>
  <si>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</si>
  <si>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</si>
  <si>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</si>
  <si>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</si>
  <si>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</si>
  <si>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</si>
  <si>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</si>
  <si>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</si>
  <si>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</si>
  <si>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</si>
  <si>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</si>
  <si>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</si>
  <si>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</si>
  <si>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</si>
  <si>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</si>
  <si>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</si>
  <si>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</si>
  <si>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</si>
  <si>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</si>
  <si>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</si>
  <si>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</si>
  <si>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</si>
  <si>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</si>
  <si>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</si>
  <si>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</si>
  <si>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</si>
  <si>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</si>
  <si>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</si>
  <si>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</si>
  <si>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</si>
  <si>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</si>
  <si>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</si>
  <si>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</si>
  <si>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</si>
  <si>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</si>
  <si>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</si>
  <si>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</si>
  <si>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</si>
  <si>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</si>
  <si>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</si>
  <si>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</si>
  <si>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</si>
  <si>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</si>
  <si>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</si>
  <si>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</si>
  <si>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</si>
  <si>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</si>
  <si>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</si>
  <si>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</si>
  <si>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</si>
  <si>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</si>
  <si>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</si>
  <si>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</si>
  <si>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</si>
  <si>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</si>
  <si>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</si>
  <si>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</si>
  <si>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</si>
  <si>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</si>
  <si>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</si>
  <si>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</si>
  <si>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</si>
  <si>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</si>
  <si>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</si>
  <si>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</si>
  <si>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</si>
  <si>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</si>
  <si>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</si>
  <si>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</si>
  <si>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</si>
  <si>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</si>
  <si>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</si>
  <si>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</si>
  <si>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</si>
  <si>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</si>
  <si>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</si>
  <si>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</si>
  <si>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</si>
  <si>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</si>
  <si>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</si>
  <si>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</si>
  <si>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</si>
  <si>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</si>
  <si>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</si>
  <si>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</si>
  <si>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</si>
  <si>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</si>
  <si>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</si>
  <si>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</si>
  <si>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</si>
  <si>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</si>
  <si>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</si>
  <si>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</si>
  <si>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</si>
  <si>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</si>
  <si>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</si>
  <si>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</si>
  <si>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</si>
  <si>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</si>
  <si>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</si>
  <si>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</si>
  <si>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</si>
  <si>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</si>
  <si>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</si>
  <si>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</si>
  <si>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</si>
  <si>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</si>
  <si>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</si>
  <si>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</si>
  <si>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</si>
  <si>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</si>
  <si>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</si>
  <si>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</si>
  <si>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</si>
  <si>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</si>
  <si>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</si>
  <si>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</si>
  <si>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</si>
  <si>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</si>
  <si>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</si>
  <si>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</si>
  <si>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</si>
  <si>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</si>
  <si>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</si>
  <si>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</si>
  <si>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</si>
  <si>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</si>
  <si>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</si>
  <si>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</si>
  <si>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</si>
  <si>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</si>
  <si>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</si>
  <si>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</si>
  <si>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</si>
  <si>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</si>
  <si>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</si>
  <si>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</si>
  <si>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</si>
  <si>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</si>
  <si>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</si>
  <si>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</si>
  <si>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</si>
  <si>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</si>
  <si>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</si>
  <si>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</si>
  <si>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</si>
  <si>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</si>
  <si>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</si>
  <si>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</si>
  <si>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</si>
  <si>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</si>
  <si>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</si>
  <si>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</si>
  <si>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</si>
  <si>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</si>
  <si>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</si>
  <si>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</si>
  <si>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</si>
  <si>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</si>
  <si>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</si>
  <si>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</si>
  <si>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</si>
  <si>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</si>
  <si>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</si>
  <si>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</si>
  <si>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</si>
  <si>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</si>
  <si>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</si>
  <si>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</si>
  <si>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</si>
  <si>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</si>
  <si>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</si>
  <si>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</si>
  <si>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</si>
  <si>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</si>
  <si>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</si>
  <si>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</si>
  <si>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</si>
  <si>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</si>
  <si>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</si>
  <si>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</si>
  <si>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</si>
  <si>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</si>
  <si>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</si>
  <si>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</si>
  <si>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</si>
  <si>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</si>
  <si>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</si>
  <si>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</si>
  <si>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</si>
  <si>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</si>
  <si>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</si>
  <si>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</si>
  <si>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</si>
  <si>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</si>
  <si>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</si>
  <si>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</si>
  <si>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</si>
  <si>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</si>
  <si>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</si>
  <si>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</si>
  <si>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</si>
  <si>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</si>
  <si>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</si>
  <si>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</si>
  <si>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</si>
  <si>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</si>
  <si>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</si>
  <si>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</si>
  <si>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</si>
  <si>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</si>
  <si>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</si>
  <si>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</si>
  <si>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</si>
  <si>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</si>
  <si>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</si>
  <si>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</si>
  <si>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</si>
  <si>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</si>
  <si>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</si>
  <si>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</si>
  <si>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</si>
  <si>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</si>
  <si>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</si>
  <si>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</si>
  <si>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</si>
  <si>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</si>
  <si>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</si>
  <si>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</si>
  <si>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</si>
  <si>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</si>
  <si>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</si>
  <si>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</si>
  <si>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</si>
  <si>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</si>
  <si>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</si>
  <si>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</si>
  <si>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</si>
  <si>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</si>
  <si>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</si>
  <si>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</si>
  <si>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</si>
  <si>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</si>
  <si>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</si>
  <si>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</si>
  <si>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</si>
  <si>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</si>
  <si>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</si>
  <si>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</si>
  <si>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</si>
  <si>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</si>
  <si>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</si>
  <si>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</si>
  <si>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</si>
  <si>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</si>
  <si>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</si>
  <si>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</si>
  <si>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</si>
  <si>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</si>
  <si>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</si>
  <si>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</si>
  <si>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</si>
  <si>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</si>
  <si>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</si>
  <si>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</si>
  <si>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</si>
  <si>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</si>
  <si>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</si>
  <si>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</si>
  <si>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</si>
  <si>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</si>
  <si>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</si>
  <si>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</si>
  <si>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</si>
  <si>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</si>
  <si>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</si>
  <si>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</si>
  <si>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</si>
  <si>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</si>
  <si>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</si>
  <si>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</si>
  <si>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</si>
  <si>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</si>
  <si>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</si>
  <si>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</si>
  <si>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</si>
  <si>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</si>
  <si>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</si>
  <si>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</si>
  <si>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</si>
  <si>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</si>
  <si>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</si>
  <si>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</si>
  <si>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</si>
  <si>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</si>
  <si>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</si>
  <si>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</si>
  <si>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</si>
  <si>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</si>
  <si>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</si>
  <si>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</si>
  <si>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</si>
  <si>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</si>
  <si>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</si>
  <si>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</si>
  <si>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</si>
  <si>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</si>
  <si>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</si>
  <si>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</si>
  <si>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</si>
  <si>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</si>
  <si>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</si>
  <si>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</si>
  <si>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</si>
  <si>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</si>
  <si>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</si>
  <si>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</si>
  <si>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</si>
  <si>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</si>
  <si>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</si>
  <si>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</si>
  <si>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</si>
  <si>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</si>
  <si>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</si>
  <si>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</si>
  <si>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</si>
  <si>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</si>
  <si>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</si>
  <si>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</si>
  <si>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</si>
  <si>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</si>
  <si>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</si>
  <si>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</si>
  <si>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</si>
  <si>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</si>
  <si>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</si>
  <si>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</si>
  <si>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</si>
  <si>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</si>
  <si>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</si>
  <si>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</si>
  <si>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</si>
  <si>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</si>
  <si>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</si>
  <si>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</si>
  <si>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</si>
  <si>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</si>
  <si>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</si>
  <si>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</si>
  <si>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</si>
  <si>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</si>
  <si>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</si>
  <si>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</si>
  <si>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</si>
  <si>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</si>
  <si>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</si>
  <si>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</si>
  <si>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</si>
  <si>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</si>
  <si>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</si>
  <si>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</si>
  <si>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</si>
  <si>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</si>
  <si>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</si>
  <si>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</si>
  <si>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</si>
  <si>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</si>
  <si>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</si>
  <si>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</si>
  <si>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</si>
  <si>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</si>
  <si>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</si>
  <si>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</si>
  <si>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</si>
  <si>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</si>
  <si>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</si>
  <si>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</si>
  <si>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</si>
  <si>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</si>
  <si>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</si>
  <si>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</si>
  <si>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</si>
  <si>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</si>
  <si>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</si>
  <si>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</si>
  <si>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</si>
  <si>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</si>
  <si>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</si>
  <si>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</si>
  <si>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</si>
  <si>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</si>
  <si>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</si>
  <si>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</si>
  <si>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</si>
  <si>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</si>
  <si>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</si>
  <si>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</si>
  <si>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</si>
  <si>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</si>
  <si>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</si>
  <si>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</si>
  <si>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</si>
  <si>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</si>
  <si>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</si>
  <si>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</si>
  <si>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</si>
  <si>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</si>
  <si>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</si>
  <si>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</si>
  <si>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</si>
  <si>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</si>
  <si>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</si>
  <si>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</si>
  <si>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</si>
  <si>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</si>
  <si>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</si>
  <si>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</si>
  <si>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</si>
  <si>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</si>
  <si>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</si>
  <si>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</si>
  <si>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</si>
  <si>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</si>
  <si>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</si>
  <si>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</si>
  <si>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</si>
  <si>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</si>
  <si>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</si>
  <si>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</si>
  <si>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</si>
  <si>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</si>
  <si>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</si>
  <si>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</si>
  <si>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</si>
  <si>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</si>
  <si>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</si>
  <si>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</si>
  <si>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</si>
  <si>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</si>
  <si>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</si>
  <si>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</si>
  <si>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</si>
  <si>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</si>
  <si>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</si>
  <si>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</si>
  <si>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</si>
  <si>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</si>
  <si>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</si>
  <si>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</si>
  <si>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</si>
  <si>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</si>
  <si>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</si>
  <si>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</si>
  <si>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</si>
  <si>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</si>
  <si>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</si>
  <si>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</si>
  <si>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</si>
  <si>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</si>
  <si>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</si>
  <si>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</si>
  <si>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</si>
  <si>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</si>
  <si>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</si>
  <si>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</si>
  <si>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</si>
  <si>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</si>
  <si>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</si>
  <si>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</si>
  <si>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</si>
  <si>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</si>
  <si>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</si>
  <si>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</si>
  <si>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</si>
  <si>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</si>
  <si>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</si>
  <si>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</si>
  <si>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</si>
  <si>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</si>
  <si>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</si>
  <si>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</si>
  <si>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</si>
  <si>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</si>
  <si>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</si>
  <si>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</si>
  <si>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</si>
  <si>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</si>
  <si>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</si>
  <si>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</si>
  <si>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</si>
  <si>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</si>
  <si>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</si>
  <si>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</si>
  <si>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</si>
  <si>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</si>
  <si>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</si>
  <si>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</si>
  <si>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</si>
  <si>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</si>
  <si>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</si>
  <si>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</si>
  <si>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</si>
  <si>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</si>
  <si>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</si>
  <si>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</si>
  <si>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</si>
  <si>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</si>
  <si>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</si>
  <si>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</si>
  <si>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</si>
  <si>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</si>
  <si>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</si>
  <si>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</si>
  <si>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</si>
  <si>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</si>
  <si>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</si>
  <si>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</si>
  <si>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</si>
  <si>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</si>
  <si>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</si>
  <si>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</si>
  <si>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</si>
  <si>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</si>
  <si>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</si>
  <si>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</si>
  <si>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</si>
  <si>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</si>
  <si>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</si>
  <si>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</si>
  <si>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</si>
  <si>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</si>
  <si>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</si>
  <si>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</si>
  <si>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</si>
  <si>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</si>
  <si>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</si>
  <si>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</si>
  <si>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</si>
  <si>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</si>
  <si>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</si>
  <si>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</si>
  <si>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</si>
  <si>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</si>
  <si>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</si>
  <si>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</si>
  <si>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</si>
  <si>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</si>
  <si>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</si>
  <si>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</si>
  <si>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</si>
  <si>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</si>
  <si>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</si>
  <si>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</si>
  <si>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</si>
  <si>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</si>
  <si>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</si>
  <si>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</si>
  <si>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</si>
  <si>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</si>
  <si>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</si>
  <si>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</si>
  <si>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</si>
  <si>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</si>
  <si>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</si>
  <si>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</si>
  <si>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</si>
  <si>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</si>
  <si>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</si>
  <si>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</si>
  <si>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</si>
  <si>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</si>
  <si>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</si>
  <si>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</si>
  <si>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</si>
  <si>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</si>
  <si>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</si>
  <si>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</si>
  <si>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</si>
  <si>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</si>
  <si>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</si>
  <si>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</si>
  <si>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</si>
  <si>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</si>
  <si>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</si>
  <si>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</si>
  <si>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</si>
  <si>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</si>
  <si>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</si>
  <si>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</si>
  <si>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</si>
  <si>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</si>
  <si>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</si>
  <si>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</si>
  <si>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</si>
  <si>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</si>
  <si>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</si>
  <si>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</si>
  <si>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</si>
  <si>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</si>
  <si>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</si>
  <si>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</si>
  <si>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</si>
  <si>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</si>
  <si>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</si>
  <si>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</si>
  <si>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</si>
  <si>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</si>
  <si>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</si>
  <si>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</si>
  <si>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</si>
  <si>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</si>
  <si>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</si>
  <si>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</si>
  <si>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</si>
  <si>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</si>
  <si>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</si>
  <si>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</si>
  <si>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</si>
  <si>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</si>
  <si>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</si>
  <si>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</si>
  <si>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</si>
  <si>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</si>
  <si>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</si>
  <si>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</si>
  <si>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</si>
  <si>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</si>
  <si>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</si>
  <si>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</si>
  <si>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</si>
  <si>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</si>
  <si>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</si>
  <si>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</si>
  <si>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</si>
  <si>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</si>
  <si>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</si>
  <si>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</si>
  <si>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</si>
  <si>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</si>
  <si>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</si>
  <si>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</si>
  <si>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</si>
  <si>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</si>
  <si>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</si>
  <si>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</si>
  <si>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</si>
  <si>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</si>
  <si>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</si>
  <si>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</si>
  <si>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</si>
  <si>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</si>
  <si>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</si>
  <si>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</si>
  <si>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</si>
  <si>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</si>
  <si>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</si>
  <si>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</si>
  <si>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</si>
  <si>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</si>
  <si>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</si>
  <si>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</si>
  <si>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</si>
  <si>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</si>
  <si>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</si>
  <si>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</si>
  <si>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</si>
  <si>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</si>
  <si>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</si>
  <si>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</si>
  <si>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</si>
  <si>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</si>
  <si>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</si>
  <si>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</si>
  <si>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</si>
  <si>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</si>
  <si>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</si>
  <si>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</si>
  <si>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</si>
  <si>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</si>
  <si>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</si>
  <si>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</si>
  <si>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</si>
  <si>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</si>
  <si>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</si>
  <si>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</si>
  <si>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</si>
  <si>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</si>
  <si>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</si>
  <si>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</si>
  <si>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</si>
  <si>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</si>
  <si>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</si>
  <si>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</si>
  <si>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</si>
  <si>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</si>
  <si>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</si>
  <si>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</si>
  <si>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</si>
  <si>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</si>
  <si>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</si>
  <si>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</si>
  <si>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</si>
  <si>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</si>
  <si>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</si>
  <si>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</si>
  <si>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</si>
  <si>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</si>
  <si>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</si>
  <si>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</si>
  <si>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</si>
  <si>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</si>
  <si>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</si>
  <si>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</si>
  <si>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</si>
  <si>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</si>
  <si>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</si>
  <si>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</si>
  <si>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</si>
  <si>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</si>
  <si>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</si>
  <si>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</si>
  <si>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</si>
  <si>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</si>
  <si>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</si>
  <si>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</si>
  <si>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</si>
  <si>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</si>
  <si>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</si>
  <si>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</si>
  <si>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</si>
  <si>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</si>
  <si>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</si>
  <si>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</si>
  <si>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</si>
  <si>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</si>
  <si>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</si>
  <si>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</si>
  <si>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</si>
  <si>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</si>
  <si>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</si>
  <si>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</si>
  <si>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</si>
  <si>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</si>
  <si>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</si>
  <si>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</si>
  <si>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</si>
  <si>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</si>
  <si>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</si>
  <si>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</si>
  <si>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</si>
  <si>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</si>
  <si>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</si>
  <si>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</si>
  <si>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</si>
  <si>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</si>
  <si>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</si>
  <si>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</si>
  <si>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</si>
  <si>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</si>
  <si>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</si>
  <si>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</si>
  <si>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</si>
  <si>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</si>
  <si>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</si>
  <si>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</si>
  <si>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</si>
  <si>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</si>
  <si>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</si>
  <si>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</si>
  <si>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</si>
  <si>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</si>
  <si>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</si>
  <si>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</si>
  <si>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</si>
  <si>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</si>
  <si>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</si>
  <si>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</si>
  <si>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</si>
  <si>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</si>
  <si>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</si>
  <si>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</si>
  <si>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</si>
  <si>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</si>
  <si>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</si>
  <si>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</si>
  <si>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</si>
  <si>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</si>
  <si>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</si>
  <si>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</si>
  <si>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</si>
  <si>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</si>
  <si>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</si>
  <si>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</si>
  <si>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</si>
  <si>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</si>
  <si>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</si>
  <si>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</si>
  <si>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</si>
  <si>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</si>
  <si>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</si>
  <si>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</si>
  <si>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</si>
  <si>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</si>
  <si>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</si>
  <si>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</si>
  <si>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</si>
  <si>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</si>
  <si>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</si>
  <si>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</si>
  <si>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</si>
  <si>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</si>
  <si>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</si>
  <si>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</si>
  <si>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</si>
  <si>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</si>
  <si>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</si>
  <si>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</si>
  <si>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</si>
  <si>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</si>
  <si>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</si>
  <si>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</si>
  <si>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</si>
  <si>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</si>
  <si>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</si>
  <si>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</si>
  <si>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</si>
  <si>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</si>
  <si>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</si>
  <si>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</si>
  <si>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</si>
  <si>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</si>
  <si>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</si>
  <si>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</si>
  <si>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</si>
  <si>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</si>
  <si>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</si>
  <si>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</si>
  <si>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</si>
  <si>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</si>
  <si>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</si>
  <si>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</si>
  <si>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</si>
  <si>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</si>
  <si>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</si>
  <si>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</si>
  <si>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</si>
  <si>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</si>
  <si>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</si>
  <si>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</si>
  <si>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</si>
  <si>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</si>
  <si>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</si>
  <si>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</si>
  <si>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</si>
  <si>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</si>
  <si>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</si>
  <si>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</si>
  <si>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</si>
  <si>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</si>
  <si>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</si>
  <si>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</si>
  <si>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</si>
  <si>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</si>
  <si>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</si>
  <si>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</si>
  <si>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</si>
  <si>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</si>
  <si>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</si>
  <si>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</si>
  <si>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</si>
  <si>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</si>
  <si>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</si>
  <si>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</si>
  <si>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</si>
  <si>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</si>
  <si>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</si>
  <si>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</si>
  <si>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</si>
  <si>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</si>
  <si>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</si>
  <si>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</si>
  <si>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</si>
  <si>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</si>
  <si>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</si>
  <si>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</si>
  <si>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</si>
  <si>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</si>
  <si>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</si>
  <si>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</si>
  <si>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</si>
  <si>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</si>
  <si>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</si>
  <si>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 Core App
May 10 Rev</t>
  </si>
  <si>
    <t>9% Credit Competitive Round only</t>
  </si>
  <si>
    <t>Vantage Development</t>
  </si>
  <si>
    <t>1544 S. Main Street</t>
  </si>
  <si>
    <t>Fyffe</t>
  </si>
  <si>
    <t>lbarron@thevantagegroup.biz</t>
  </si>
  <si>
    <t>N/a</t>
  </si>
  <si>
    <t>Direct</t>
  </si>
  <si>
    <t>Indirect</t>
  </si>
  <si>
    <t>Lowell R. Barron II</t>
  </si>
  <si>
    <t>President of GP</t>
  </si>
  <si>
    <t>To Be Applied For</t>
  </si>
  <si>
    <t>For Profit</t>
  </si>
  <si>
    <t>Vantage Development, LLC</t>
  </si>
  <si>
    <t>www.thevantagegroup.biz</t>
  </si>
  <si>
    <t>Fyffe Construction Company, Inc.</t>
  </si>
  <si>
    <t>www.fyffeconstruction.com</t>
  </si>
  <si>
    <t>Vantage Management, LLC</t>
  </si>
  <si>
    <t>Balch &amp; Bingham, LLP</t>
  </si>
  <si>
    <t>1901 Sixth Avenue North</t>
  </si>
  <si>
    <t>Birmingham</t>
  </si>
  <si>
    <t>www.balch.com</t>
  </si>
  <si>
    <t>ljohnsey@balch.com</t>
  </si>
  <si>
    <t>Lee Johnsey</t>
  </si>
  <si>
    <t>Partner</t>
  </si>
  <si>
    <t>Cone &amp; Smith, PC</t>
  </si>
  <si>
    <t>3421 Rainbow Parkway</t>
  </si>
  <si>
    <t>Rainbow City</t>
  </si>
  <si>
    <t>dsmith@coneandsmith.com</t>
  </si>
  <si>
    <t>David Smith</t>
  </si>
  <si>
    <t>Principal, CPA</t>
  </si>
  <si>
    <t>Wallace Architects, LLC</t>
  </si>
  <si>
    <t>3615 West Broadway, Suite B</t>
  </si>
  <si>
    <t>Sedalia</t>
  </si>
  <si>
    <t>www.wallacearchitects.com</t>
  </si>
  <si>
    <t>mikek@wallacearchitects.com</t>
  </si>
  <si>
    <t>Mike Kleffner</t>
  </si>
  <si>
    <t>Architect</t>
  </si>
  <si>
    <t>TBD - Sugar Creek (incl'd 1% Fed.)</t>
  </si>
  <si>
    <t>TBD - Synovous</t>
  </si>
  <si>
    <t>Amortizing</t>
  </si>
  <si>
    <t>1st year perm insurance</t>
  </si>
  <si>
    <t>1st year premium must be paid up-front and the development will not have funds from operations to cover the cost at that time thus it is included in the development budget.</t>
  </si>
  <si>
    <t xml:space="preserve">DCA Southern Region </t>
  </si>
  <si>
    <t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t>
  </si>
  <si>
    <t>Multifamily Rural projects w/out DCA HOME</t>
  </si>
  <si>
    <t>Electric Heat Pump</t>
  </si>
  <si>
    <t>Other (Bank Fees)</t>
  </si>
  <si>
    <t>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t>
  </si>
  <si>
    <t>Disagree</t>
  </si>
  <si>
    <t>Agree</t>
  </si>
  <si>
    <t>N/ap</t>
  </si>
  <si>
    <t>N/Ap</t>
  </si>
  <si>
    <t>The managing agent will provide on-site social/recreational programs and on-site enrichment classes on a monthly basis.  All activities to be overseen by the property manager. The applicant agrees to provide the minimum 2 services as stated above on item A. Items B.2-3 above are marked "disagree" as the applicant does not intend to hire a full or part-time activities manager or temporary staffing; additionally, the development is not for rehabilitation of existing congregate supportive housing thus a MOA has not been included.</t>
  </si>
  <si>
    <t>John Wall and Associates</t>
  </si>
  <si>
    <t>An appraisal is not required as there is not an identity of interest between the buyer and seller of the property; therefore, an appraisal has not been done at this time.</t>
  </si>
  <si>
    <t>United Consulting</t>
  </si>
  <si>
    <t>Ground lease/Option</t>
  </si>
  <si>
    <t xml:space="preserve">No identity of interest exists between the Seller and Purchaser. In reference to VIII. D. above, note that the entity with site control, via an assignment of the purchase option, is the applicant. A copy of the Option agreement along with the assignment of the option has been included in the application. </t>
  </si>
  <si>
    <t>Currently the site is bordered by two paved roads. Photos of the paved roads and descriptions are located in Tab 9. Site Access</t>
  </si>
  <si>
    <t>Building</t>
  </si>
  <si>
    <t>On-site laundry</t>
  </si>
  <si>
    <t>This is a New Construction project; therefore, this section for Rehabilitation does not apply.</t>
  </si>
  <si>
    <t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</si>
  <si>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This development will participate in the EarthCraft Sustainable Building Program, a draft scoring sheet including the expected score has been included along with a copy of multiple Certificates of Participation in a previous Green Building for Affordable Housing Training Course.</t>
  </si>
  <si>
    <t>Yes - W&amp;D hookups installed in each unit</t>
  </si>
  <si>
    <t>This project is a new construction; therefore, A. Constructed and Rehabilitation Construction Hard Costs is N/A. The applicant is not proposing additional design options; therefore, part C. has also been left blank.</t>
  </si>
  <si>
    <t xml:space="preserve">During the pre-application determination the Certifying GP and Developer were deemed "Qualified". There have not been any changes to the project team since the pre-application submission. </t>
  </si>
  <si>
    <t xml:space="preserve">The proposed development is not applying for credit under the RAD set-aside. </t>
  </si>
  <si>
    <t>The applicant is not a CHDO and is not competing under the CHDO set-aside.</t>
  </si>
  <si>
    <t>The proposed site is currently vacant; therefore, relocation will not be necessary.</t>
  </si>
  <si>
    <t xml:space="preserve">If selected the applicant agrees to adhere to the AFFH Marketing plan that meets all of the above criteria and strategies.  </t>
  </si>
  <si>
    <t>Funding of this development will not result in a waste of DCA resources. Additionally, it should be noted that none of the Project Team members have made conditional promises or financial commitments to the Local Government in order to obtain support.</t>
  </si>
  <si>
    <t>Coastal Regional Coaches</t>
  </si>
  <si>
    <t>866-543-6744</t>
  </si>
  <si>
    <t>http://coastalregionalcoaches.com/CRC/Make_a_Reservation.html</t>
  </si>
  <si>
    <t>Coastal Regional Coaches is part of the regional rural public transit program that provides general public transit service in the Georgia counties of Bryan, Bulloch, Camden, Chatham, Effingham, Glynn, Liberty, Long, McIntosh, and Screven. This service is available to anyone, for any purpose, and to any destination in the coastal region. Fares are very affordable and vary with different itineraries. Coastal Regional Coaches is a demand-response, advance reservation service that operates Monday through Friday from 7:00 A.M. until 5:00 P.M.</t>
  </si>
  <si>
    <t xml:space="preserve">The applicant is not claiming points for revitalization and does not have a third party capital investment. </t>
  </si>
  <si>
    <t>The applicant is not claiming point in this section.</t>
  </si>
  <si>
    <t>Site Census Tract</t>
  </si>
  <si>
    <t>The applicant is not claiming points in this category.</t>
  </si>
  <si>
    <t>This development is not part of a phased development</t>
  </si>
  <si>
    <t>The proposed development is not within a GICH community.</t>
  </si>
  <si>
    <t>2021PA-025</t>
  </si>
  <si>
    <t>NAHPA, Inc. (Nat'l Aff Hsg Pres Associates, Inc.)</t>
  </si>
  <si>
    <t>Mark E. English</t>
  </si>
  <si>
    <t>President of General Partner</t>
  </si>
  <si>
    <t>100 Towncenter Blvd. Suite 300</t>
  </si>
  <si>
    <t>Tuscaloosa</t>
  </si>
  <si>
    <t>mark@nahpa.org</t>
  </si>
  <si>
    <t>The Peaks at Turnberry</t>
  </si>
  <si>
    <t xml:space="preserve">Off of GA-21 </t>
  </si>
  <si>
    <t>189 Commercial Drive</t>
  </si>
  <si>
    <t>303.05</t>
  </si>
  <si>
    <t>Unincorporated County</t>
  </si>
  <si>
    <t>Effingham County</t>
  </si>
  <si>
    <t>https://www.effinghamcounty.org/</t>
  </si>
  <si>
    <t>601 N Laurel Street</t>
  </si>
  <si>
    <t>TCallanan@effinghamcounty.org</t>
  </si>
  <si>
    <t>Tim Callanan</t>
  </si>
  <si>
    <t>County Manager</t>
  </si>
  <si>
    <t>7 Nat'l Afford Housing Preserve Assoc Inc.</t>
  </si>
  <si>
    <t>8 NAHPA Development, LLC</t>
  </si>
  <si>
    <t>3 Nat'l Afford Housing Preserve Assoc Inc.</t>
  </si>
  <si>
    <t>4 NAHPA Development, LLC</t>
  </si>
  <si>
    <t>1 The Peaks at Turnberry, LP</t>
  </si>
  <si>
    <t>2 NAHPA 2021 GA, Inc.</t>
  </si>
  <si>
    <t>5 The Cove at Camborne, LP</t>
  </si>
  <si>
    <t>6 NAHPA 2021 GA, Inc.</t>
  </si>
  <si>
    <t>The Cove at Camborne</t>
  </si>
  <si>
    <t xml:space="preserve">     Owner commits to the extension of the cancellation option for 5 years. We expect the placed in service date to be on or before 12/31/2023. Regardless of the actual placed in service date, the owner will extend for the 5 year period.
    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t>
  </si>
  <si>
    <t>The Peaks at Turnberry, LP</t>
  </si>
  <si>
    <t>NAHPA 2021 GA, Inc.</t>
  </si>
  <si>
    <t>National Affordable Housing Preservation Associates, Inc. (NAHPA, Inc.)</t>
  </si>
  <si>
    <t>www.nahpa.org</t>
  </si>
  <si>
    <t>President</t>
  </si>
  <si>
    <t>NAHPA Development, LLC</t>
  </si>
  <si>
    <t>George Dickey</t>
  </si>
  <si>
    <t>PO Box 18031</t>
  </si>
  <si>
    <t>atfsav@hotmail.com</t>
  </si>
  <si>
    <t>Other - Owner and Developer / Consultant and Contractor and Mgr</t>
  </si>
  <si>
    <t>The Managing GP, NAHPA 2021 GA, Inc., and NAHPA Development, LLC are both owned by National Affordable Housing Preservation Associates, Inc.  National Affordable Housing Preservation Associates, Inc. is a 501(c)3 nonprofit.   Fyffe Construction Company, Inc. (contractor), Vantage Development, LLC (consultant) and Vantage Management, LLC (management agent) are all owned by Lowell R. Barron, II.
DCA instructions prohibits the use of "N/A" in boxes; many of the above phone numbers do not have an extension so those boxes have been left blank as opposed to entering "N/A"</t>
  </si>
  <si>
    <t>State Boost</t>
  </si>
  <si>
    <t>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these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non-MSA, the minimum operating expense is $3,750 per unit. The above listed proposed budget exceeds the minimum
Section V. is blank as there is no ground lease in place.</t>
  </si>
  <si>
    <t>The proposal is for 48 units in Effingham Co. and the total development cost is below the maximum allowed total development cost for the applicable area.</t>
  </si>
  <si>
    <t xml:space="preserve">The proposed development consists of 48 units that are consistent with the characteristics of the community and targeting families with a focus on community activities from within the neighborhood. </t>
  </si>
  <si>
    <t>Both parcels that comprise the "proposed site" are zoned B-3 per a letter from the Planning and Zoning Manager for Effingham County. The B-3 zoning district allows up to 12 multifamily units per acre. There are no conditions to the zoning or land use classifications for this site.</t>
  </si>
  <si>
    <t>Georgia Power</t>
  </si>
  <si>
    <t>Effingham County Public Water &amp; Sewer Systems</t>
  </si>
  <si>
    <t>Annie Walker Bryant</t>
  </si>
  <si>
    <t>The project will meet or exceed all Fair Housing accessibility requirements as set forth.  In addition, Annie Walker Bryant or an alternate approved qualified consultant(s) will be used throughout the entire project from start through final inspection, per DCA requirements.</t>
  </si>
  <si>
    <t>National Affordable Housing Preservation Associates, Inc.</t>
  </si>
  <si>
    <t xml:space="preserve">The Entity listed above is a nonprofit corporation with no stock (shareholders) but is governed by a Board of Directors; therefore, item F was answered "No". A CHDO is not involved in the application therefore item G.1 has been left blank. NAHPA 2021 GA, Inc. is the sole General Partner of The Peaks at Turnberry, LP.  NAHPA 2021 GA, Inc. is wholly owned by National Affordable Housing Preservation Associates, Inc. a 501(c)3 nonprofit. A nonprofit opinion letter and the development agreement and with all exhibits have been included. </t>
  </si>
  <si>
    <t>A non-profit legal opinion has been included within the application backup documentation.</t>
  </si>
  <si>
    <t>Jordan Wilson</t>
  </si>
  <si>
    <t>Director of Development for Consultant</t>
  </si>
  <si>
    <t>jwilson@thevantagegroup.biz</t>
  </si>
  <si>
    <t xml:space="preserve">     The Peaks at Turnberry will be located on a unique +/-17-acre site. The site is convenient to numerous desirable amenities and activities while maintaining a peaceful, seemingly rural atmosphere. The site is in an area of vacant land and commercial properties. It is also central to a main thoroughfare (Rincon Bypass) that makes access between Rincon and other neighboring cities easier for residents. The Peaks will maintain the community’s character and provide much needed affordable housing to the community. The Peaks will provide up to 48 attractive, safe, well-located units for low to moderate income families in the Rincon and greater Effingham County area.
    The proposed site has access to a number of desirable amentites, such as but not limited to, departments stores, restaurants, doctor's offices, pharmacies, high scoring schools, municipal offices, and places of worship. The area also offers a host of local activites, such as camping, parks, and museums.
     The development's onsite covered pavilion with picnic and bb&amp;q area and playground  will encourage a healthy, community-oriented lifestyle among residents.The furnished community spaces will give residents numerous opportunities to interact and socialize with other tenants. Higher resident engagement for events can lead to greater resident satisfaction and it is the hope of the development that the residents will take park in the social events hosted by the mangement staff. 
      The Grove will be designed to meet state and federal accessibility and fair housing requirements.  Five percent (5%) of the units will be designed for mobility impaired individuals and two percent (2%) of the units will be designed for individuals with sensory impairments. The one, two, and three-bedroom units are spacious and designed for optimal living. Unit amenities will include mini-blinds, washer/dryer connections, patios, and full kitchens with an energy efficient refrigerator, dishwasher, and stove.  All units will have built-in fire sprinkler systems.  Site amenities will include a covered picnic area with BBQ grills and much more. The Peaks also plans to feature a community building that will include a management and leasing office along with a community laundry facility. Additional amenities will be chosen to meet DCA design and scoring standards, as appropriate. It is important that Effingham County has public transportation, above average schools, and the proposed development is located in a high income census tract.
   The Peaks at Turnberry will engage South Face of Atlanta to provide guidance and certification for the EarthCraft Multifamily Program.  The development’s design will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30-year architectural shingles.  
   National Affordable Housing Preservation Associates, Inc. “NAHPA, Inc” will serves as both the Certifying General Partner as well as the Certifying Developer. NAHPA has a long track record of successful LIHTC developments throughout the Southeast and funding of The Grove at Woodford will help to further their mission of providing affordable housing to the families that need it the most. 
   By offering amiable amenities, engaging activities, and affordable rents The Peaks at Turnberry will meet a critical need for the citizens of Effingham County.</t>
  </si>
  <si>
    <t>Other (business license)</t>
  </si>
  <si>
    <t>4 months</t>
  </si>
  <si>
    <t>Goshen Crossing</t>
  </si>
  <si>
    <t>Goshen Crossing II</t>
  </si>
  <si>
    <t>Towne Park Commons</t>
  </si>
  <si>
    <t>Veranda Village</t>
  </si>
  <si>
    <t>Wood Meadow</t>
  </si>
  <si>
    <t>2003-035</t>
  </si>
  <si>
    <t>2017-044</t>
  </si>
  <si>
    <t>2012-035</t>
  </si>
  <si>
    <t>2017-013</t>
  </si>
  <si>
    <t>2010-070</t>
  </si>
  <si>
    <t>Fair Oaks Lane</t>
  </si>
  <si>
    <t>1994-003</t>
  </si>
  <si>
    <t xml:space="preserve">Per the market study, the site is suitable for the development and the neighborhood is compatible with the development proposal. The population and household growth in the market area is significant and the calculated demand for the development is strong. The capture rates are low (3.6%). The total vacancy rates among the most comparable developments are all 0.0%. The average LIHTC vacancy rate is 0.0%. It is noted that the proposal would have no long term impact on the only existing LIHTC development in the primary market area. The gross rents are well below maximum allowable levels and the local economy seems to be growing. The development, as proposed, should be successful. </t>
  </si>
  <si>
    <t xml:space="preserve">A letter stating that Georgia Power has the ability and capacity to serve the development for electricity has been included in the application. Gas will not be used at the property thus an availbility letter was not obtained. </t>
  </si>
  <si>
    <t>The applicant is not within a QCT; therefore, we are not proposing to construct a community service facility.</t>
  </si>
  <si>
    <t xml:space="preserve">Both the pedestrian and vehicular entrance to the proposed development are off of Commerical Drive thus the applicant used 189 Commerical Drive as the starting point for each desirable amenity path. The proposed site is eligble for a total of 25.50 points in this category. Please note that a map showing the site is NOT within a food dessert has been supplied. Additionally, a map showing that a Walmart Supercenter (grocery store) is within 2 miles has also been included. There are multiple parks/recreational centers of various sizes in the area, both of which we have included maps for (McCall Park and Freedom Park). The retail store, Twinkle Twinkle Little Shop, is a resale/consignment store with a variety of good (household items, clothing, etc.). Grace Academy is a private religious based school within a half a mile from the proposed site. We counted this school as a desirable amenity but it was not used in the Quality Education points calculation as it is a private school. There are no undesirable amenities in the area. </t>
  </si>
  <si>
    <t>Blanford Elementary School (PK, KK, 01, 02, 03, 04, 05)</t>
  </si>
  <si>
    <t>Ebenezer Middle School (06, 07, 08)</t>
  </si>
  <si>
    <t>South Effingham High School (09, 10, 11, 12)</t>
  </si>
  <si>
    <t>Above 60th Percentile</t>
  </si>
  <si>
    <t>At or Above 80th Percentile</t>
  </si>
  <si>
    <t xml:space="preserve">The last DCA property to be funded in the Effingham County political jurisdiction was Goshen Crossing II in 2012. All other recently funded developments in the area have been within the city limits of Rincon. </t>
  </si>
  <si>
    <t>The applicant has not received a loan that will qualify as "favorable financing" nor is a ground lease in place.</t>
  </si>
  <si>
    <t>To Be Determined - Sugar Creek Capital</t>
  </si>
  <si>
    <t>1819 Peachtree Road, NE Suite 230</t>
  </si>
  <si>
    <t>http://www.sugarcreekcapital.com/</t>
  </si>
  <si>
    <t>chite@sugarcreekcapital.com</t>
  </si>
  <si>
    <t>Chris Hite</t>
  </si>
  <si>
    <t>HUD</t>
  </si>
  <si>
    <t>The proposed project is for families and not senior; therefore, Section D above is N/A. The applicant agrees to provide all of the required amenities and will also provide two additional amenities. As evidenced on the site plan, the development will feature a furnished fitness center and an equipped computer center with WiFi.</t>
  </si>
  <si>
    <t>To Be Determined - Synovus</t>
  </si>
  <si>
    <t>800 Shades Creek Parkway, 2nd Floor</t>
  </si>
  <si>
    <t>reeddolihite@synovus.com</t>
  </si>
  <si>
    <t>Reed Dolihite</t>
  </si>
  <si>
    <t>Director</t>
  </si>
  <si>
    <t xml:space="preserve">The Peaks at Turnberry outside of Rincon located in Effingham County is a 48-unit multifamily development. In order to meet the DCA requirements for sufficient number of one-bedroom units without PBRA as outlined in Exhibit B of Appendix II: Scoring, there will be 12 one-bedroom units. This number of one-bedroom units exceeds the 20% required for family tenancy with a total of 25% one-bedroom units.  The property is located near public transportation that operates frequently; Coastal Regional Coaches of Georgia provides rural public transit in Effingham County. Coastal Regional Coaches of Georgia is a demand-response, advance reservation service and therefore is in proximity to The Peaks at Turnberry. The Peaks at Turnberry is located centrally in Effingham County. Its location allows for access to many healthcare services that are distinctly relevant to the family population that will be residents at the development. The health care providers consist of Effingham Family Medicine, Howard Family Dentistry, Rincon Medical Center Urgent Care, Towne Pharmacy of Rincon, and Kids First Pediatrics. All services are within 2 miles of the proposed development site and accessible by public transportation provided by Coastal Regional Coaches of Georgia. It is important to note that the property is located near retail amenities as it scores maximum points in Desirable/Undesirable Activities, subsection A. Desirable Activities. Effingham County exhibits a high concentration of both supportive housing needs and relevant services - many of these services are facilited through a local non-profit, Effingham Family Promise. For almost 40 years Family Promise has been providing support and shelter for families in danger of becoming homeless or are homeless. Effingham Family Promise’s mission is to help homes and low-income families achieve decent, safe, affordable housing while achieving sustainable independence by cooking and serving meals, assisting with resume writing or financial counseling, locating child care services, providing overnight shelter, and general assistance to families in need. We are proud to state that the applicant currently owns 5 RAD Conversions.  Vantage Management also manages several properties with an 811 program/set aside. The selected management company has worked with RAD PBRA, RAD PBV, Tenant Based Housing Choice Vouchers, 811 and the HOME program. Additionally, they have experience owning and/or managing properties serving individuals with disabilities, the formerly homeless, or other supportive housing. All of the applicants owned developments have units set aside for mobility/sensory impaired and/or homeless. Finally, please note that applicant also has long-term experience working with a referring state agency. The selected management company, Vantage Management Company, LLC, is in compliance with DCA on all developments.     </t>
  </si>
  <si>
    <t>TBD - Synovus</t>
  </si>
  <si>
    <t>The Managing GP, NAHPA 2021 GA, Inc. and NAHPA Development, LLC are both owned by National Affordable Housing Preservation Associates, Inc., a 501(c)3.  Vantage Development, LLC (consultant), Fyffe Construction Company, Inc. (contractor) and Vantage Management, LLC (management agent) are all owned by Lowell R. Barron II.</t>
  </si>
  <si>
    <t xml:space="preserve">All sources and uses are verifiable. Commitments for the above listed financing are located in Tab 01: Feasibility. Please note that there will be no shortfall of funding during construction.
Interst rates: adjusts with published 30-day LIBOR plus 325bps for the Construction Loan and Bridge Loan. 30-day LIBOR will have a floor of 75bps. Term loan will have a fixed rate of 5.25%. For the construction loan interest rate we are assuming a LIRBOR Alternative (as noted in Synovus’s letter) of 10 Yr Treasury + 325 bps spread, currently underwriting at 6% due to rising interest rate environment and floating rate nature of the loans. We have included a construction interst rate chart that justifies the amount used in our sources of funds. </t>
  </si>
  <si>
    <t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We have included a construction interest rate chart that justifies the amount used in our sources of funds. </t>
  </si>
  <si>
    <t xml:space="preserve">Please note that the asset management fee for the federal investor is $3,600 and does not escalate, the state investor requires an asset management fee of 1/2 of the Federal investor; therefore, the total asset management fee is $5,400 (not escalating).
The deffered developer fee pays off immediately. </t>
  </si>
  <si>
    <t>No on-site RECs were identified on the Project Site during the site reconnaissance. Wetland and stream areas were identified on the Project Site. However, no wetlands will be impacted and the development plans are all outside of the 25 ft buffer required due to the stream. As no current or former structures were present on the Project Site, this assessment did not evaluate for lead in soil, lead paint, lead in dust, asbestos, lead in drinking water, mold/moisture, and/or radon. United Consulting performed a noise assessment for the Project Site based on the location of the proposed structures and outdoor amenity areas. A “Normally Unacceptable,” noise level, as defined by HUD, was calculated at three NAL points on the Project Site and specific building materials were recommended to reduce noise levels to an acceptable level. An “Acceptable” noise level was calculated for the NAL point at the outdoor amenities area. The results of the vapor encroachment screening checklist is that a VEC can be ruled out. Effingham County is in Zone 3 and has a low potential for the presence of radon. The proposed buildings will be constructed in accordance with current EPA requirements for radon resistant construction techniques. The buildings will be tested for radon upon completion of construction. Based on the entirety of the Phase I Environmental Site Assessment, no off-site RECs were identified. According to the Phase I Environmental Assessment, this property was determined environmentally suitable for multi-family housing. Section F has all been marked "no" as HOME funds were not awarded to this development.</t>
  </si>
  <si>
    <t>The County’s current water and sewer facilities are within easement on the referenced project site. The Developer / Owner has the right to extend their service lines to connect to the County system. Thus, water and sewer are both available at the proposed site. B &amp; C are blank as easements are not neccessary and the site does not require annexation to access to water/sewer.</t>
  </si>
  <si>
    <t>Gazebo</t>
  </si>
  <si>
    <t xml:space="preserve">All three schools (elementary, middle, and high school) that are zoned for the proposed development site score above the CCRPI state average. The backup documentation submitted includes 2018 and 2019 CCRPI scores for each school as well as an applicant supplied chart that proves the two-year averages. We have also included maps proving the correct school for the proposed site. </t>
  </si>
  <si>
    <t xml:space="preserve">Census tract 303.05 is 7.22% below the poverty line thus is eligible for 5 points. We utilized the 2019 data set  (2019 Employment = 97.9; Income = $67,112; Life Expectancy = 74.6; Health Insurance = 93.3. All data is above 60%. Median Income is above 80th percentile. </t>
  </si>
  <si>
    <t xml:space="preserve">The applicant has made all of the scoring comments we feel as necessary to explain our self-score. All backup documentation for scoring justifications has been included within the appropriate folders. </t>
  </si>
  <si>
    <t>2021-015</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</si>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</sst>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90">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801">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3"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1"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5" fillId="0" borderId="105" xfId="0" applyNumberFormat="1" applyFont="1" applyFill="1" applyBorder="1" applyAlignment="1" applyProtection="1">
      <alignment horizontal="center"/>
    </xf>
    <xf numFmtId="37" fontId="165"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8"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80"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1"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3"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9" fillId="0" borderId="0" xfId="0" applyFont="1" applyFill="1" applyAlignment="1" applyProtection="1">
      <alignment vertical="center"/>
    </xf>
    <xf numFmtId="0" fontId="178"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5"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5"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2" fillId="0" borderId="0" xfId="0" applyFont="1"/>
    <xf numFmtId="0" fontId="191" fillId="0" borderId="0" xfId="0" applyFont="1"/>
    <xf numFmtId="38" fontId="191" fillId="0" borderId="0" xfId="0" applyNumberFormat="1" applyFont="1"/>
    <xf numFmtId="164" fontId="191" fillId="0" borderId="0" xfId="1" applyNumberFormat="1" applyFont="1"/>
    <xf numFmtId="43" fontId="191" fillId="0" borderId="0" xfId="0" applyNumberFormat="1" applyFont="1"/>
    <xf numFmtId="0" fontId="4" fillId="10" borderId="0" xfId="12" applyFont="1" applyFill="1"/>
    <xf numFmtId="10" fontId="193" fillId="10" borderId="0" xfId="0" applyNumberFormat="1" applyFont="1" applyFill="1"/>
    <xf numFmtId="0" fontId="191"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4"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6" fillId="0" borderId="29" xfId="1" applyNumberFormat="1" applyFont="1" applyFill="1" applyBorder="1" applyAlignment="1" applyProtection="1">
      <alignment horizontal="center" vertical="center"/>
    </xf>
    <xf numFmtId="164" fontId="196"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1"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2"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5" fillId="0" borderId="0" xfId="0" applyFont="1" applyFill="1" applyAlignment="1" applyProtection="1"/>
    <xf numFmtId="0" fontId="30" fillId="0" borderId="0" xfId="0" applyNumberFormat="1" applyFont="1" applyBorder="1" applyAlignment="1" applyProtection="1">
      <alignment horizontal="center" vertical="center" wrapText="1"/>
    </xf>
    <xf numFmtId="37" fontId="207" fillId="0" borderId="0" xfId="0" applyNumberFormat="1" applyFont="1" applyFill="1" applyAlignment="1" applyProtection="1">
      <alignment horizontal="center" vertical="center"/>
    </xf>
    <xf numFmtId="3" fontId="205"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8"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10"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10" fillId="0" borderId="81" xfId="0" applyFont="1" applyBorder="1" applyAlignment="1">
      <alignment horizontal="center"/>
    </xf>
    <xf numFmtId="0" fontId="5" fillId="0" borderId="0" xfId="0" applyFont="1" applyBorder="1"/>
    <xf numFmtId="0" fontId="211" fillId="0" borderId="0" xfId="0" applyFont="1" applyBorder="1"/>
    <xf numFmtId="9" fontId="211"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1"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5"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8"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8" fillId="0" borderId="81" xfId="33" applyFont="1" applyBorder="1" applyAlignment="1">
      <alignment vertical="center"/>
    </xf>
    <xf numFmtId="164" fontId="218" fillId="0" borderId="0" xfId="34" applyNumberFormat="1" applyFont="1"/>
    <xf numFmtId="0" fontId="75" fillId="0" borderId="7" xfId="33" applyFont="1" applyBorder="1" applyAlignment="1">
      <alignment horizontal="left" vertical="center"/>
    </xf>
    <xf numFmtId="0" fontId="218" fillId="0" borderId="0" xfId="33" applyFont="1" applyAlignment="1">
      <alignment vertical="center"/>
    </xf>
    <xf numFmtId="0" fontId="218" fillId="0" borderId="8" xfId="33" applyFont="1" applyBorder="1" applyAlignment="1">
      <alignment vertical="center"/>
    </xf>
    <xf numFmtId="0" fontId="218" fillId="0" borderId="9" xfId="33" applyFont="1" applyBorder="1" applyAlignment="1">
      <alignment horizontal="left" vertical="center"/>
    </xf>
    <xf numFmtId="0" fontId="218" fillId="0" borderId="13" xfId="33" applyFont="1" applyBorder="1" applyAlignment="1">
      <alignment vertical="center"/>
    </xf>
    <xf numFmtId="0" fontId="218" fillId="0" borderId="14" xfId="33" applyFont="1" applyBorder="1" applyAlignment="1">
      <alignment vertical="center"/>
    </xf>
    <xf numFmtId="0" fontId="218" fillId="0" borderId="85" xfId="33" applyFont="1" applyBorder="1"/>
    <xf numFmtId="0" fontId="218" fillId="0" borderId="81" xfId="33" applyFont="1" applyBorder="1"/>
    <xf numFmtId="0" fontId="218" fillId="0" borderId="13" xfId="33" applyFont="1" applyBorder="1"/>
    <xf numFmtId="0" fontId="218" fillId="0" borderId="147" xfId="33" applyFont="1" applyBorder="1"/>
    <xf numFmtId="0" fontId="218" fillId="0" borderId="0" xfId="33" applyFont="1" applyAlignment="1">
      <alignment horizontal="center"/>
    </xf>
    <xf numFmtId="0" fontId="218" fillId="0" borderId="0" xfId="33" applyFont="1" applyAlignment="1">
      <alignment horizontal="left"/>
    </xf>
    <xf numFmtId="166" fontId="218" fillId="0" borderId="0" xfId="35" applyNumberFormat="1" applyFont="1"/>
    <xf numFmtId="0" fontId="221" fillId="0" borderId="0" xfId="33" applyFont="1" applyAlignment="1">
      <alignment horizontal="left"/>
    </xf>
    <xf numFmtId="164" fontId="218" fillId="0" borderId="0" xfId="33" applyNumberFormat="1" applyFont="1"/>
    <xf numFmtId="164" fontId="218" fillId="28" borderId="143" xfId="34" applyNumberFormat="1" applyFont="1" applyFill="1" applyBorder="1"/>
    <xf numFmtId="0" fontId="218" fillId="0" borderId="80" xfId="33" applyFont="1" applyBorder="1"/>
    <xf numFmtId="0" fontId="218" fillId="0" borderId="146" xfId="33" applyFont="1" applyBorder="1" applyAlignment="1">
      <alignment horizontal="center"/>
    </xf>
    <xf numFmtId="0" fontId="89" fillId="0" borderId="86" xfId="33" applyFont="1" applyFill="1" applyBorder="1" applyAlignment="1">
      <alignment horizontal="center" wrapText="1"/>
    </xf>
    <xf numFmtId="0" fontId="218" fillId="0" borderId="0" xfId="33" applyFont="1" applyBorder="1"/>
    <xf numFmtId="0" fontId="218" fillId="0" borderId="47" xfId="33" applyFont="1" applyBorder="1"/>
    <xf numFmtId="0" fontId="218" fillId="0" borderId="0" xfId="33" applyFont="1" applyBorder="1" applyAlignment="1">
      <alignment vertical="center"/>
    </xf>
    <xf numFmtId="0" fontId="218" fillId="0" borderId="82" xfId="33" applyFont="1" applyBorder="1" applyAlignment="1">
      <alignment vertical="center"/>
    </xf>
    <xf numFmtId="164" fontId="218" fillId="0" borderId="82" xfId="34" applyNumberFormat="1" applyFont="1" applyBorder="1" applyAlignment="1">
      <alignment horizontal="center" vertical="center"/>
    </xf>
    <xf numFmtId="0" fontId="220" fillId="0" borderId="82" xfId="33" applyFont="1" applyBorder="1" applyAlignment="1">
      <alignment vertical="center"/>
    </xf>
    <xf numFmtId="0" fontId="218" fillId="0" borderId="82" xfId="33" applyFont="1" applyBorder="1" applyAlignment="1">
      <alignment horizontal="center" vertical="center"/>
    </xf>
    <xf numFmtId="0" fontId="218" fillId="0" borderId="85" xfId="33" applyFont="1" applyBorder="1" applyAlignment="1">
      <alignment vertical="center"/>
    </xf>
    <xf numFmtId="0" fontId="218" fillId="0" borderId="147" xfId="33" applyFont="1" applyBorder="1" applyAlignment="1">
      <alignment vertical="center"/>
    </xf>
    <xf numFmtId="164" fontId="218" fillId="28" borderId="149" xfId="34" applyNumberFormat="1" applyFont="1" applyFill="1" applyBorder="1" applyAlignment="1">
      <alignment horizontal="center" vertical="center"/>
    </xf>
    <xf numFmtId="183" fontId="218" fillId="28" borderId="134" xfId="33" applyNumberFormat="1" applyFont="1" applyFill="1" applyBorder="1" applyAlignment="1">
      <alignment horizontal="center" vertical="center"/>
    </xf>
    <xf numFmtId="183" fontId="218" fillId="28" borderId="17" xfId="33" applyNumberFormat="1" applyFont="1" applyFill="1" applyBorder="1" applyAlignment="1">
      <alignment horizontal="center" vertical="center"/>
    </xf>
    <xf numFmtId="183" fontId="218" fillId="28" borderId="18" xfId="33" applyNumberFormat="1" applyFont="1" applyFill="1" applyBorder="1" applyAlignment="1">
      <alignment horizontal="center" vertical="center"/>
    </xf>
    <xf numFmtId="0" fontId="218" fillId="0" borderId="85" xfId="33" applyFont="1" applyBorder="1" applyAlignment="1">
      <alignment horizontal="right" vertical="center"/>
    </xf>
    <xf numFmtId="0" fontId="218" fillId="0" borderId="0" xfId="33" applyFont="1" applyBorder="1" applyAlignment="1">
      <alignment horizontal="right" vertical="center"/>
    </xf>
    <xf numFmtId="164" fontId="218" fillId="28" borderId="143" xfId="34" applyNumberFormat="1" applyFont="1" applyFill="1" applyBorder="1" applyAlignment="1">
      <alignment horizontal="center" vertical="center"/>
    </xf>
    <xf numFmtId="0" fontId="218" fillId="11" borderId="86" xfId="33" applyFont="1" applyFill="1" applyBorder="1" applyAlignment="1">
      <alignment horizontal="center" vertical="center"/>
    </xf>
    <xf numFmtId="0" fontId="218" fillId="11" borderId="84" xfId="33" applyFont="1" applyFill="1" applyBorder="1" applyAlignment="1">
      <alignment horizontal="center" vertical="center"/>
    </xf>
    <xf numFmtId="0" fontId="218" fillId="11" borderId="11" xfId="33" applyFont="1" applyFill="1" applyBorder="1" applyAlignment="1">
      <alignment horizontal="center" vertical="center"/>
    </xf>
    <xf numFmtId="0" fontId="218"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8" fillId="0" borderId="0" xfId="33" applyFont="1" applyBorder="1" applyAlignment="1"/>
    <xf numFmtId="183" fontId="218" fillId="29" borderId="35" xfId="33" applyNumberFormat="1" applyFont="1" applyFill="1" applyBorder="1" applyAlignment="1">
      <alignment horizontal="center"/>
    </xf>
    <xf numFmtId="0" fontId="220" fillId="0" borderId="149" xfId="33" applyFont="1" applyFill="1" applyBorder="1" applyAlignment="1">
      <alignment horizontal="right"/>
    </xf>
    <xf numFmtId="0" fontId="217" fillId="0" borderId="0" xfId="33" applyFont="1" applyAlignment="1"/>
    <xf numFmtId="164" fontId="220" fillId="29" borderId="148" xfId="34" applyNumberFormat="1" applyFont="1" applyFill="1" applyBorder="1" applyAlignment="1">
      <alignment horizontal="center" vertical="center"/>
    </xf>
    <xf numFmtId="164" fontId="220" fillId="29" borderId="148" xfId="34" applyNumberFormat="1" applyFont="1" applyFill="1" applyBorder="1" applyAlignment="1">
      <alignment horizontal="center"/>
    </xf>
    <xf numFmtId="183" fontId="218" fillId="0" borderId="147" xfId="33" applyNumberFormat="1" applyFont="1" applyFill="1" applyBorder="1" applyAlignment="1">
      <alignment horizontal="center"/>
    </xf>
    <xf numFmtId="0" fontId="218" fillId="0" borderId="144" xfId="33" applyFont="1" applyBorder="1" applyAlignment="1">
      <alignment horizontal="center"/>
    </xf>
    <xf numFmtId="0" fontId="218" fillId="0" borderId="44" xfId="33" applyFont="1" applyBorder="1" applyAlignment="1">
      <alignment horizontal="center"/>
    </xf>
    <xf numFmtId="0" fontId="218" fillId="0" borderId="145" xfId="33" applyFont="1" applyBorder="1" applyAlignment="1">
      <alignment horizontal="center"/>
    </xf>
    <xf numFmtId="0" fontId="218" fillId="0" borderId="85" xfId="33" applyFont="1" applyBorder="1" applyAlignment="1"/>
    <xf numFmtId="0" fontId="218" fillId="0" borderId="81" xfId="33" applyFont="1" applyBorder="1" applyAlignment="1"/>
    <xf numFmtId="0" fontId="218" fillId="0" borderId="8" xfId="33" applyFont="1" applyBorder="1" applyAlignment="1"/>
    <xf numFmtId="0" fontId="218" fillId="0" borderId="13" xfId="33" applyFont="1" applyBorder="1" applyAlignment="1"/>
    <xf numFmtId="0" fontId="218" fillId="0" borderId="14" xfId="33" applyFont="1" applyBorder="1" applyAlignment="1"/>
    <xf numFmtId="164" fontId="223" fillId="29" borderId="15" xfId="34" applyNumberFormat="1" applyFont="1" applyFill="1" applyBorder="1" applyAlignment="1">
      <alignment horizontal="center" vertical="center"/>
    </xf>
    <xf numFmtId="0" fontId="218" fillId="0" borderId="157" xfId="33" applyFont="1" applyBorder="1"/>
    <xf numFmtId="164" fontId="218" fillId="28" borderId="149" xfId="34" applyNumberFormat="1" applyFont="1" applyFill="1" applyBorder="1"/>
    <xf numFmtId="0" fontId="218" fillId="0" borderId="141" xfId="33" applyFont="1" applyBorder="1"/>
    <xf numFmtId="185" fontId="224" fillId="28" borderId="134" xfId="33" applyNumberFormat="1" applyFont="1" applyFill="1" applyBorder="1" applyAlignment="1">
      <alignment horizontal="center" vertical="center"/>
    </xf>
    <xf numFmtId="183" fontId="224" fillId="28" borderId="134" xfId="33" applyNumberFormat="1" applyFont="1" applyFill="1" applyBorder="1" applyAlignment="1">
      <alignment horizontal="center" vertical="center"/>
    </xf>
    <xf numFmtId="0" fontId="224" fillId="0" borderId="0" xfId="33" applyFont="1"/>
    <xf numFmtId="164" fontId="224" fillId="28" borderId="134" xfId="34" applyNumberFormat="1" applyFont="1" applyFill="1" applyBorder="1" applyAlignment="1">
      <alignment horizontal="center" vertical="center"/>
    </xf>
    <xf numFmtId="185" fontId="224" fillId="28" borderId="17" xfId="33" applyNumberFormat="1" applyFont="1" applyFill="1" applyBorder="1" applyAlignment="1">
      <alignment horizontal="center" vertical="center"/>
    </xf>
    <xf numFmtId="183" fontId="224" fillId="28" borderId="17" xfId="33" applyNumberFormat="1" applyFont="1" applyFill="1" applyBorder="1" applyAlignment="1">
      <alignment horizontal="center" vertical="center"/>
    </xf>
    <xf numFmtId="164" fontId="224" fillId="28" borderId="17" xfId="34" applyNumberFormat="1" applyFont="1" applyFill="1" applyBorder="1" applyAlignment="1">
      <alignment horizontal="center" vertical="center"/>
    </xf>
    <xf numFmtId="185" fontId="224" fillId="28" borderId="18" xfId="33" applyNumberFormat="1" applyFont="1" applyFill="1" applyBorder="1" applyAlignment="1">
      <alignment horizontal="center" vertical="center"/>
    </xf>
    <xf numFmtId="183" fontId="224" fillId="28" borderId="18" xfId="33" applyNumberFormat="1" applyFont="1" applyFill="1" applyBorder="1" applyAlignment="1">
      <alignment horizontal="center" vertical="center"/>
    </xf>
    <xf numFmtId="164" fontId="224" fillId="28" borderId="18" xfId="34" applyNumberFormat="1" applyFont="1" applyFill="1" applyBorder="1" applyAlignment="1">
      <alignment horizontal="center" vertical="center"/>
    </xf>
    <xf numFmtId="0" fontId="224"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1" fillId="0" borderId="50" xfId="0" applyNumberFormat="1" applyFont="1" applyBorder="1" applyAlignment="1">
      <alignment horizontal="left"/>
    </xf>
    <xf numFmtId="49" fontId="211" fillId="0" borderId="38" xfId="0" applyNumberFormat="1" applyFont="1" applyBorder="1" applyAlignment="1">
      <alignment horizontal="center"/>
    </xf>
    <xf numFmtId="49" fontId="211" fillId="0" borderId="25" xfId="0" applyNumberFormat="1" applyFont="1" applyBorder="1" applyAlignment="1">
      <alignment horizontal="center"/>
    </xf>
    <xf numFmtId="49" fontId="43" fillId="0" borderId="0" xfId="0" applyNumberFormat="1" applyFont="1"/>
    <xf numFmtId="49" fontId="211" fillId="0" borderId="50" xfId="0" applyNumberFormat="1" applyFont="1" applyBorder="1"/>
    <xf numFmtId="49" fontId="211" fillId="0" borderId="48" xfId="0" applyNumberFormat="1" applyFont="1" applyBorder="1"/>
    <xf numFmtId="49" fontId="211" fillId="0" borderId="49" xfId="0" applyNumberFormat="1" applyFont="1" applyBorder="1" applyAlignment="1">
      <alignment horizontal="center"/>
    </xf>
    <xf numFmtId="49" fontId="211"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8" fillId="0" borderId="7" xfId="33" applyFont="1" applyBorder="1" applyAlignment="1">
      <alignment horizontal="center"/>
    </xf>
    <xf numFmtId="0" fontId="220"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9"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20" fillId="0" borderId="147" xfId="33" applyFont="1" applyBorder="1" applyAlignment="1"/>
    <xf numFmtId="0" fontId="220" fillId="0" borderId="146" xfId="33" applyFont="1" applyBorder="1" applyAlignment="1">
      <alignment horizontal="center"/>
    </xf>
    <xf numFmtId="0" fontId="218" fillId="0" borderId="8" xfId="33" applyFont="1" applyBorder="1"/>
    <xf numFmtId="0" fontId="218" fillId="0" borderId="9" xfId="33" applyFont="1" applyBorder="1" applyAlignment="1">
      <alignment horizontal="center"/>
    </xf>
    <xf numFmtId="0" fontId="218" fillId="0" borderId="14" xfId="33" applyFont="1" applyBorder="1"/>
    <xf numFmtId="0" fontId="220" fillId="0" borderId="0" xfId="33" applyFont="1" applyAlignment="1">
      <alignment horizontal="center" wrapText="1"/>
    </xf>
    <xf numFmtId="0" fontId="218" fillId="28" borderId="134" xfId="33" applyFont="1" applyFill="1" applyBorder="1" applyAlignment="1">
      <alignment horizontal="center"/>
    </xf>
    <xf numFmtId="0" fontId="218" fillId="28" borderId="17" xfId="33" applyFont="1" applyFill="1" applyBorder="1" applyAlignment="1">
      <alignment horizontal="center"/>
    </xf>
    <xf numFmtId="0" fontId="218" fillId="28" borderId="18" xfId="33" applyFont="1" applyFill="1" applyBorder="1" applyAlignment="1">
      <alignment horizontal="center"/>
    </xf>
    <xf numFmtId="0" fontId="220"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4" fillId="13" borderId="151" xfId="33" applyNumberFormat="1" applyFont="1" applyFill="1" applyBorder="1" applyAlignment="1" applyProtection="1">
      <alignment horizontal="center" vertical="center"/>
      <protection locked="0"/>
    </xf>
    <xf numFmtId="183" fontId="224" fillId="13" borderId="134" xfId="33" applyNumberFormat="1" applyFont="1" applyFill="1" applyBorder="1" applyAlignment="1" applyProtection="1">
      <alignment horizontal="center" vertical="center"/>
      <protection locked="0"/>
    </xf>
    <xf numFmtId="184" fontId="224" fillId="13" borderId="134" xfId="33" applyNumberFormat="1" applyFont="1" applyFill="1" applyBorder="1" applyAlignment="1" applyProtection="1">
      <alignment horizontal="center" vertical="center"/>
      <protection locked="0"/>
    </xf>
    <xf numFmtId="183" fontId="224" fillId="13" borderId="152" xfId="33" applyNumberFormat="1" applyFont="1" applyFill="1" applyBorder="1" applyAlignment="1" applyProtection="1">
      <alignment horizontal="center" vertical="center"/>
      <protection locked="0"/>
    </xf>
    <xf numFmtId="183" fontId="224" fillId="13" borderId="17" xfId="33" applyNumberFormat="1" applyFont="1" applyFill="1" applyBorder="1" applyAlignment="1" applyProtection="1">
      <alignment horizontal="center" vertical="center"/>
      <protection locked="0"/>
    </xf>
    <xf numFmtId="184" fontId="224" fillId="13" borderId="17" xfId="33" applyNumberFormat="1" applyFont="1" applyFill="1" applyBorder="1" applyAlignment="1" applyProtection="1">
      <alignment horizontal="center" vertical="center"/>
      <protection locked="0"/>
    </xf>
    <xf numFmtId="183" fontId="224" fillId="13" borderId="153" xfId="33" applyNumberFormat="1" applyFont="1" applyFill="1" applyBorder="1" applyAlignment="1" applyProtection="1">
      <alignment horizontal="center" vertical="center"/>
      <protection locked="0"/>
    </xf>
    <xf numFmtId="183" fontId="224" fillId="13" borderId="18" xfId="33" applyNumberFormat="1" applyFont="1" applyFill="1" applyBorder="1" applyAlignment="1" applyProtection="1">
      <alignment horizontal="center" vertical="center"/>
      <protection locked="0"/>
    </xf>
    <xf numFmtId="184" fontId="224"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9"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1"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8"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8" fillId="0" borderId="0" xfId="0" applyFont="1" applyFill="1" applyAlignment="1" applyProtection="1">
      <alignment vertical="center"/>
    </xf>
    <xf numFmtId="0" fontId="97" fillId="0" borderId="0" xfId="0" applyFont="1" applyFill="1" applyBorder="1" applyAlignment="1" applyProtection="1">
      <alignment vertical="center"/>
    </xf>
    <xf numFmtId="3" fontId="238" fillId="0" borderId="0" xfId="0" applyNumberFormat="1" applyFont="1" applyFill="1" applyAlignment="1" applyProtection="1">
      <alignment horizontal="center" vertical="center"/>
    </xf>
    <xf numFmtId="38" fontId="239"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7"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3"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4" fillId="20" borderId="0" xfId="0" applyFont="1" applyFill="1" applyProtection="1"/>
    <xf numFmtId="0" fontId="244"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9"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6"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7" fillId="0" borderId="0" xfId="0" applyFont="1" applyFill="1" applyProtection="1"/>
    <xf numFmtId="0" fontId="247"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6"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8"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8"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249" fillId="0" borderId="0" xfId="0" applyFont="1" applyFill="1" applyBorder="1" applyAlignment="1" applyProtection="1">
      <alignment horizontal="center"/>
    </xf>
    <xf numFmtId="0" fontId="93" fillId="0" borderId="0" xfId="0" applyFont="1" applyFill="1" applyBorder="1" applyAlignment="1" applyProtection="1"/>
    <xf numFmtId="0" fontId="250"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4"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4"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4"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4"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2"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3" fillId="0" borderId="0" xfId="0" applyFont="1" applyFill="1" applyBorder="1" applyAlignment="1" applyProtection="1"/>
    <xf numFmtId="0" fontId="253"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4"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4"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4"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4"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4"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5"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4"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4" fillId="0" borderId="0" xfId="0" applyFont="1" applyFill="1" applyBorder="1" applyAlignment="1">
      <alignment vertical="center"/>
    </xf>
    <xf numFmtId="0" fontId="244" fillId="0" borderId="0" xfId="0" applyFont="1" applyFill="1" applyBorder="1" applyAlignment="1" applyProtection="1"/>
    <xf numFmtId="49" fontId="250"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4" fillId="0" borderId="0" xfId="0" applyNumberFormat="1" applyFont="1" applyFill="1" applyBorder="1" applyAlignment="1" applyProtection="1">
      <alignment vertical="center"/>
    </xf>
    <xf numFmtId="0" fontId="244"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0" fontId="257" fillId="0" borderId="0" xfId="0" quotePrefix="1" applyFont="1" applyFill="1" applyBorder="1" applyAlignment="1" applyProtection="1">
      <alignment vertical="center"/>
    </xf>
    <xf numFmtId="0" fontId="255" fillId="0" borderId="0" xfId="0" applyFont="1" applyFill="1" applyBorder="1" applyAlignment="1" applyProtection="1">
      <alignment horizontal="center" vertical="center"/>
    </xf>
    <xf numFmtId="3" fontId="244" fillId="0" borderId="0" xfId="0" applyNumberFormat="1" applyFont="1" applyFill="1" applyBorder="1" applyAlignment="1" applyProtection="1">
      <alignment vertical="center"/>
    </xf>
    <xf numFmtId="4" fontId="244" fillId="0" borderId="0" xfId="0" applyNumberFormat="1" applyFont="1" applyFill="1" applyBorder="1" applyAlignment="1" applyProtection="1">
      <alignment vertical="center"/>
    </xf>
    <xf numFmtId="9" fontId="244"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50" fillId="0" borderId="0" xfId="0" applyFont="1" applyFill="1" applyBorder="1" applyAlignment="1" applyProtection="1">
      <alignment vertical="top"/>
    </xf>
    <xf numFmtId="49" fontId="258"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50"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9" fillId="0" borderId="0" xfId="0" applyFont="1" applyFill="1" applyBorder="1" applyAlignment="1" applyProtection="1">
      <alignment horizontal="center" vertical="center"/>
    </xf>
    <xf numFmtId="0" fontId="256"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6"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xf>
    <xf numFmtId="37" fontId="244" fillId="0" borderId="0" xfId="1" applyNumberFormat="1" applyFont="1" applyFill="1" applyBorder="1" applyAlignment="1" applyProtection="1">
      <alignment horizontal="center"/>
    </xf>
    <xf numFmtId="37" fontId="244"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left" vertical="center"/>
    </xf>
    <xf numFmtId="164" fontId="256" fillId="0" borderId="0" xfId="0" applyNumberFormat="1" applyFont="1" applyFill="1" applyBorder="1" applyAlignment="1" applyProtection="1">
      <alignment vertical="center"/>
    </xf>
    <xf numFmtId="0" fontId="256" fillId="0" borderId="0" xfId="0" applyFont="1" applyFill="1" applyBorder="1" applyAlignment="1" applyProtection="1">
      <alignment vertical="top"/>
    </xf>
    <xf numFmtId="0" fontId="256" fillId="0" borderId="0" xfId="0" applyFont="1" applyFill="1" applyBorder="1" applyAlignment="1" applyProtection="1">
      <alignment vertical="center"/>
    </xf>
    <xf numFmtId="4" fontId="256" fillId="0" borderId="0" xfId="1" applyNumberFormat="1" applyFont="1" applyFill="1" applyBorder="1" applyAlignment="1" applyProtection="1">
      <alignment horizontal="right" vertical="center"/>
    </xf>
    <xf numFmtId="171" fontId="253" fillId="0" borderId="0" xfId="0" applyNumberFormat="1" applyFont="1" applyFill="1" applyBorder="1" applyAlignment="1" applyProtection="1">
      <alignment horizontal="left" vertical="center"/>
    </xf>
    <xf numFmtId="4" fontId="256" fillId="0" borderId="0" xfId="1" applyNumberFormat="1" applyFont="1" applyFill="1" applyBorder="1" applyAlignment="1" applyProtection="1">
      <alignment vertical="center"/>
    </xf>
    <xf numFmtId="171" fontId="253" fillId="0" borderId="0" xfId="0" applyNumberFormat="1" applyFont="1" applyFill="1" applyBorder="1" applyAlignment="1" applyProtection="1">
      <alignment vertical="center"/>
    </xf>
    <xf numFmtId="0" fontId="251" fillId="0" borderId="0" xfId="0" applyFont="1" applyFill="1" applyBorder="1" applyAlignment="1" applyProtection="1">
      <alignment horizontal="left" vertical="center"/>
    </xf>
    <xf numFmtId="4" fontId="256"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4"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horizontal="center" vertical="center"/>
    </xf>
    <xf numFmtId="37" fontId="256"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6"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60" fillId="0" borderId="0" xfId="0" applyNumberFormat="1" applyFont="1" applyFill="1" applyBorder="1" applyAlignment="1" applyProtection="1">
      <alignment vertical="center"/>
    </xf>
    <xf numFmtId="3" fontId="24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6"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50" fillId="0" borderId="0" xfId="0" applyFont="1" applyFill="1" applyBorder="1" applyAlignment="1" applyProtection="1">
      <alignment horizontal="left" vertical="top"/>
    </xf>
    <xf numFmtId="0" fontId="254" fillId="0" borderId="0" xfId="0" applyFont="1" applyFill="1" applyBorder="1" applyAlignment="1" applyProtection="1">
      <alignment horizontal="right" vertical="center"/>
    </xf>
    <xf numFmtId="0" fontId="260"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60"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60"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50" fillId="0" borderId="0" xfId="0" applyFont="1" applyFill="1" applyBorder="1" applyAlignment="1">
      <alignment vertical="center"/>
    </xf>
    <xf numFmtId="0" fontId="244"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4" fillId="0" borderId="0" xfId="0" applyNumberFormat="1" applyFont="1" applyFill="1" applyBorder="1" applyAlignment="1" applyProtection="1">
      <alignment vertical="center"/>
    </xf>
    <xf numFmtId="164" fontId="244"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8" fillId="0" borderId="0" xfId="13" applyFont="1" applyFill="1" applyBorder="1" applyAlignment="1">
      <alignment vertical="top"/>
    </xf>
    <xf numFmtId="0" fontId="93" fillId="0" borderId="0" xfId="13" applyFont="1" applyFill="1" applyBorder="1" applyAlignment="1" applyProtection="1">
      <alignment vertical="top"/>
    </xf>
    <xf numFmtId="0" fontId="262"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4"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3"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3"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60"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4"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8" fillId="0" borderId="0" xfId="0" applyFont="1" applyFill="1" applyBorder="1" applyAlignment="1" applyProtection="1">
      <alignment vertical="center"/>
    </xf>
    <xf numFmtId="0" fontId="268" fillId="0" borderId="0" xfId="0" applyFont="1" applyFill="1" applyBorder="1" applyAlignment="1" applyProtection="1"/>
    <xf numFmtId="0" fontId="263" fillId="0" borderId="0" xfId="0" applyFont="1" applyFill="1" applyBorder="1" applyAlignment="1" applyProtection="1">
      <alignment vertical="center"/>
    </xf>
    <xf numFmtId="0" fontId="269" fillId="0" borderId="0" xfId="0" applyFont="1" applyFill="1" applyBorder="1" applyAlignment="1" applyProtection="1">
      <alignment vertical="center"/>
    </xf>
    <xf numFmtId="38" fontId="268"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6"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3" fillId="0" borderId="0" xfId="0" applyFont="1" applyFill="1" applyBorder="1" applyAlignment="1" applyProtection="1">
      <alignment horizontal="left" vertical="center"/>
    </xf>
    <xf numFmtId="0" fontId="269"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8"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8"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8"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1" fillId="0" borderId="0" xfId="0" applyNumberFormat="1" applyFont="1" applyFill="1" applyBorder="1" applyAlignment="1" applyProtection="1"/>
    <xf numFmtId="0" fontId="252" fillId="0" borderId="0" xfId="0" applyFont="1" applyFill="1" applyBorder="1" applyAlignment="1" applyProtection="1"/>
    <xf numFmtId="0" fontId="252"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131" fillId="0" borderId="0" xfId="0" applyFont="1" applyFill="1" applyBorder="1" applyAlignment="1" applyProtection="1"/>
    <xf numFmtId="0" fontId="262" fillId="0" borderId="0" xfId="0" applyFont="1" applyFill="1" applyBorder="1" applyAlignment="1" applyProtection="1">
      <alignment vertical="center"/>
    </xf>
    <xf numFmtId="0" fontId="263"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5"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9"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60"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6" fillId="0" borderId="0" xfId="0" applyFont="1" applyFill="1" applyBorder="1" applyAlignment="1" applyProtection="1">
      <alignment horizontal="right" vertical="top"/>
    </xf>
    <xf numFmtId="3" fontId="269" fillId="0" borderId="0" xfId="0" applyNumberFormat="1" applyFont="1" applyFill="1" applyBorder="1" applyAlignment="1" applyProtection="1">
      <alignment horizontal="center" vertical="top"/>
    </xf>
    <xf numFmtId="0" fontId="269" fillId="0" borderId="0" xfId="0" applyFont="1" applyFill="1" applyBorder="1" applyAlignment="1" applyProtection="1">
      <alignment horizontal="justify" vertical="top"/>
    </xf>
    <xf numFmtId="0" fontId="269" fillId="0" borderId="0" xfId="0" applyFont="1" applyFill="1" applyBorder="1" applyAlignment="1" applyProtection="1">
      <alignment horizontal="center" vertical="top"/>
    </xf>
    <xf numFmtId="3" fontId="253" fillId="0" borderId="0" xfId="0" applyNumberFormat="1" applyFont="1" applyFill="1" applyBorder="1" applyAlignment="1" applyProtection="1">
      <alignment horizontal="center" vertical="top"/>
    </xf>
    <xf numFmtId="0" fontId="268"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3" fontId="262"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4" fillId="0" borderId="0" xfId="0" applyNumberFormat="1" applyFont="1" applyFill="1" applyBorder="1" applyAlignment="1" applyProtection="1">
      <alignment horizontal="center" vertical="center"/>
    </xf>
    <xf numFmtId="164" fontId="244"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2"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60"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8" fillId="0" borderId="0" xfId="0" applyFont="1" applyFill="1" applyBorder="1" applyAlignment="1" applyProtection="1"/>
    <xf numFmtId="0" fontId="278"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4" fillId="0" borderId="0" xfId="0" applyNumberFormat="1" applyFont="1" applyFill="1" applyBorder="1" applyAlignment="1" applyProtection="1">
      <alignment vertical="top"/>
      <protection locked="0"/>
    </xf>
    <xf numFmtId="0" fontId="252"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3" fillId="0" borderId="0" xfId="0" applyFont="1" applyFill="1" applyBorder="1" applyAlignment="1" applyProtection="1">
      <alignment horizontal="left" vertical="center"/>
    </xf>
    <xf numFmtId="0" fontId="279" fillId="0" borderId="0" xfId="6" applyFont="1" applyFill="1" applyBorder="1" applyAlignment="1" applyProtection="1">
      <alignment horizontal="center"/>
    </xf>
    <xf numFmtId="0" fontId="278" fillId="0" borderId="0" xfId="0" applyFont="1" applyFill="1" applyBorder="1" applyAlignment="1" applyProtection="1">
      <alignment vertical="center"/>
    </xf>
    <xf numFmtId="0" fontId="278"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2"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8"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8" fillId="0" borderId="0" xfId="0" applyFont="1" applyAlignment="1">
      <alignment vertical="center"/>
    </xf>
    <xf numFmtId="0" fontId="97" fillId="0" borderId="38" xfId="0" applyFont="1" applyBorder="1" applyAlignment="1">
      <alignment horizontal="center" vertical="center" wrapText="1"/>
    </xf>
    <xf numFmtId="9" fontId="269" fillId="0" borderId="0" xfId="0" applyNumberFormat="1" applyFont="1" applyFill="1" applyBorder="1" applyAlignment="1">
      <alignment horizontal="center" vertical="center"/>
    </xf>
    <xf numFmtId="0" fontId="94" fillId="0" borderId="0" xfId="0" applyFont="1" applyAlignment="1">
      <alignment vertical="center"/>
    </xf>
    <xf numFmtId="9" fontId="269"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4"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8" fillId="0" borderId="0" xfId="0" applyFont="1"/>
    <xf numFmtId="187" fontId="97" fillId="0" borderId="0" xfId="0" applyNumberFormat="1" applyFont="1" applyAlignment="1">
      <alignment horizontal="center" vertical="center"/>
    </xf>
    <xf numFmtId="0" fontId="281"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4" fillId="0" borderId="0" xfId="0" applyNumberFormat="1" applyFont="1" applyFill="1" applyBorder="1" applyAlignment="1" applyProtection="1">
      <alignment horizontal="center" vertical="center"/>
    </xf>
    <xf numFmtId="0" fontId="268"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3"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8" fillId="0" borderId="0" xfId="0" applyFont="1" applyFill="1" applyBorder="1" applyAlignment="1" applyProtection="1">
      <alignment horizontal="center"/>
    </xf>
    <xf numFmtId="0" fontId="282"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2" fillId="0" borderId="0" xfId="0" applyFont="1" applyFill="1" applyBorder="1" applyAlignment="1" applyProtection="1">
      <alignment vertical="center"/>
    </xf>
    <xf numFmtId="0" fontId="269" fillId="0" borderId="0" xfId="0" applyFont="1" applyFill="1" applyBorder="1" applyAlignment="1" applyProtection="1">
      <alignment horizontal="right" vertical="center"/>
    </xf>
    <xf numFmtId="0" fontId="265"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5"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4" fillId="0" borderId="0" xfId="0" applyNumberFormat="1" applyFont="1" applyFill="1" applyBorder="1" applyAlignment="1" applyProtection="1">
      <alignment vertical="center"/>
    </xf>
    <xf numFmtId="0" fontId="279" fillId="0" borderId="0" xfId="0" applyFont="1" applyFill="1" applyBorder="1" applyAlignment="1" applyProtection="1">
      <alignment vertical="center"/>
    </xf>
    <xf numFmtId="0" fontId="278"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3"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3"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8" fillId="0" borderId="0" xfId="0" applyFont="1" applyFill="1" applyBorder="1" applyAlignment="1"/>
    <xf numFmtId="0" fontId="278" fillId="0" borderId="0" xfId="0" applyFont="1" applyFill="1" applyBorder="1" applyAlignment="1">
      <alignment horizontal="center"/>
    </xf>
    <xf numFmtId="0" fontId="278" fillId="0" borderId="0" xfId="0" applyFont="1" applyFill="1" applyBorder="1" applyAlignment="1" applyProtection="1">
      <alignment horizontal="left"/>
    </xf>
    <xf numFmtId="0" fontId="258"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8"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9" fillId="0" borderId="0" xfId="0" applyFont="1" applyFill="1" applyBorder="1" applyAlignment="1" applyProtection="1"/>
    <xf numFmtId="0" fontId="270" fillId="0" borderId="0" xfId="0" applyFont="1" applyFill="1" applyBorder="1" applyAlignment="1" applyProtection="1">
      <alignment horizontal="right" vertical="center"/>
    </xf>
    <xf numFmtId="0" fontId="263" fillId="0" borderId="0" xfId="0" applyFont="1" applyFill="1" applyBorder="1" applyAlignment="1">
      <alignment vertical="center"/>
    </xf>
    <xf numFmtId="0" fontId="286" fillId="0" borderId="0" xfId="0" applyFont="1" applyFill="1" applyBorder="1" applyAlignment="1" applyProtection="1">
      <alignment horizontal="center" vertical="top"/>
    </xf>
    <xf numFmtId="0" fontId="286"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8" fillId="0" borderId="0" xfId="0" applyFont="1" applyFill="1" applyBorder="1" applyAlignment="1">
      <alignment vertical="center"/>
    </xf>
    <xf numFmtId="0" fontId="269"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3" fillId="0" borderId="0" xfId="0" applyFont="1" applyFill="1" applyBorder="1" applyAlignment="1">
      <alignment horizontal="left" vertical="top"/>
    </xf>
    <xf numFmtId="0" fontId="270" fillId="0" borderId="0" xfId="0" applyFont="1" applyFill="1" applyBorder="1" applyAlignment="1"/>
    <xf numFmtId="10" fontId="97" fillId="0" borderId="0" xfId="0" applyNumberFormat="1" applyFont="1" applyFill="1" applyBorder="1" applyAlignment="1" applyProtection="1">
      <alignment vertical="center"/>
      <protection locked="0"/>
    </xf>
    <xf numFmtId="0" fontId="253" fillId="0" borderId="0" xfId="0" applyFont="1" applyFill="1" applyBorder="1" applyAlignment="1">
      <alignment horizontal="left" vertical="center"/>
    </xf>
    <xf numFmtId="0" fontId="268" fillId="0" borderId="0" xfId="0" quotePrefix="1" applyFont="1" applyFill="1" applyBorder="1" applyAlignment="1" applyProtection="1">
      <alignment horizontal="left" vertical="center"/>
    </xf>
    <xf numFmtId="0" fontId="269"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7" fillId="0" borderId="0" xfId="0" applyFont="1" applyFill="1" applyBorder="1" applyAlignment="1" applyProtection="1">
      <alignment vertical="center"/>
    </xf>
    <xf numFmtId="0" fontId="286" fillId="0" borderId="0" xfId="0" applyFont="1" applyFill="1" applyBorder="1" applyAlignment="1" applyProtection="1">
      <alignment vertical="center"/>
    </xf>
    <xf numFmtId="0" fontId="268" fillId="0" borderId="0" xfId="0" applyFont="1" applyFill="1" applyBorder="1" applyAlignment="1" applyProtection="1">
      <alignment horizontal="center" vertical="center"/>
    </xf>
    <xf numFmtId="0" fontId="272"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9" fillId="0" borderId="0" xfId="0" applyFont="1" applyFill="1" applyBorder="1" applyAlignment="1" applyProtection="1"/>
    <xf numFmtId="0" fontId="281" fillId="0" borderId="0" xfId="0" applyFont="1" applyFill="1" applyBorder="1" applyAlignment="1" applyProtection="1"/>
    <xf numFmtId="4" fontId="93" fillId="0" borderId="0" xfId="0" applyNumberFormat="1" applyFont="1" applyFill="1" applyBorder="1" applyAlignment="1" applyProtection="1">
      <alignment vertical="center"/>
    </xf>
    <xf numFmtId="0" fontId="263"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8"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2" fillId="0" borderId="0" xfId="0" applyFont="1" applyFill="1" applyBorder="1" applyAlignment="1" applyProtection="1"/>
    <xf numFmtId="38" fontId="258" fillId="0" borderId="0" xfId="0" applyNumberFormat="1" applyFont="1" applyFill="1" applyBorder="1" applyAlignment="1" applyProtection="1">
      <alignment horizontal="center" vertical="center"/>
    </xf>
    <xf numFmtId="182" fontId="258" fillId="0" borderId="0" xfId="0" applyNumberFormat="1" applyFont="1" applyFill="1" applyBorder="1" applyAlignment="1" applyProtection="1">
      <alignment horizontal="center" vertical="center"/>
    </xf>
    <xf numFmtId="0" fontId="287" fillId="0" borderId="0" xfId="33" applyFont="1" applyFill="1" applyBorder="1" applyAlignment="1"/>
    <xf numFmtId="0" fontId="250" fillId="0" borderId="0" xfId="33" applyFont="1" applyFill="1" applyBorder="1" applyAlignment="1"/>
    <xf numFmtId="0" fontId="250" fillId="0" borderId="0" xfId="33" applyFont="1" applyFill="1" applyBorder="1" applyAlignment="1">
      <alignment horizontal="left" vertical="center"/>
    </xf>
    <xf numFmtId="0" fontId="250" fillId="0" borderId="0" xfId="33" applyFont="1" applyFill="1" applyBorder="1" applyAlignment="1">
      <alignment vertical="center"/>
    </xf>
    <xf numFmtId="164" fontId="250" fillId="0" borderId="0" xfId="34" applyNumberFormat="1" applyFont="1" applyFill="1" applyBorder="1" applyAlignment="1">
      <alignment vertical="center"/>
    </xf>
    <xf numFmtId="0" fontId="284" fillId="0" borderId="0" xfId="33" applyFont="1" applyFill="1" applyBorder="1" applyAlignment="1"/>
    <xf numFmtId="14" fontId="250" fillId="0" borderId="0" xfId="34" applyNumberFormat="1" applyFont="1" applyFill="1" applyBorder="1" applyAlignment="1">
      <alignment vertical="center"/>
    </xf>
    <xf numFmtId="0" fontId="250" fillId="0" borderId="0" xfId="33" applyFont="1" applyFill="1" applyBorder="1" applyAlignment="1">
      <alignment horizontal="center" vertical="center"/>
    </xf>
    <xf numFmtId="164" fontId="250" fillId="0" borderId="0" xfId="34" applyNumberFormat="1" applyFont="1" applyFill="1" applyBorder="1" applyAlignment="1" applyProtection="1">
      <alignment vertical="center"/>
      <protection locked="0"/>
    </xf>
    <xf numFmtId="164" fontId="250" fillId="0" borderId="0" xfId="34" applyNumberFormat="1" applyFont="1" applyFill="1" applyBorder="1" applyAlignment="1">
      <alignment horizontal="center" vertical="center"/>
    </xf>
    <xf numFmtId="43" fontId="250" fillId="0" borderId="0" xfId="34" applyFont="1" applyFill="1" applyBorder="1" applyAlignment="1">
      <alignment vertical="center"/>
    </xf>
    <xf numFmtId="166" fontId="250" fillId="0" borderId="0" xfId="35" applyNumberFormat="1" applyFont="1" applyFill="1" applyBorder="1" applyAlignment="1">
      <alignment vertical="center"/>
    </xf>
    <xf numFmtId="0" fontId="250" fillId="0" borderId="0" xfId="33" applyFont="1" applyFill="1" applyBorder="1" applyAlignment="1">
      <alignment horizontal="center"/>
    </xf>
    <xf numFmtId="0" fontId="250" fillId="0" borderId="0" xfId="33" applyFont="1" applyFill="1" applyBorder="1" applyAlignment="1">
      <alignment horizontal="left"/>
    </xf>
    <xf numFmtId="166" fontId="250" fillId="0" borderId="0" xfId="35" applyNumberFormat="1" applyFont="1" applyFill="1" applyBorder="1" applyAlignment="1"/>
    <xf numFmtId="0" fontId="288" fillId="0" borderId="0" xfId="33" applyFont="1" applyFill="1" applyBorder="1" applyAlignment="1">
      <alignment horizontal="left"/>
    </xf>
    <xf numFmtId="0" fontId="103" fillId="0" borderId="0" xfId="33" applyFont="1" applyFill="1" applyBorder="1" applyAlignment="1">
      <alignment horizontal="left"/>
    </xf>
    <xf numFmtId="164" fontId="250" fillId="0" borderId="0" xfId="34" applyNumberFormat="1" applyFont="1" applyFill="1" applyBorder="1" applyAlignment="1"/>
    <xf numFmtId="0" fontId="289"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50" fillId="0" borderId="0" xfId="33" applyNumberFormat="1" applyFont="1" applyFill="1" applyBorder="1" applyAlignment="1"/>
    <xf numFmtId="0" fontId="250" fillId="0" borderId="0" xfId="33" applyFont="1" applyFill="1" applyBorder="1" applyAlignment="1">
      <alignment horizontal="right" vertical="center"/>
    </xf>
    <xf numFmtId="0" fontId="250" fillId="0" borderId="0" xfId="33" applyFont="1" applyFill="1" applyBorder="1" applyAlignment="1">
      <alignment horizontal="right"/>
    </xf>
    <xf numFmtId="183" fontId="250" fillId="0" borderId="0" xfId="33" applyNumberFormat="1" applyFont="1" applyFill="1" applyBorder="1" applyAlignment="1">
      <alignment horizontal="center"/>
    </xf>
    <xf numFmtId="183" fontId="250" fillId="0" borderId="0" xfId="33" applyNumberFormat="1" applyFont="1" applyFill="1" applyBorder="1" applyAlignment="1">
      <alignment horizontal="center" vertical="center"/>
    </xf>
    <xf numFmtId="37" fontId="250" fillId="0" borderId="0" xfId="34" applyNumberFormat="1" applyFont="1" applyFill="1" applyBorder="1" applyAlignment="1" applyProtection="1">
      <alignment vertical="center"/>
      <protection locked="0"/>
    </xf>
    <xf numFmtId="37" fontId="250" fillId="0" borderId="0" xfId="33" applyNumberFormat="1" applyFont="1" applyFill="1" applyBorder="1" applyAlignment="1">
      <alignment vertical="center"/>
    </xf>
    <xf numFmtId="164" fontId="250" fillId="0" borderId="0" xfId="34" applyNumberFormat="1" applyFont="1" applyFill="1" applyBorder="1" applyAlignment="1">
      <alignment horizontal="center"/>
    </xf>
    <xf numFmtId="164" fontId="284" fillId="0" borderId="0" xfId="34" applyNumberFormat="1" applyFont="1" applyFill="1" applyBorder="1" applyAlignment="1">
      <alignment horizontal="center" vertical="center"/>
    </xf>
    <xf numFmtId="0" fontId="97" fillId="0" borderId="0" xfId="0" applyFont="1" applyFill="1" applyBorder="1" applyAlignment="1" applyProtection="1">
      <alignment horizont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34" xfId="0" applyFont="1" applyFill="1" applyBorder="1" applyAlignment="1" applyProtection="1">
      <alignment horizontal="center" vertical="top"/>
    </xf>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7" fillId="0" borderId="0" xfId="0" applyFont="1" applyAlignment="1" applyProtection="1">
      <alignment horizontal="left" vertical="top"/>
    </xf>
    <xf numFmtId="0" fontId="110" fillId="0" borderId="0" xfId="0" applyFont="1" applyAlignment="1" applyProtection="1">
      <alignment horizontal="left" vertical="center"/>
    </xf>
    <xf numFmtId="0" fontId="184" fillId="0" borderId="0" xfId="0" applyFont="1" applyAlignment="1" applyProtection="1">
      <alignment vertical="center" wrapText="1"/>
    </xf>
    <xf numFmtId="0" fontId="216"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40"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4" fillId="0" borderId="0" xfId="0" applyFont="1" applyProtection="1"/>
    <xf numFmtId="0" fontId="224"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4"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0" fontId="46" fillId="5" borderId="37" xfId="0" applyFont="1" applyFill="1" applyBorder="1" applyAlignment="1" applyProtection="1">
      <alignment horizont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5"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1" fillId="0" borderId="0" xfId="0" applyFont="1" applyBorder="1" applyProtection="1"/>
    <xf numFmtId="9" fontId="211"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 fillId="5" borderId="16" xfId="0" applyNumberFormat="1" applyFont="1"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6" fillId="0" borderId="28" xfId="0" applyFont="1" applyFill="1" applyBorder="1" applyAlignment="1" applyProtection="1">
      <alignment horizontal="center" vertical="center"/>
    </xf>
    <xf numFmtId="0" fontId="196"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30" fillId="0" borderId="169" xfId="0" applyNumberFormat="1" applyFont="1" applyFill="1" applyBorder="1" applyAlignment="1" applyProtection="1">
      <alignment horizontal="center" vertical="center"/>
    </xf>
    <xf numFmtId="10" fontId="230" fillId="0" borderId="170" xfId="0" applyNumberFormat="1" applyFont="1" applyFill="1" applyBorder="1" applyAlignment="1" applyProtection="1">
      <alignment horizontal="center" vertical="center"/>
    </xf>
    <xf numFmtId="10" fontId="230" fillId="0" borderId="171" xfId="0" applyNumberFormat="1" applyFont="1" applyFill="1" applyBorder="1" applyAlignment="1" applyProtection="1">
      <alignment horizontal="center" vertical="center"/>
    </xf>
    <xf numFmtId="3" fontId="230" fillId="0" borderId="172" xfId="0" applyNumberFormat="1" applyFont="1" applyFill="1" applyBorder="1" applyAlignment="1" applyProtection="1">
      <alignment horizontal="center" vertical="center"/>
    </xf>
    <xf numFmtId="3" fontId="230" fillId="0" borderId="173" xfId="0" applyNumberFormat="1" applyFont="1" applyFill="1" applyBorder="1" applyAlignment="1" applyProtection="1">
      <alignment horizontal="center" vertical="center"/>
    </xf>
    <xf numFmtId="0" fontId="228" fillId="0" borderId="0" xfId="0" applyFont="1" applyFill="1" applyAlignment="1" applyProtection="1">
      <alignment vertical="center"/>
    </xf>
    <xf numFmtId="0" fontId="229" fillId="0" borderId="0" xfId="0" applyFont="1" applyFill="1" applyAlignment="1" applyProtection="1">
      <alignment vertical="center"/>
    </xf>
    <xf numFmtId="3" fontId="231" fillId="0" borderId="174" xfId="0" applyNumberFormat="1" applyFont="1" applyFill="1" applyBorder="1" applyAlignment="1" applyProtection="1">
      <alignment horizontal="center" vertical="center"/>
    </xf>
    <xf numFmtId="3" fontId="231" fillId="0" borderId="168" xfId="0" applyNumberFormat="1" applyFont="1" applyFill="1" applyBorder="1" applyAlignment="1" applyProtection="1">
      <alignment horizontal="center" vertical="center"/>
    </xf>
    <xf numFmtId="3" fontId="231" fillId="0" borderId="175" xfId="0" applyNumberFormat="1" applyFont="1" applyFill="1" applyBorder="1" applyAlignment="1" applyProtection="1">
      <alignment horizontal="center" vertical="center"/>
    </xf>
    <xf numFmtId="10" fontId="230" fillId="0" borderId="176" xfId="0" applyNumberFormat="1" applyFont="1" applyFill="1" applyBorder="1" applyAlignment="1" applyProtection="1">
      <alignment horizontal="center" vertical="center"/>
    </xf>
    <xf numFmtId="10" fontId="230" fillId="0" borderId="167" xfId="0" applyNumberFormat="1" applyFont="1" applyFill="1" applyBorder="1" applyAlignment="1" applyProtection="1">
      <alignment horizontal="center" vertical="center"/>
    </xf>
    <xf numFmtId="10" fontId="230"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1"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8" xfId="0" applyFont="1" applyFill="1" applyBorder="1" applyAlignment="1" applyProtection="1">
      <alignment horizontal="center"/>
    </xf>
    <xf numFmtId="0" fontId="43" fillId="13" borderId="134"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7" fillId="0" borderId="0" xfId="33" applyFont="1" applyAlignment="1" applyProtection="1"/>
    <xf numFmtId="0" fontId="218"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8"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8" fillId="0" borderId="0" xfId="33" applyFont="1" applyAlignment="1" applyProtection="1">
      <alignment vertical="center"/>
    </xf>
    <xf numFmtId="0" fontId="218" fillId="0" borderId="8" xfId="33" applyFont="1" applyBorder="1" applyAlignment="1" applyProtection="1">
      <alignment vertical="center"/>
    </xf>
    <xf numFmtId="0" fontId="218" fillId="0" borderId="9" xfId="33" applyFont="1" applyBorder="1" applyAlignment="1" applyProtection="1">
      <alignment horizontal="left" vertical="center"/>
    </xf>
    <xf numFmtId="0" fontId="218" fillId="0" borderId="13" xfId="33" applyFont="1" applyBorder="1" applyAlignment="1" applyProtection="1">
      <alignment vertical="center"/>
    </xf>
    <xf numFmtId="0" fontId="218" fillId="0" borderId="14" xfId="33" applyFont="1" applyBorder="1" applyAlignment="1" applyProtection="1">
      <alignment vertical="center"/>
    </xf>
    <xf numFmtId="0" fontId="218" fillId="0" borderId="0" xfId="33" applyFont="1" applyBorder="1" applyAlignment="1" applyProtection="1">
      <alignment vertical="center"/>
    </xf>
    <xf numFmtId="0" fontId="218" fillId="0" borderId="86" xfId="33" applyFont="1" applyFill="1" applyBorder="1" applyAlignment="1" applyProtection="1">
      <alignment horizontal="center" vertical="center"/>
    </xf>
    <xf numFmtId="0" fontId="218" fillId="0" borderId="82" xfId="33" applyFont="1" applyBorder="1" applyAlignment="1" applyProtection="1">
      <alignment vertical="center"/>
    </xf>
    <xf numFmtId="164" fontId="218" fillId="0" borderId="82" xfId="34" applyNumberFormat="1" applyFont="1" applyBorder="1" applyAlignment="1" applyProtection="1">
      <alignment horizontal="center" vertical="center"/>
    </xf>
    <xf numFmtId="0" fontId="220" fillId="0" borderId="82" xfId="33" applyFont="1" applyBorder="1" applyAlignment="1" applyProtection="1">
      <alignment vertical="center"/>
    </xf>
    <xf numFmtId="0" fontId="218" fillId="0" borderId="82" xfId="33" applyFont="1" applyBorder="1" applyAlignment="1" applyProtection="1">
      <alignment horizontal="center" vertical="center"/>
    </xf>
    <xf numFmtId="0" fontId="218" fillId="0" borderId="84" xfId="33" applyFont="1" applyFill="1" applyBorder="1" applyAlignment="1" applyProtection="1">
      <alignment horizontal="center" vertical="center"/>
    </xf>
    <xf numFmtId="0" fontId="218" fillId="0" borderId="85" xfId="33" applyFont="1" applyBorder="1" applyAlignment="1" applyProtection="1">
      <alignment vertical="center"/>
    </xf>
    <xf numFmtId="0" fontId="218" fillId="0" borderId="11" xfId="33" applyFont="1" applyFill="1" applyBorder="1" applyAlignment="1" applyProtection="1">
      <alignment horizontal="center" vertical="center"/>
    </xf>
    <xf numFmtId="0" fontId="218" fillId="0" borderId="12" xfId="33" applyFont="1" applyFill="1" applyBorder="1" applyAlignment="1" applyProtection="1">
      <alignment horizontal="center" vertical="center"/>
    </xf>
    <xf numFmtId="0" fontId="218" fillId="0" borderId="147" xfId="33" applyFont="1" applyBorder="1" applyAlignment="1" applyProtection="1">
      <alignment vertical="center"/>
    </xf>
    <xf numFmtId="0" fontId="218" fillId="0" borderId="0" xfId="33" applyFont="1" applyAlignment="1" applyProtection="1">
      <alignment horizontal="center"/>
    </xf>
    <xf numFmtId="0" fontId="218" fillId="0" borderId="0" xfId="33" applyFont="1" applyAlignment="1" applyProtection="1">
      <alignment horizontal="left"/>
    </xf>
    <xf numFmtId="166" fontId="218" fillId="0" borderId="0" xfId="35" applyNumberFormat="1" applyFont="1" applyProtection="1"/>
    <xf numFmtId="0" fontId="221" fillId="0" borderId="0" xfId="33" applyFont="1" applyAlignment="1" applyProtection="1">
      <alignment horizontal="left"/>
    </xf>
    <xf numFmtId="0" fontId="224" fillId="0" borderId="0" xfId="33" applyFont="1" applyAlignment="1" applyProtection="1">
      <alignment horizontal="left"/>
    </xf>
    <xf numFmtId="0" fontId="218" fillId="0" borderId="0" xfId="33" applyFont="1" applyBorder="1" applyProtection="1"/>
    <xf numFmtId="0" fontId="218"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4" fillId="10" borderId="151" xfId="33" applyNumberFormat="1" applyFont="1" applyFill="1" applyBorder="1" applyAlignment="1" applyProtection="1">
      <alignment horizontal="center" vertical="center"/>
    </xf>
    <xf numFmtId="183" fontId="224" fillId="10" borderId="134" xfId="33" applyNumberFormat="1" applyFont="1" applyFill="1" applyBorder="1" applyAlignment="1" applyProtection="1">
      <alignment horizontal="center" vertical="center"/>
    </xf>
    <xf numFmtId="184" fontId="224" fillId="10" borderId="134" xfId="33" applyNumberFormat="1" applyFont="1" applyFill="1" applyBorder="1" applyAlignment="1" applyProtection="1">
      <alignment horizontal="center" vertical="center"/>
    </xf>
    <xf numFmtId="185" fontId="224" fillId="28" borderId="134" xfId="33" applyNumberFormat="1" applyFont="1" applyFill="1" applyBorder="1" applyAlignment="1" applyProtection="1">
      <alignment horizontal="center" vertical="center"/>
    </xf>
    <xf numFmtId="183" fontId="224" fillId="28" borderId="134" xfId="33" applyNumberFormat="1" applyFont="1" applyFill="1" applyBorder="1" applyAlignment="1" applyProtection="1">
      <alignment horizontal="center" vertical="center"/>
    </xf>
    <xf numFmtId="0" fontId="224" fillId="0" borderId="0" xfId="33" applyFont="1" applyProtection="1"/>
    <xf numFmtId="164" fontId="224" fillId="28" borderId="134" xfId="34" applyNumberFormat="1" applyFont="1" applyFill="1" applyBorder="1" applyAlignment="1" applyProtection="1">
      <alignment horizontal="center" vertical="center"/>
    </xf>
    <xf numFmtId="183" fontId="224" fillId="10" borderId="152" xfId="33" applyNumberFormat="1" applyFont="1" applyFill="1" applyBorder="1" applyAlignment="1" applyProtection="1">
      <alignment horizontal="center" vertical="center"/>
    </xf>
    <xf numFmtId="183" fontId="224" fillId="10" borderId="17" xfId="33" applyNumberFormat="1" applyFont="1" applyFill="1" applyBorder="1" applyAlignment="1" applyProtection="1">
      <alignment horizontal="center" vertical="center"/>
    </xf>
    <xf numFmtId="184" fontId="224" fillId="10" borderId="17" xfId="33" applyNumberFormat="1" applyFont="1" applyFill="1" applyBorder="1" applyAlignment="1" applyProtection="1">
      <alignment horizontal="center" vertical="center"/>
    </xf>
    <xf numFmtId="185" fontId="224" fillId="28" borderId="17" xfId="33" applyNumberFormat="1" applyFont="1" applyFill="1" applyBorder="1" applyAlignment="1" applyProtection="1">
      <alignment horizontal="center" vertical="center"/>
    </xf>
    <xf numFmtId="183" fontId="224" fillId="28" borderId="17" xfId="33" applyNumberFormat="1" applyFont="1" applyFill="1" applyBorder="1" applyAlignment="1" applyProtection="1">
      <alignment horizontal="center" vertical="center"/>
    </xf>
    <xf numFmtId="164" fontId="224" fillId="28" borderId="17" xfId="34" applyNumberFormat="1" applyFont="1" applyFill="1" applyBorder="1" applyAlignment="1" applyProtection="1">
      <alignment horizontal="center" vertical="center"/>
    </xf>
    <xf numFmtId="164" fontId="218" fillId="0" borderId="0" xfId="33" applyNumberFormat="1" applyFont="1" applyProtection="1"/>
    <xf numFmtId="183" fontId="224" fillId="10" borderId="153" xfId="33" applyNumberFormat="1" applyFont="1" applyFill="1" applyBorder="1" applyAlignment="1" applyProtection="1">
      <alignment horizontal="center" vertical="center"/>
    </xf>
    <xf numFmtId="183" fontId="224" fillId="10" borderId="18" xfId="33" applyNumberFormat="1" applyFont="1" applyFill="1" applyBorder="1" applyAlignment="1" applyProtection="1">
      <alignment horizontal="center" vertical="center"/>
    </xf>
    <xf numFmtId="184" fontId="224" fillId="10" borderId="18" xfId="33" applyNumberFormat="1" applyFont="1" applyFill="1" applyBorder="1" applyAlignment="1" applyProtection="1">
      <alignment horizontal="center" vertical="center"/>
    </xf>
    <xf numFmtId="185" fontId="224" fillId="28" borderId="18" xfId="33" applyNumberFormat="1" applyFont="1" applyFill="1" applyBorder="1" applyAlignment="1" applyProtection="1">
      <alignment horizontal="center" vertical="center"/>
    </xf>
    <xf numFmtId="183" fontId="224" fillId="28" borderId="18" xfId="33" applyNumberFormat="1" applyFont="1" applyFill="1" applyBorder="1" applyAlignment="1" applyProtection="1">
      <alignment horizontal="center" vertical="center"/>
    </xf>
    <xf numFmtId="164" fontId="224" fillId="28" borderId="18" xfId="34" applyNumberFormat="1" applyFont="1" applyFill="1" applyBorder="1" applyAlignment="1" applyProtection="1">
      <alignment horizontal="center" vertical="center"/>
    </xf>
    <xf numFmtId="0" fontId="218" fillId="0" borderId="85" xfId="33" applyFont="1" applyBorder="1" applyAlignment="1" applyProtection="1">
      <alignment horizontal="right" vertical="center"/>
    </xf>
    <xf numFmtId="0" fontId="220" fillId="0" borderId="149" xfId="33" applyFont="1" applyFill="1" applyBorder="1" applyAlignment="1" applyProtection="1">
      <alignment horizontal="right"/>
    </xf>
    <xf numFmtId="183" fontId="218" fillId="29" borderId="35" xfId="33" applyNumberFormat="1" applyFont="1" applyFill="1" applyBorder="1" applyAlignment="1" applyProtection="1">
      <alignment horizontal="center"/>
    </xf>
    <xf numFmtId="164" fontId="218" fillId="28" borderId="149"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164" fontId="218" fillId="28" borderId="143" xfId="34" applyNumberFormat="1" applyFont="1" applyFill="1" applyBorder="1" applyAlignment="1" applyProtection="1">
      <alignment horizontal="center" vertical="center"/>
    </xf>
    <xf numFmtId="164" fontId="220" fillId="29" borderId="148" xfId="34" applyNumberFormat="1" applyFont="1" applyFill="1" applyBorder="1" applyAlignment="1" applyProtection="1">
      <alignment horizontal="center" vertical="center"/>
    </xf>
    <xf numFmtId="0" fontId="218" fillId="0" borderId="141" xfId="33" applyFont="1" applyBorder="1" applyProtection="1"/>
    <xf numFmtId="0" fontId="218" fillId="0" borderId="80" xfId="33" applyFont="1" applyBorder="1" applyProtection="1"/>
    <xf numFmtId="0" fontId="218" fillId="0" borderId="81" xfId="33" applyFont="1" applyBorder="1" applyProtection="1"/>
    <xf numFmtId="0" fontId="89" fillId="0" borderId="86" xfId="33" applyFont="1" applyFill="1" applyBorder="1" applyAlignment="1" applyProtection="1">
      <alignment horizontal="center" wrapText="1"/>
    </xf>
    <xf numFmtId="0" fontId="220" fillId="0" borderId="0" xfId="33" applyFont="1" applyAlignment="1" applyProtection="1">
      <alignment horizontal="center" wrapText="1"/>
    </xf>
    <xf numFmtId="0" fontId="218" fillId="0" borderId="7" xfId="33" applyFont="1" applyBorder="1" applyAlignment="1" applyProtection="1">
      <alignment horizontal="center"/>
    </xf>
    <xf numFmtId="0" fontId="218" fillId="0" borderId="8" xfId="33" applyFont="1" applyBorder="1" applyProtection="1"/>
    <xf numFmtId="183" fontId="218" fillId="28" borderId="134" xfId="33" applyNumberFormat="1" applyFont="1" applyFill="1" applyBorder="1" applyAlignment="1" applyProtection="1">
      <alignment horizontal="center" vertical="center"/>
    </xf>
    <xf numFmtId="0" fontId="218" fillId="28" borderId="134" xfId="33" applyFont="1" applyFill="1" applyBorder="1" applyAlignment="1" applyProtection="1">
      <alignment horizontal="center"/>
    </xf>
    <xf numFmtId="183" fontId="218" fillId="28" borderId="17" xfId="33" applyNumberFormat="1" applyFont="1" applyFill="1" applyBorder="1" applyAlignment="1" applyProtection="1">
      <alignment horizontal="center" vertical="center"/>
    </xf>
    <xf numFmtId="0" fontId="218" fillId="28" borderId="17" xfId="33" applyFont="1" applyFill="1" applyBorder="1" applyAlignment="1" applyProtection="1">
      <alignment horizontal="center"/>
    </xf>
    <xf numFmtId="0" fontId="218" fillId="0" borderId="9" xfId="33" applyFont="1" applyBorder="1" applyAlignment="1" applyProtection="1">
      <alignment horizontal="center"/>
    </xf>
    <xf numFmtId="0" fontId="218" fillId="0" borderId="14" xfId="33" applyFont="1" applyBorder="1" applyProtection="1"/>
    <xf numFmtId="183" fontId="218" fillId="28" borderId="18" xfId="33" applyNumberFormat="1" applyFont="1" applyFill="1" applyBorder="1" applyAlignment="1" applyProtection="1">
      <alignment horizontal="center" vertical="center"/>
    </xf>
    <xf numFmtId="0" fontId="218" fillId="28" borderId="18" xfId="33" applyFont="1" applyFill="1" applyBorder="1" applyAlignment="1" applyProtection="1">
      <alignment horizontal="center"/>
    </xf>
    <xf numFmtId="0" fontId="218" fillId="0" borderId="157" xfId="33" applyFont="1" applyBorder="1" applyProtection="1"/>
    <xf numFmtId="0" fontId="220" fillId="0" borderId="146" xfId="33" applyFont="1" applyBorder="1" applyAlignment="1" applyProtection="1">
      <alignment horizontal="center"/>
    </xf>
    <xf numFmtId="183" fontId="218" fillId="0" borderId="147" xfId="33" applyNumberFormat="1" applyFont="1" applyFill="1" applyBorder="1" applyAlignment="1" applyProtection="1">
      <alignment horizontal="center"/>
    </xf>
    <xf numFmtId="0" fontId="220" fillId="0" borderId="147" xfId="33" applyFont="1" applyBorder="1" applyAlignment="1" applyProtection="1">
      <alignment horizontal="center"/>
    </xf>
    <xf numFmtId="0" fontId="220" fillId="0" borderId="147" xfId="33" applyFont="1" applyBorder="1" applyAlignment="1" applyProtection="1"/>
    <xf numFmtId="0" fontId="220" fillId="0" borderId="147" xfId="33" applyFont="1" applyBorder="1" applyAlignment="1" applyProtection="1">
      <alignment horizontal="right"/>
    </xf>
    <xf numFmtId="164" fontId="220" fillId="29" borderId="148" xfId="34" applyNumberFormat="1" applyFont="1" applyFill="1" applyBorder="1" applyAlignment="1" applyProtection="1">
      <alignment horizontal="center"/>
    </xf>
    <xf numFmtId="0" fontId="218" fillId="0" borderId="144" xfId="33" applyFont="1" applyBorder="1" applyAlignment="1" applyProtection="1">
      <alignment horizontal="center"/>
    </xf>
    <xf numFmtId="0" fontId="218" fillId="0" borderId="85" xfId="33" applyFont="1" applyBorder="1" applyProtection="1"/>
    <xf numFmtId="0" fontId="218" fillId="0" borderId="85" xfId="33" applyFont="1" applyBorder="1" applyAlignment="1" applyProtection="1"/>
    <xf numFmtId="0" fontId="218" fillId="0" borderId="81" xfId="33" applyFont="1" applyBorder="1" applyAlignment="1" applyProtection="1"/>
    <xf numFmtId="164" fontId="218" fillId="28" borderId="143" xfId="34" applyNumberFormat="1" applyFont="1" applyFill="1" applyBorder="1" applyProtection="1"/>
    <xf numFmtId="0" fontId="218" fillId="0" borderId="44" xfId="33" applyFont="1" applyBorder="1" applyAlignment="1" applyProtection="1">
      <alignment horizontal="center"/>
    </xf>
    <xf numFmtId="0" fontId="218" fillId="0" borderId="0" xfId="33" applyFont="1" applyBorder="1" applyAlignment="1" applyProtection="1"/>
    <xf numFmtId="0" fontId="218" fillId="0" borderId="8" xfId="33" applyFont="1" applyBorder="1" applyAlignment="1" applyProtection="1"/>
    <xf numFmtId="0" fontId="218" fillId="0" borderId="145" xfId="33" applyFont="1" applyBorder="1" applyAlignment="1" applyProtection="1">
      <alignment horizontal="center"/>
    </xf>
    <xf numFmtId="0" fontId="218" fillId="0" borderId="13" xfId="33" applyFont="1" applyBorder="1" applyProtection="1"/>
    <xf numFmtId="0" fontId="218" fillId="0" borderId="13" xfId="33" applyFont="1" applyBorder="1" applyAlignment="1" applyProtection="1"/>
    <xf numFmtId="0" fontId="218" fillId="0" borderId="14" xfId="33" applyFont="1" applyBorder="1" applyAlignment="1" applyProtection="1"/>
    <xf numFmtId="164" fontId="218" fillId="28" borderId="149" xfId="34" applyNumberFormat="1" applyFont="1" applyFill="1" applyBorder="1" applyProtection="1"/>
    <xf numFmtId="0" fontId="218" fillId="0" borderId="146" xfId="33" applyFont="1" applyBorder="1" applyAlignment="1" applyProtection="1">
      <alignment horizontal="center"/>
    </xf>
    <xf numFmtId="0" fontId="218" fillId="0" borderId="147" xfId="33" applyFont="1" applyBorder="1" applyProtection="1"/>
    <xf numFmtId="164" fontId="223" fillId="29" borderId="15" xfId="34" applyNumberFormat="1" applyFont="1" applyFill="1" applyBorder="1" applyAlignment="1" applyProtection="1">
      <alignment horizontal="center" vertical="center"/>
    </xf>
    <xf numFmtId="164" fontId="218" fillId="0" borderId="0" xfId="34" applyNumberFormat="1" applyFont="1" applyProtection="1"/>
    <xf numFmtId="0" fontId="172" fillId="0" borderId="0" xfId="13" applyFont="1" applyProtection="1"/>
    <xf numFmtId="0" fontId="175" fillId="0" borderId="0" xfId="13" applyFont="1" applyAlignment="1" applyProtection="1"/>
    <xf numFmtId="0" fontId="76" fillId="0" borderId="0" xfId="13" applyFont="1" applyAlignment="1" applyProtection="1"/>
    <xf numFmtId="0" fontId="176"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131" xfId="0" applyNumberFormat="1" applyFont="1" applyFill="1" applyBorder="1" applyAlignment="1" applyProtection="1">
      <alignment horizontal="left" vertical="center"/>
    </xf>
    <xf numFmtId="167" fontId="46" fillId="5" borderId="133"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139"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137" xfId="0" applyFont="1" applyFill="1" applyBorder="1" applyAlignment="1" applyProtection="1">
      <alignment horizontal="left" vertical="center"/>
    </xf>
    <xf numFmtId="0" fontId="42" fillId="5" borderId="132" xfId="0" applyFont="1" applyFill="1" applyBorder="1" applyAlignment="1" applyProtection="1">
      <alignment horizontal="left" vertical="center"/>
    </xf>
    <xf numFmtId="0" fontId="42" fillId="5" borderId="136"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4" fillId="0" borderId="40" xfId="0" applyFont="1" applyBorder="1" applyAlignment="1" applyProtection="1">
      <alignment horizontal="center" wrapText="1"/>
    </xf>
    <xf numFmtId="0" fontId="224" fillId="0" borderId="0" xfId="0" applyFont="1" applyBorder="1" applyAlignment="1" applyProtection="1">
      <alignment horizontal="center" wrapText="1"/>
    </xf>
    <xf numFmtId="0" fontId="224" fillId="0" borderId="94" xfId="0" applyFont="1" applyBorder="1" applyAlignment="1" applyProtection="1">
      <alignment horizontal="center" wrapText="1"/>
    </xf>
    <xf numFmtId="0" fontId="224"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4" fillId="0" borderId="77" xfId="0" applyFont="1" applyBorder="1" applyAlignment="1" applyProtection="1">
      <alignment horizontal="center"/>
    </xf>
    <xf numFmtId="0" fontId="224"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169" fontId="46" fillId="5" borderId="79" xfId="0" applyNumberFormat="1" applyFont="1" applyFill="1" applyBorder="1" applyAlignment="1" applyProtection="1">
      <alignment horizontal="center" vertical="center"/>
    </xf>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78" xfId="0" applyNumberFormat="1" applyFont="1" applyFill="1" applyBorder="1" applyAlignment="1" applyProtection="1">
      <alignment horizontal="left" vertical="center"/>
    </xf>
    <xf numFmtId="167" fontId="46" fillId="5" borderId="82"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167" fontId="46" fillId="5" borderId="9" xfId="0" applyNumberFormat="1" applyFont="1" applyFill="1" applyBorder="1" applyAlignment="1" applyProtection="1">
      <alignment horizontal="left" vertical="center"/>
    </xf>
    <xf numFmtId="0" fontId="46" fillId="0" borderId="82" xfId="0" applyFont="1" applyBorder="1" applyProtection="1"/>
    <xf numFmtId="0" fontId="46" fillId="0" borderId="79" xfId="0" applyFont="1" applyBorder="1" applyProtection="1"/>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0" fontId="46" fillId="0" borderId="31" xfId="0" applyFont="1" applyBorder="1" applyAlignment="1" applyProtection="1">
      <alignment horizontal="left"/>
    </xf>
    <xf numFmtId="167" fontId="46" fillId="5" borderId="37" xfId="0" applyNumberFormat="1" applyFont="1" applyFill="1" applyBorder="1" applyAlignment="1" applyProtection="1">
      <alignment horizontal="left" vertical="center"/>
    </xf>
    <xf numFmtId="169" fontId="46" fillId="5" borderId="78" xfId="0" applyNumberFormat="1" applyFont="1" applyFill="1" applyBorder="1" applyAlignment="1" applyProtection="1">
      <alignment horizontal="left" vertical="center"/>
    </xf>
    <xf numFmtId="0" fontId="46" fillId="0" borderId="79" xfId="0" applyFont="1" applyBorder="1" applyAlignment="1" applyProtection="1">
      <alignment horizontal="left"/>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1" fillId="0" borderId="0" xfId="0" applyFont="1" applyBorder="1" applyAlignment="1" applyProtection="1">
      <alignment horizontal="center" wrapText="1"/>
    </xf>
    <xf numFmtId="0" fontId="211"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6" fillId="0" borderId="62" xfId="0" applyFont="1" applyFill="1" applyBorder="1" applyAlignment="1" applyProtection="1">
      <alignment horizontal="center" vertical="center" wrapText="1"/>
    </xf>
    <xf numFmtId="0" fontId="236" fillId="0" borderId="63" xfId="0" applyFont="1" applyFill="1" applyBorder="1" applyAlignment="1" applyProtection="1">
      <alignment horizontal="center" vertical="center" wrapText="1"/>
    </xf>
    <xf numFmtId="0" fontId="236" fillId="0" borderId="44" xfId="0" applyFont="1" applyFill="1" applyBorder="1" applyAlignment="1" applyProtection="1">
      <alignment horizontal="center" vertical="center" wrapText="1"/>
    </xf>
    <xf numFmtId="0" fontId="236"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6" fillId="0" borderId="70" xfId="0" applyFont="1" applyFill="1" applyBorder="1" applyAlignment="1" applyProtection="1">
      <alignment horizontal="center" vertical="center" wrapText="1"/>
    </xf>
    <xf numFmtId="0" fontId="236"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8" fillId="8" borderId="7"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2" fillId="0" borderId="56" xfId="0" applyNumberFormat="1" applyFont="1" applyFill="1" applyBorder="1" applyAlignment="1" applyProtection="1">
      <alignment horizontal="center" vertical="center"/>
    </xf>
    <xf numFmtId="38" fontId="182" fillId="0" borderId="1" xfId="0" applyNumberFormat="1" applyFont="1" applyFill="1" applyBorder="1" applyAlignment="1" applyProtection="1">
      <alignment horizontal="center" vertical="center"/>
    </xf>
    <xf numFmtId="38" fontId="182"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5" fillId="0" borderId="80" xfId="0" applyFont="1" applyFill="1" applyBorder="1" applyAlignment="1" applyProtection="1">
      <alignment horizontal="center" vertical="center"/>
    </xf>
    <xf numFmtId="0" fontId="195" fillId="0" borderId="81" xfId="0" applyFont="1" applyFill="1" applyBorder="1" applyAlignment="1" applyProtection="1">
      <alignment horizontal="center" vertical="center"/>
    </xf>
    <xf numFmtId="2" fontId="177" fillId="0" borderId="9" xfId="0" applyNumberFormat="1" applyFont="1" applyFill="1" applyBorder="1" applyAlignment="1" applyProtection="1">
      <alignment horizontal="center" vertical="top"/>
    </xf>
    <xf numFmtId="2" fontId="177"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3" fillId="0" borderId="40"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5" fillId="0" borderId="85" xfId="1" applyNumberFormat="1" applyFont="1" applyFill="1" applyBorder="1" applyAlignment="1" applyProtection="1">
      <alignment horizontal="right" vertical="center" wrapText="1"/>
    </xf>
    <xf numFmtId="164" fontId="195"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7"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1" fillId="0" borderId="43" xfId="0" applyNumberFormat="1" applyFont="1" applyFill="1" applyBorder="1" applyAlignment="1" applyProtection="1">
      <alignment horizontal="center" vertical="center" wrapText="1"/>
    </xf>
    <xf numFmtId="3" fontId="161" fillId="0" borderId="39" xfId="0" applyNumberFormat="1" applyFont="1" applyFill="1" applyBorder="1" applyAlignment="1" applyProtection="1">
      <alignment horizontal="center" vertical="center" wrapText="1"/>
    </xf>
    <xf numFmtId="3" fontId="161" fillId="0" borderId="42" xfId="0" applyNumberFormat="1" applyFont="1" applyFill="1" applyBorder="1" applyAlignment="1" applyProtection="1">
      <alignment horizontal="center" vertical="center" wrapText="1"/>
    </xf>
    <xf numFmtId="3" fontId="161" fillId="0" borderId="59" xfId="0" applyNumberFormat="1" applyFont="1" applyFill="1" applyBorder="1" applyAlignment="1" applyProtection="1">
      <alignment horizontal="center" vertical="center" wrapText="1"/>
    </xf>
    <xf numFmtId="0" fontId="182" fillId="0" borderId="43" xfId="0" applyNumberFormat="1" applyFont="1" applyFill="1" applyBorder="1" applyAlignment="1" applyProtection="1">
      <alignment horizontal="center" vertical="center" wrapText="1"/>
    </xf>
    <xf numFmtId="0" fontId="182" fillId="0" borderId="39" xfId="0" applyNumberFormat="1" applyFont="1" applyFill="1" applyBorder="1" applyAlignment="1" applyProtection="1">
      <alignment horizontal="center" vertical="center" wrapText="1"/>
    </xf>
    <xf numFmtId="0" fontId="182" fillId="0" borderId="42" xfId="0" applyNumberFormat="1" applyFont="1" applyFill="1" applyBorder="1" applyAlignment="1" applyProtection="1">
      <alignment horizontal="center" vertical="center" wrapText="1"/>
    </xf>
    <xf numFmtId="0" fontId="182"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7" fillId="20" borderId="62" xfId="0" applyFont="1" applyFill="1" applyBorder="1" applyAlignment="1" applyProtection="1">
      <alignment horizontal="center" vertical="center" wrapText="1"/>
    </xf>
    <xf numFmtId="0" fontId="197" fillId="20" borderId="70" xfId="0" applyFont="1" applyFill="1" applyBorder="1" applyAlignment="1" applyProtection="1">
      <alignment horizontal="center" vertical="center" wrapText="1"/>
    </xf>
    <xf numFmtId="0" fontId="197" fillId="20" borderId="63" xfId="0" applyFont="1" applyFill="1" applyBorder="1" applyAlignment="1" applyProtection="1">
      <alignment horizontal="center" vertical="center" wrapText="1"/>
    </xf>
    <xf numFmtId="0" fontId="197" fillId="20" borderId="44" xfId="0" applyFont="1" applyFill="1" applyBorder="1" applyAlignment="1" applyProtection="1">
      <alignment horizontal="center" vertical="center" wrapText="1"/>
    </xf>
    <xf numFmtId="0" fontId="197" fillId="20" borderId="0" xfId="0" applyFont="1" applyFill="1" applyBorder="1" applyAlignment="1" applyProtection="1">
      <alignment horizontal="center" vertical="center" wrapText="1"/>
    </xf>
    <xf numFmtId="0" fontId="197" fillId="20" borderId="47" xfId="0" applyFont="1" applyFill="1" applyBorder="1" applyAlignment="1" applyProtection="1">
      <alignment horizontal="center" vertical="center" wrapText="1"/>
    </xf>
    <xf numFmtId="0" fontId="197" fillId="20" borderId="45" xfId="0" applyFont="1" applyFill="1" applyBorder="1" applyAlignment="1" applyProtection="1">
      <alignment horizontal="center" vertical="center" wrapText="1"/>
    </xf>
    <xf numFmtId="0" fontId="197" fillId="20" borderId="83" xfId="0" applyFont="1" applyFill="1" applyBorder="1" applyAlignment="1" applyProtection="1">
      <alignment horizontal="center" vertical="center" wrapText="1"/>
    </xf>
    <xf numFmtId="0" fontId="197"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5"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1" fillId="20" borderId="80" xfId="0" applyFont="1" applyFill="1" applyBorder="1" applyAlignment="1" applyProtection="1">
      <alignment horizontal="center" vertical="center" wrapText="1"/>
    </xf>
    <xf numFmtId="0" fontId="181" fillId="20" borderId="85" xfId="0" applyFont="1" applyFill="1" applyBorder="1" applyAlignment="1" applyProtection="1">
      <alignment horizontal="center" vertical="center" wrapText="1"/>
    </xf>
    <xf numFmtId="0" fontId="181" fillId="20" borderId="81" xfId="0" applyFont="1" applyFill="1" applyBorder="1" applyAlignment="1" applyProtection="1">
      <alignment horizontal="center" vertical="center" wrapText="1"/>
    </xf>
    <xf numFmtId="0" fontId="181" fillId="20" borderId="7" xfId="0" applyFont="1" applyFill="1" applyBorder="1" applyAlignment="1" applyProtection="1">
      <alignment horizontal="center" vertical="center" wrapText="1"/>
    </xf>
    <xf numFmtId="0" fontId="181" fillId="20" borderId="0" xfId="0" applyFont="1" applyFill="1" applyBorder="1" applyAlignment="1" applyProtection="1">
      <alignment horizontal="center" vertical="center" wrapText="1"/>
    </xf>
    <xf numFmtId="0" fontId="181" fillId="20" borderId="8" xfId="0" applyFont="1" applyFill="1" applyBorder="1" applyAlignment="1" applyProtection="1">
      <alignment horizontal="center" vertical="center" wrapText="1"/>
    </xf>
    <xf numFmtId="0" fontId="181" fillId="20" borderId="9" xfId="0" applyFont="1" applyFill="1" applyBorder="1" applyAlignment="1" applyProtection="1">
      <alignment horizontal="center" vertical="center" wrapText="1"/>
    </xf>
    <xf numFmtId="0" fontId="181" fillId="20" borderId="13" xfId="0" applyFont="1" applyFill="1" applyBorder="1" applyAlignment="1" applyProtection="1">
      <alignment horizontal="center" vertical="center" wrapText="1"/>
    </xf>
    <xf numFmtId="0" fontId="181" fillId="20" borderId="14" xfId="0" applyFont="1" applyFill="1" applyBorder="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1"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5" fillId="0" borderId="0" xfId="0" applyFont="1" applyAlignment="1" applyProtection="1">
      <alignment horizontal="left" vertical="top" wrapText="1"/>
    </xf>
    <xf numFmtId="0" fontId="170"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6"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4" fillId="0" borderId="80" xfId="0" applyFont="1" applyFill="1" applyBorder="1" applyAlignment="1" applyProtection="1">
      <alignment horizontal="center" vertical="center" wrapText="1"/>
    </xf>
    <xf numFmtId="0" fontId="184" fillId="0" borderId="85" xfId="0" applyFont="1" applyFill="1" applyBorder="1" applyAlignment="1" applyProtection="1">
      <alignment horizontal="center" vertical="center" wrapText="1"/>
    </xf>
    <xf numFmtId="0" fontId="184" fillId="0" borderId="81" xfId="0" applyFont="1" applyFill="1" applyBorder="1" applyAlignment="1" applyProtection="1">
      <alignment horizontal="center" vertical="center" wrapText="1"/>
    </xf>
    <xf numFmtId="0" fontId="184" fillId="0" borderId="7"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184" fillId="0" borderId="8" xfId="0" applyFont="1" applyFill="1" applyBorder="1" applyAlignment="1" applyProtection="1">
      <alignment horizontal="center" vertical="center" wrapText="1"/>
    </xf>
    <xf numFmtId="0" fontId="184" fillId="0" borderId="9" xfId="0" applyFont="1" applyFill="1" applyBorder="1" applyAlignment="1" applyProtection="1">
      <alignment horizontal="center" vertical="center" wrapText="1"/>
    </xf>
    <xf numFmtId="0" fontId="184" fillId="0" borderId="13" xfId="0" applyFont="1" applyFill="1" applyBorder="1" applyAlignment="1" applyProtection="1">
      <alignment horizontal="center" vertical="center" wrapText="1"/>
    </xf>
    <xf numFmtId="0" fontId="184"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4"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90"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8" fillId="28" borderId="188" xfId="35" applyNumberFormat="1" applyFont="1" applyFill="1" applyBorder="1" applyAlignment="1" applyProtection="1">
      <alignment horizontal="center" vertical="center"/>
    </xf>
    <xf numFmtId="166" fontId="218" fillId="28" borderId="156" xfId="35" applyNumberFormat="1" applyFont="1" applyFill="1" applyBorder="1" applyAlignment="1" applyProtection="1">
      <alignment horizontal="center" vertical="center"/>
    </xf>
    <xf numFmtId="43" fontId="218" fillId="28" borderId="33" xfId="34" applyFont="1" applyFill="1" applyBorder="1" applyAlignment="1" applyProtection="1">
      <alignment horizontal="center" vertical="center"/>
    </xf>
    <xf numFmtId="43" fontId="218" fillId="28" borderId="187" xfId="34" applyFont="1" applyFill="1" applyBorder="1" applyAlignment="1" applyProtection="1">
      <alignment horizontal="center" vertical="center"/>
    </xf>
    <xf numFmtId="164" fontId="218" fillId="28" borderId="131" xfId="34" applyNumberFormat="1" applyFont="1" applyFill="1" applyBorder="1" applyAlignment="1" applyProtection="1">
      <alignment horizontal="center" vertical="center"/>
    </xf>
    <xf numFmtId="164" fontId="218" fillId="28" borderId="185" xfId="34" applyNumberFormat="1" applyFont="1" applyFill="1" applyBorder="1" applyAlignment="1" applyProtection="1">
      <alignment horizontal="center" vertical="center"/>
    </xf>
    <xf numFmtId="0" fontId="218" fillId="10" borderId="33" xfId="33" applyFont="1" applyFill="1" applyBorder="1" applyAlignment="1" applyProtection="1">
      <alignment horizontal="center" vertical="center"/>
    </xf>
    <xf numFmtId="0" fontId="218" fillId="10" borderId="187" xfId="33" applyFont="1" applyFill="1" applyBorder="1" applyAlignment="1" applyProtection="1">
      <alignment horizontal="center" vertical="center"/>
    </xf>
    <xf numFmtId="164" fontId="218" fillId="10" borderId="30" xfId="34" applyNumberFormat="1" applyFont="1" applyFill="1" applyBorder="1" applyAlignment="1" applyProtection="1">
      <alignment horizontal="center" vertical="center"/>
    </xf>
    <xf numFmtId="164" fontId="218" fillId="10" borderId="186" xfId="34" applyNumberFormat="1" applyFont="1" applyFill="1" applyBorder="1" applyAlignment="1" applyProtection="1">
      <alignment horizontal="center" vertical="center"/>
    </xf>
    <xf numFmtId="0" fontId="218" fillId="0" borderId="13" xfId="33" applyFont="1" applyBorder="1" applyAlignment="1" applyProtection="1">
      <alignment horizontal="center" vertical="center"/>
    </xf>
    <xf numFmtId="0" fontId="218" fillId="0" borderId="82" xfId="33" applyFont="1" applyBorder="1" applyAlignment="1" applyProtection="1">
      <alignment horizontal="center" vertical="center"/>
    </xf>
    <xf numFmtId="0" fontId="218" fillId="0" borderId="0" xfId="33" applyFont="1" applyAlignment="1" applyProtection="1">
      <alignment horizontal="center"/>
    </xf>
    <xf numFmtId="0" fontId="220" fillId="29" borderId="78" xfId="33" applyFont="1" applyFill="1" applyBorder="1" applyAlignment="1" applyProtection="1">
      <alignment horizontal="left"/>
    </xf>
    <xf numFmtId="0" fontId="220" fillId="29" borderId="82" xfId="33" applyFont="1" applyFill="1" applyBorder="1" applyAlignment="1" applyProtection="1">
      <alignment horizontal="left"/>
    </xf>
    <xf numFmtId="0" fontId="220" fillId="29" borderId="79" xfId="33" applyFont="1" applyFill="1" applyBorder="1" applyAlignment="1" applyProtection="1">
      <alignment horizontal="left"/>
    </xf>
    <xf numFmtId="0" fontId="220" fillId="0" borderId="147" xfId="33" applyFont="1" applyBorder="1" applyAlignment="1" applyProtection="1">
      <alignment horizontal="right" vertical="center"/>
    </xf>
    <xf numFmtId="0" fontId="218" fillId="28" borderId="21" xfId="33" applyFont="1" applyFill="1" applyBorder="1" applyAlignment="1" applyProtection="1">
      <alignment horizontal="center" vertical="center"/>
    </xf>
    <xf numFmtId="0" fontId="218" fillId="28" borderId="31" xfId="33" applyFont="1" applyFill="1" applyBorder="1" applyAlignment="1" applyProtection="1">
      <alignment horizontal="center" vertical="center"/>
    </xf>
    <xf numFmtId="37" fontId="218" fillId="11" borderId="21" xfId="34" applyNumberFormat="1" applyFont="1" applyFill="1" applyBorder="1" applyAlignment="1" applyProtection="1">
      <alignment horizontal="center" vertical="center"/>
    </xf>
    <xf numFmtId="37" fontId="218" fillId="11" borderId="31" xfId="34" applyNumberFormat="1" applyFont="1" applyFill="1" applyBorder="1" applyAlignment="1" applyProtection="1">
      <alignment horizontal="center" vertical="center"/>
    </xf>
    <xf numFmtId="37" fontId="218" fillId="28" borderId="17" xfId="33" applyNumberFormat="1" applyFont="1" applyFill="1" applyBorder="1" applyAlignment="1" applyProtection="1">
      <alignment horizontal="center" vertical="center"/>
    </xf>
    <xf numFmtId="0" fontId="218" fillId="28" borderId="58" xfId="33" applyFont="1" applyFill="1" applyBorder="1" applyAlignment="1" applyProtection="1">
      <alignment horizontal="center" vertical="center"/>
    </xf>
    <xf numFmtId="0" fontId="218" fillId="28" borderId="34" xfId="33" applyFont="1" applyFill="1" applyBorder="1" applyAlignment="1" applyProtection="1">
      <alignment horizontal="center" vertical="center"/>
    </xf>
    <xf numFmtId="37" fontId="218" fillId="11" borderId="58" xfId="34" applyNumberFormat="1" applyFont="1" applyFill="1" applyBorder="1" applyAlignment="1" applyProtection="1">
      <alignment horizontal="center" vertical="center"/>
    </xf>
    <xf numFmtId="37" fontId="218" fillId="11" borderId="34" xfId="34" applyNumberFormat="1" applyFont="1" applyFill="1" applyBorder="1" applyAlignment="1" applyProtection="1">
      <alignment horizontal="center" vertical="center"/>
    </xf>
    <xf numFmtId="37" fontId="218"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8" fillId="0" borderId="158" xfId="33" applyFont="1" applyBorder="1" applyProtection="1"/>
    <xf numFmtId="0" fontId="218" fillId="0" borderId="47" xfId="33" applyFont="1" applyBorder="1" applyProtection="1"/>
    <xf numFmtId="0" fontId="218" fillId="28" borderId="132" xfId="33" applyFont="1" applyFill="1" applyBorder="1" applyAlignment="1" applyProtection="1">
      <alignment horizontal="center" vertical="center"/>
    </xf>
    <xf numFmtId="0" fontId="218" fillId="28" borderId="133" xfId="33" applyFont="1" applyFill="1" applyBorder="1" applyAlignment="1" applyProtection="1">
      <alignment horizontal="center" vertical="center"/>
    </xf>
    <xf numFmtId="37" fontId="218" fillId="11" borderId="132" xfId="34" applyNumberFormat="1" applyFont="1" applyFill="1" applyBorder="1" applyAlignment="1" applyProtection="1">
      <alignment horizontal="center" vertical="center"/>
    </xf>
    <xf numFmtId="37" fontId="218" fillId="11" borderId="133" xfId="34" applyNumberFormat="1" applyFont="1" applyFill="1" applyBorder="1" applyAlignment="1" applyProtection="1">
      <alignment horizontal="center" vertical="center"/>
    </xf>
    <xf numFmtId="37" fontId="218" fillId="28" borderId="134" xfId="33" applyNumberFormat="1" applyFont="1" applyFill="1" applyBorder="1" applyAlignment="1" applyProtection="1">
      <alignment horizontal="center" vertical="center"/>
    </xf>
    <xf numFmtId="37" fontId="224" fillId="10" borderId="30" xfId="34" applyNumberFormat="1" applyFont="1" applyFill="1" applyBorder="1" applyAlignment="1" applyProtection="1">
      <alignment horizontal="center" vertical="center"/>
    </xf>
    <xf numFmtId="37" fontId="224" fillId="10" borderId="31" xfId="34" applyNumberFormat="1" applyFont="1" applyFill="1" applyBorder="1" applyAlignment="1" applyProtection="1">
      <alignment horizontal="center" vertical="center"/>
    </xf>
    <xf numFmtId="37" fontId="224" fillId="10" borderId="33" xfId="34" applyNumberFormat="1" applyFont="1" applyFill="1" applyBorder="1" applyAlignment="1" applyProtection="1">
      <alignment horizontal="center" vertical="center"/>
    </xf>
    <xf numFmtId="37" fontId="224" fillId="10" borderId="34"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0" fontId="218" fillId="0" borderId="8" xfId="33" applyFont="1" applyBorder="1" applyAlignment="1" applyProtection="1">
      <alignment horizontal="right" vertical="center"/>
    </xf>
    <xf numFmtId="0" fontId="220" fillId="0" borderId="0" xfId="33" applyFont="1" applyBorder="1" applyAlignment="1" applyProtection="1">
      <alignment horizontal="right" vertical="center"/>
    </xf>
    <xf numFmtId="0" fontId="220" fillId="0" borderId="8" xfId="33" applyFont="1" applyBorder="1" applyAlignment="1" applyProtection="1">
      <alignment horizontal="right" vertical="center"/>
    </xf>
    <xf numFmtId="0" fontId="218" fillId="0" borderId="7" xfId="33" applyFont="1" applyBorder="1" applyAlignment="1" applyProtection="1">
      <alignment horizontal="center"/>
    </xf>
    <xf numFmtId="0" fontId="219" fillId="0" borderId="78" xfId="33" applyFont="1" applyFill="1" applyBorder="1" applyAlignment="1" applyProtection="1">
      <alignment horizontal="left"/>
    </xf>
    <xf numFmtId="0" fontId="219" fillId="0" borderId="82" xfId="33" applyFont="1" applyFill="1" applyBorder="1" applyAlignment="1" applyProtection="1">
      <alignment horizontal="left"/>
    </xf>
    <xf numFmtId="0" fontId="219" fillId="0" borderId="79" xfId="33" applyFont="1" applyFill="1" applyBorder="1" applyAlignment="1" applyProtection="1">
      <alignment horizontal="left"/>
    </xf>
    <xf numFmtId="0" fontId="219" fillId="10" borderId="86" xfId="33" applyFont="1" applyFill="1" applyBorder="1" applyAlignment="1" applyProtection="1">
      <alignment horizontal="center"/>
    </xf>
    <xf numFmtId="0" fontId="219" fillId="28" borderId="78" xfId="33" applyFont="1" applyFill="1" applyBorder="1" applyAlignment="1" applyProtection="1">
      <alignment horizontal="center"/>
    </xf>
    <xf numFmtId="0" fontId="219" fillId="28" borderId="82" xfId="33" applyFont="1" applyFill="1" applyBorder="1" applyAlignment="1" applyProtection="1">
      <alignment horizontal="center"/>
    </xf>
    <xf numFmtId="0" fontId="219"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2" fillId="0" borderId="0" xfId="33" applyFont="1" applyFill="1" applyBorder="1" applyAlignment="1" applyProtection="1">
      <alignment horizontal="center" vertical="center" wrapText="1"/>
    </xf>
    <xf numFmtId="37" fontId="224" fillId="10" borderId="131" xfId="34" applyNumberFormat="1" applyFont="1" applyFill="1" applyBorder="1" applyAlignment="1" applyProtection="1">
      <alignment horizontal="center" vertical="center"/>
    </xf>
    <xf numFmtId="37" fontId="224" fillId="10" borderId="133" xfId="34" applyNumberFormat="1" applyFont="1" applyFill="1" applyBorder="1" applyAlignment="1" applyProtection="1">
      <alignment horizontal="center" vertical="center"/>
    </xf>
    <xf numFmtId="164" fontId="218" fillId="0" borderId="131" xfId="34" applyNumberFormat="1" applyFont="1" applyBorder="1" applyAlignment="1" applyProtection="1">
      <alignment horizontal="left" vertical="center"/>
    </xf>
    <xf numFmtId="164" fontId="218" fillId="0" borderId="132" xfId="34" applyNumberFormat="1" applyFont="1" applyBorder="1" applyAlignment="1" applyProtection="1">
      <alignment horizontal="left" vertical="center"/>
    </xf>
    <xf numFmtId="0" fontId="219" fillId="10" borderId="110" xfId="33" applyFont="1" applyFill="1" applyBorder="1" applyAlignment="1" applyProtection="1">
      <alignment horizontal="center"/>
    </xf>
    <xf numFmtId="0" fontId="219" fillId="10" borderId="135" xfId="33" applyFont="1" applyFill="1" applyBorder="1" applyAlignment="1" applyProtection="1">
      <alignment horizontal="center"/>
    </xf>
    <xf numFmtId="164" fontId="218" fillId="0" borderId="30" xfId="34" applyNumberFormat="1" applyFont="1" applyBorder="1" applyAlignment="1" applyProtection="1">
      <alignment horizontal="left" vertical="center"/>
    </xf>
    <xf numFmtId="164" fontId="218" fillId="0" borderId="21" xfId="34" applyNumberFormat="1" applyFont="1" applyBorder="1" applyAlignment="1" applyProtection="1">
      <alignment horizontal="left" vertical="center"/>
    </xf>
    <xf numFmtId="0" fontId="219" fillId="28" borderId="145" xfId="33" applyFont="1" applyFill="1" applyBorder="1" applyAlignment="1" applyProtection="1">
      <alignment horizontal="center" wrapText="1"/>
    </xf>
    <xf numFmtId="0" fontId="219" fillId="28" borderId="157" xfId="33" applyFont="1" applyFill="1" applyBorder="1" applyAlignment="1" applyProtection="1">
      <alignment horizontal="center" wrapText="1"/>
    </xf>
    <xf numFmtId="0" fontId="219" fillId="28" borderId="146" xfId="33" applyFont="1" applyFill="1" applyBorder="1" applyAlignment="1" applyProtection="1">
      <alignment horizontal="center" wrapText="1"/>
    </xf>
    <xf numFmtId="0" fontId="219" fillId="28" borderId="156" xfId="33" applyFont="1" applyFill="1" applyBorder="1" applyAlignment="1" applyProtection="1">
      <alignment horizontal="center" wrapText="1"/>
    </xf>
    <xf numFmtId="14" fontId="218" fillId="0" borderId="33" xfId="34" applyNumberFormat="1" applyFont="1" applyBorder="1" applyAlignment="1" applyProtection="1">
      <alignment horizontal="left" vertical="center"/>
    </xf>
    <xf numFmtId="14" fontId="218" fillId="0" borderId="58" xfId="34" applyNumberFormat="1" applyFont="1" applyBorder="1" applyAlignment="1" applyProtection="1">
      <alignment horizontal="left" vertical="center"/>
    </xf>
    <xf numFmtId="164" fontId="218" fillId="10" borderId="131" xfId="34" applyNumberFormat="1" applyFont="1" applyFill="1" applyBorder="1" applyAlignment="1" applyProtection="1">
      <alignment horizontal="center" vertical="center"/>
    </xf>
    <xf numFmtId="164" fontId="218" fillId="10" borderId="185" xfId="34" applyNumberFormat="1" applyFont="1" applyFill="1" applyBorder="1" applyAlignment="1" applyProtection="1">
      <alignment horizontal="center" vertical="center"/>
    </xf>
    <xf numFmtId="164" fontId="220" fillId="10" borderId="78" xfId="34" applyNumberFormat="1" applyFont="1" applyFill="1" applyBorder="1" applyAlignment="1" applyProtection="1">
      <alignment horizontal="center" vertical="center"/>
    </xf>
    <xf numFmtId="164" fontId="220" fillId="10" borderId="154" xfId="34" applyNumberFormat="1" applyFont="1" applyFill="1" applyBorder="1" applyAlignment="1" applyProtection="1">
      <alignment horizontal="center" vertical="center"/>
    </xf>
    <xf numFmtId="164" fontId="218" fillId="10" borderId="78" xfId="34" applyNumberFormat="1" applyFont="1" applyFill="1" applyBorder="1" applyAlignment="1" applyProtection="1">
      <alignment horizontal="center" vertical="center"/>
    </xf>
    <xf numFmtId="164" fontId="218" fillId="10" borderId="154" xfId="34" applyNumberFormat="1" applyFont="1" applyFill="1" applyBorder="1" applyAlignment="1" applyProtection="1">
      <alignment horizontal="center" vertical="center"/>
    </xf>
    <xf numFmtId="0" fontId="220" fillId="0" borderId="140" xfId="33" applyFont="1" applyFill="1" applyBorder="1" applyAlignment="1" applyProtection="1">
      <alignment horizontal="left" vertical="center"/>
    </xf>
    <xf numFmtId="0" fontId="220" fillId="0" borderId="141" xfId="33" applyFont="1" applyFill="1" applyBorder="1" applyAlignment="1" applyProtection="1">
      <alignment horizontal="left" vertical="center"/>
    </xf>
    <xf numFmtId="0" fontId="220" fillId="0" borderId="155" xfId="33" applyFont="1" applyFill="1" applyBorder="1" applyAlignment="1" applyProtection="1">
      <alignment horizontal="left" vertical="center"/>
    </xf>
    <xf numFmtId="0" fontId="220" fillId="0" borderId="142" xfId="33" applyFont="1" applyFill="1" applyBorder="1" applyAlignment="1" applyProtection="1">
      <alignment horizontal="left" vertical="center"/>
    </xf>
    <xf numFmtId="0" fontId="220" fillId="0" borderId="82" xfId="33" applyFont="1" applyFill="1" applyBorder="1" applyAlignment="1" applyProtection="1">
      <alignment horizontal="left" vertical="center"/>
    </xf>
    <xf numFmtId="0" fontId="220" fillId="0" borderId="154" xfId="33" applyFont="1" applyFill="1" applyBorder="1" applyAlignment="1" applyProtection="1">
      <alignment horizontal="left" vertical="center"/>
    </xf>
    <xf numFmtId="164" fontId="218" fillId="13" borderId="30" xfId="34" applyNumberFormat="1" applyFont="1" applyFill="1" applyBorder="1" applyAlignment="1" applyProtection="1">
      <alignment horizontal="center" vertical="center"/>
      <protection locked="0"/>
    </xf>
    <xf numFmtId="164" fontId="218" fillId="13" borderId="186" xfId="34" applyNumberFormat="1" applyFont="1" applyFill="1" applyBorder="1" applyAlignment="1" applyProtection="1">
      <alignment horizontal="center" vertical="center"/>
      <protection locked="0"/>
    </xf>
    <xf numFmtId="164" fontId="218" fillId="13" borderId="131" xfId="34" applyNumberFormat="1" applyFont="1" applyFill="1" applyBorder="1" applyAlignment="1" applyProtection="1">
      <alignment horizontal="center" vertical="center"/>
      <protection locked="0"/>
    </xf>
    <xf numFmtId="164" fontId="218" fillId="13" borderId="185" xfId="34" applyNumberFormat="1" applyFont="1" applyFill="1" applyBorder="1" applyAlignment="1" applyProtection="1">
      <alignment horizontal="center" vertical="center"/>
      <protection locked="0"/>
    </xf>
    <xf numFmtId="164" fontId="220" fillId="13" borderId="78" xfId="34" applyNumberFormat="1" applyFont="1" applyFill="1" applyBorder="1" applyAlignment="1" applyProtection="1">
      <alignment horizontal="center" vertical="center"/>
      <protection locked="0"/>
    </xf>
    <xf numFmtId="164" fontId="220" fillId="13" borderId="154" xfId="34" applyNumberFormat="1" applyFont="1" applyFill="1" applyBorder="1" applyAlignment="1" applyProtection="1">
      <alignment horizontal="center" vertical="center"/>
      <protection locked="0"/>
    </xf>
    <xf numFmtId="164" fontId="218" fillId="13" borderId="78" xfId="34" applyNumberFormat="1" applyFont="1" applyFill="1" applyBorder="1" applyAlignment="1" applyProtection="1">
      <alignment horizontal="center" vertical="center"/>
      <protection locked="0"/>
    </xf>
    <xf numFmtId="164" fontId="218" fillId="13" borderId="154" xfId="34" applyNumberFormat="1" applyFont="1" applyFill="1" applyBorder="1" applyAlignment="1" applyProtection="1">
      <alignment horizontal="center" vertical="center"/>
      <protection locked="0"/>
    </xf>
    <xf numFmtId="166" fontId="218" fillId="28" borderId="188" xfId="35" applyNumberFormat="1" applyFont="1" applyFill="1" applyBorder="1" applyAlignment="1">
      <alignment horizontal="center" vertical="center"/>
    </xf>
    <xf numFmtId="166" fontId="218" fillId="28" borderId="156" xfId="35" applyNumberFormat="1" applyFont="1" applyFill="1" applyBorder="1" applyAlignment="1">
      <alignment horizontal="center" vertical="center"/>
    </xf>
    <xf numFmtId="43" fontId="218" fillId="28" borderId="33" xfId="34" applyFont="1" applyFill="1" applyBorder="1" applyAlignment="1">
      <alignment horizontal="center" vertical="center"/>
    </xf>
    <xf numFmtId="43" fontId="218" fillId="28" borderId="187" xfId="34" applyFont="1" applyFill="1" applyBorder="1" applyAlignment="1">
      <alignment horizontal="center" vertical="center"/>
    </xf>
    <xf numFmtId="164" fontId="218" fillId="28" borderId="131" xfId="34" applyNumberFormat="1" applyFont="1" applyFill="1" applyBorder="1" applyAlignment="1">
      <alignment horizontal="center" vertical="center"/>
    </xf>
    <xf numFmtId="164" fontId="218" fillId="28" borderId="185" xfId="34" applyNumberFormat="1" applyFont="1" applyFill="1" applyBorder="1" applyAlignment="1">
      <alignment horizontal="center" vertical="center"/>
    </xf>
    <xf numFmtId="0" fontId="218" fillId="13" borderId="33" xfId="33" applyFont="1" applyFill="1" applyBorder="1" applyAlignment="1" applyProtection="1">
      <alignment horizontal="center" vertical="center"/>
      <protection locked="0"/>
    </xf>
    <xf numFmtId="0" fontId="218" fillId="13" borderId="187" xfId="33" applyFont="1" applyFill="1" applyBorder="1" applyAlignment="1" applyProtection="1">
      <alignment horizontal="center" vertical="center"/>
      <protection locked="0"/>
    </xf>
    <xf numFmtId="37" fontId="224" fillId="13" borderId="33" xfId="34" applyNumberFormat="1" applyFont="1" applyFill="1" applyBorder="1" applyAlignment="1" applyProtection="1">
      <alignment horizontal="center" vertical="center"/>
      <protection locked="0"/>
    </xf>
    <xf numFmtId="37" fontId="224" fillId="13" borderId="34" xfId="34" applyNumberFormat="1" applyFont="1" applyFill="1" applyBorder="1" applyAlignment="1" applyProtection="1">
      <alignment horizontal="center" vertical="center"/>
      <protection locked="0"/>
    </xf>
    <xf numFmtId="37" fontId="224" fillId="13" borderId="30" xfId="34" applyNumberFormat="1" applyFont="1" applyFill="1" applyBorder="1" applyAlignment="1" applyProtection="1">
      <alignment horizontal="center" vertical="center"/>
      <protection locked="0"/>
    </xf>
    <xf numFmtId="37" fontId="224" fillId="13" borderId="31" xfId="34" applyNumberFormat="1" applyFont="1" applyFill="1" applyBorder="1" applyAlignment="1" applyProtection="1">
      <alignment horizontal="center" vertical="center"/>
      <protection locked="0"/>
    </xf>
    <xf numFmtId="37" fontId="218" fillId="28" borderId="17" xfId="33" applyNumberFormat="1" applyFont="1" applyFill="1" applyBorder="1" applyAlignment="1">
      <alignment horizontal="center" vertical="center"/>
    </xf>
    <xf numFmtId="0" fontId="222" fillId="0" borderId="0" xfId="33" applyFont="1" applyFill="1" applyBorder="1" applyAlignment="1">
      <alignment horizontal="center" vertical="center" wrapText="1"/>
    </xf>
    <xf numFmtId="0" fontId="220" fillId="0" borderId="147" xfId="33" applyFont="1" applyBorder="1" applyAlignment="1">
      <alignment horizontal="right" vertical="center"/>
    </xf>
    <xf numFmtId="0" fontId="220" fillId="0" borderId="142" xfId="33" applyFont="1" applyFill="1" applyBorder="1" applyAlignment="1">
      <alignment horizontal="left" vertical="center"/>
    </xf>
    <xf numFmtId="0" fontId="220" fillId="0" borderId="82" xfId="33" applyFont="1" applyFill="1" applyBorder="1" applyAlignment="1">
      <alignment horizontal="left" vertical="center"/>
    </xf>
    <xf numFmtId="0" fontId="220" fillId="0" borderId="154" xfId="33" applyFont="1" applyFill="1" applyBorder="1" applyAlignment="1">
      <alignment horizontal="left" vertical="center"/>
    </xf>
    <xf numFmtId="0" fontId="219" fillId="0" borderId="78" xfId="33" applyFont="1" applyFill="1" applyBorder="1" applyAlignment="1">
      <alignment horizontal="left"/>
    </xf>
    <xf numFmtId="0" fontId="219" fillId="0" borderId="82" xfId="33" applyFont="1" applyFill="1" applyBorder="1" applyAlignment="1">
      <alignment horizontal="left"/>
    </xf>
    <xf numFmtId="0" fontId="219" fillId="0" borderId="79" xfId="33" applyFont="1" applyFill="1" applyBorder="1" applyAlignment="1">
      <alignment horizontal="left"/>
    </xf>
    <xf numFmtId="0" fontId="219" fillId="13" borderId="86" xfId="33" applyFont="1" applyFill="1" applyBorder="1" applyAlignment="1">
      <alignment horizontal="center"/>
    </xf>
    <xf numFmtId="0" fontId="220" fillId="29" borderId="78" xfId="33" applyFont="1" applyFill="1" applyBorder="1" applyAlignment="1">
      <alignment horizontal="left"/>
    </xf>
    <xf numFmtId="0" fontId="220" fillId="29" borderId="82" xfId="33" applyFont="1" applyFill="1" applyBorder="1" applyAlignment="1">
      <alignment horizontal="left"/>
    </xf>
    <xf numFmtId="0" fontId="220" fillId="29" borderId="79" xfId="33" applyFont="1" applyFill="1" applyBorder="1" applyAlignment="1">
      <alignment horizontal="left"/>
    </xf>
    <xf numFmtId="0" fontId="218" fillId="28" borderId="58" xfId="33" applyFont="1" applyFill="1" applyBorder="1" applyAlignment="1">
      <alignment horizontal="center" vertical="center"/>
    </xf>
    <xf numFmtId="0" fontId="218" fillId="28" borderId="34" xfId="33" applyFont="1" applyFill="1" applyBorder="1" applyAlignment="1">
      <alignment horizontal="center" vertical="center"/>
    </xf>
    <xf numFmtId="37" fontId="218" fillId="11" borderId="58" xfId="34" applyNumberFormat="1" applyFont="1" applyFill="1" applyBorder="1" applyAlignment="1" applyProtection="1">
      <alignment horizontal="center" vertical="center"/>
      <protection locked="0"/>
    </xf>
    <xf numFmtId="37" fontId="218" fillId="11" borderId="34" xfId="34" applyNumberFormat="1" applyFont="1" applyFill="1" applyBorder="1" applyAlignment="1" applyProtection="1">
      <alignment horizontal="center" vertical="center"/>
      <protection locked="0"/>
    </xf>
    <xf numFmtId="37" fontId="218" fillId="28" borderId="18" xfId="33" applyNumberFormat="1" applyFont="1" applyFill="1" applyBorder="1" applyAlignment="1">
      <alignment horizontal="center" vertical="center"/>
    </xf>
    <xf numFmtId="0" fontId="218" fillId="0" borderId="0" xfId="33" applyFont="1" applyAlignment="1">
      <alignment horizontal="center"/>
    </xf>
    <xf numFmtId="0" fontId="218" fillId="28" borderId="21" xfId="33" applyFont="1" applyFill="1" applyBorder="1" applyAlignment="1">
      <alignment horizontal="center" vertical="center"/>
    </xf>
    <xf numFmtId="0" fontId="218" fillId="28" borderId="31" xfId="33" applyFont="1" applyFill="1" applyBorder="1" applyAlignment="1">
      <alignment horizontal="center" vertical="center"/>
    </xf>
    <xf numFmtId="37" fontId="218" fillId="11" borderId="21" xfId="34" applyNumberFormat="1" applyFont="1" applyFill="1" applyBorder="1" applyAlignment="1" applyProtection="1">
      <alignment horizontal="center" vertical="center"/>
      <protection locked="0"/>
    </xf>
    <xf numFmtId="37" fontId="218" fillId="11" borderId="31" xfId="34" applyNumberFormat="1" applyFont="1" applyFill="1" applyBorder="1" applyAlignment="1" applyProtection="1">
      <alignment horizontal="center" vertical="center"/>
      <protection locked="0"/>
    </xf>
    <xf numFmtId="0" fontId="218" fillId="0" borderId="0" xfId="33" applyFont="1" applyBorder="1" applyAlignment="1">
      <alignment horizontal="right" vertical="center"/>
    </xf>
    <xf numFmtId="0" fontId="218" fillId="0" borderId="8" xfId="33" applyFont="1" applyBorder="1" applyAlignment="1">
      <alignment horizontal="right" vertical="center"/>
    </xf>
    <xf numFmtId="0" fontId="220" fillId="0" borderId="0" xfId="33" applyFont="1" applyBorder="1" applyAlignment="1">
      <alignment horizontal="right" vertical="center"/>
    </xf>
    <xf numFmtId="0" fontId="220" fillId="0" borderId="8" xfId="33" applyFont="1" applyBorder="1" applyAlignment="1">
      <alignment horizontal="right" vertical="center"/>
    </xf>
    <xf numFmtId="0" fontId="218"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8" fillId="0" borderId="158" xfId="33" applyFont="1" applyBorder="1"/>
    <xf numFmtId="0" fontId="218" fillId="0" borderId="47" xfId="33" applyFont="1" applyBorder="1"/>
    <xf numFmtId="0" fontId="218" fillId="28" borderId="132" xfId="33" applyFont="1" applyFill="1" applyBorder="1" applyAlignment="1">
      <alignment horizontal="center" vertical="center"/>
    </xf>
    <xf numFmtId="0" fontId="218" fillId="28" borderId="133" xfId="33" applyFont="1" applyFill="1" applyBorder="1" applyAlignment="1">
      <alignment horizontal="center" vertical="center"/>
    </xf>
    <xf numFmtId="37" fontId="218" fillId="11" borderId="132" xfId="34" applyNumberFormat="1" applyFont="1" applyFill="1" applyBorder="1" applyAlignment="1" applyProtection="1">
      <alignment horizontal="center" vertical="center"/>
      <protection locked="0"/>
    </xf>
    <xf numFmtId="37" fontId="218" fillId="11" borderId="133" xfId="34" applyNumberFormat="1" applyFont="1" applyFill="1" applyBorder="1" applyAlignment="1" applyProtection="1">
      <alignment horizontal="center" vertical="center"/>
      <protection locked="0"/>
    </xf>
    <xf numFmtId="37" fontId="218" fillId="28" borderId="134" xfId="33" applyNumberFormat="1" applyFont="1" applyFill="1" applyBorder="1" applyAlignment="1">
      <alignment horizontal="center" vertical="center"/>
    </xf>
    <xf numFmtId="0" fontId="218" fillId="0" borderId="13" xfId="33" applyFont="1" applyBorder="1" applyAlignment="1">
      <alignment horizontal="center" vertical="center"/>
    </xf>
    <xf numFmtId="0" fontId="218" fillId="0" borderId="82" xfId="33" applyFont="1" applyBorder="1" applyAlignment="1">
      <alignment horizontal="center" vertical="center"/>
    </xf>
    <xf numFmtId="0" fontId="219" fillId="28" borderId="78" xfId="33" applyFont="1" applyFill="1" applyBorder="1" applyAlignment="1">
      <alignment horizontal="center"/>
    </xf>
    <xf numFmtId="0" fontId="219" fillId="28" borderId="82" xfId="33" applyFont="1" applyFill="1" applyBorder="1" applyAlignment="1">
      <alignment horizontal="center"/>
    </xf>
    <xf numFmtId="0" fontId="219"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4" fillId="13" borderId="131" xfId="34" applyNumberFormat="1" applyFont="1" applyFill="1" applyBorder="1" applyAlignment="1" applyProtection="1">
      <alignment horizontal="center" vertical="center"/>
      <protection locked="0"/>
    </xf>
    <xf numFmtId="37" fontId="224" fillId="13" borderId="133" xfId="34" applyNumberFormat="1" applyFont="1" applyFill="1" applyBorder="1" applyAlignment="1" applyProtection="1">
      <alignment horizontal="center" vertical="center"/>
      <protection locked="0"/>
    </xf>
    <xf numFmtId="0" fontId="220" fillId="0" borderId="140" xfId="33" applyFont="1" applyFill="1" applyBorder="1" applyAlignment="1">
      <alignment horizontal="left" vertical="center"/>
    </xf>
    <xf numFmtId="0" fontId="220" fillId="0" borderId="141" xfId="33" applyFont="1" applyFill="1" applyBorder="1" applyAlignment="1">
      <alignment horizontal="left" vertical="center"/>
    </xf>
    <xf numFmtId="0" fontId="220" fillId="0" borderId="155" xfId="33" applyFont="1" applyFill="1" applyBorder="1" applyAlignment="1">
      <alignment horizontal="left" vertical="center"/>
    </xf>
    <xf numFmtId="164" fontId="218" fillId="0" borderId="131" xfId="34" applyNumberFormat="1" applyFont="1" applyBorder="1" applyAlignment="1">
      <alignment horizontal="left" vertical="center"/>
    </xf>
    <xf numFmtId="164" fontId="218" fillId="0" borderId="132" xfId="34" applyNumberFormat="1" applyFont="1" applyBorder="1" applyAlignment="1">
      <alignment horizontal="left" vertical="center"/>
    </xf>
    <xf numFmtId="164" fontId="218" fillId="0" borderId="30" xfId="34" applyNumberFormat="1" applyFont="1" applyBorder="1" applyAlignment="1">
      <alignment horizontal="left" vertical="center"/>
    </xf>
    <xf numFmtId="164" fontId="218" fillId="0" borderId="21" xfId="34" applyNumberFormat="1" applyFont="1" applyBorder="1" applyAlignment="1">
      <alignment horizontal="left" vertical="center"/>
    </xf>
    <xf numFmtId="14" fontId="218" fillId="0" borderId="33" xfId="34" applyNumberFormat="1" applyFont="1" applyBorder="1" applyAlignment="1">
      <alignment horizontal="left" vertical="center"/>
    </xf>
    <xf numFmtId="14" fontId="218" fillId="0" borderId="58" xfId="34" applyNumberFormat="1" applyFont="1" applyBorder="1" applyAlignment="1">
      <alignment horizontal="left" vertical="center"/>
    </xf>
    <xf numFmtId="0" fontId="219" fillId="13" borderId="110" xfId="33" applyFont="1" applyFill="1" applyBorder="1" applyAlignment="1">
      <alignment horizontal="center"/>
    </xf>
    <xf numFmtId="0" fontId="219" fillId="13" borderId="135" xfId="33" applyFont="1" applyFill="1" applyBorder="1" applyAlignment="1">
      <alignment horizontal="center"/>
    </xf>
    <xf numFmtId="0" fontId="219" fillId="28" borderId="145" xfId="33" applyFont="1" applyFill="1" applyBorder="1" applyAlignment="1">
      <alignment horizontal="center" wrapText="1"/>
    </xf>
    <xf numFmtId="0" fontId="219" fillId="28" borderId="157" xfId="33" applyFont="1" applyFill="1" applyBorder="1" applyAlignment="1">
      <alignment horizontal="center" wrapText="1"/>
    </xf>
    <xf numFmtId="0" fontId="219" fillId="28" borderId="146" xfId="33" applyFont="1" applyFill="1" applyBorder="1" applyAlignment="1">
      <alignment horizontal="center" wrapText="1"/>
    </xf>
    <xf numFmtId="0" fontId="219"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1" fillId="0" borderId="56" xfId="13" applyFont="1" applyBorder="1" applyAlignment="1" applyProtection="1">
      <alignment horizontal="right" vertical="center"/>
    </xf>
    <xf numFmtId="0" fontId="161"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8"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8"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1"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3" fillId="20" borderId="20" xfId="0" applyFont="1" applyFill="1" applyBorder="1" applyAlignment="1">
      <alignment horizontal="center" vertical="center"/>
    </xf>
    <xf numFmtId="0" fontId="233"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6" fillId="0" borderId="86" xfId="0" quotePrefix="1" applyFont="1" applyBorder="1" applyAlignment="1">
      <alignment horizontal="center"/>
    </xf>
    <xf numFmtId="1" fontId="226"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01">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The Peaks at Turnberry</v>
      </c>
    </row>
    <row r="3" spans="1:6" ht="15" customHeight="1">
      <c r="A3" s="761" t="str">
        <f>CONCATENATE('Part I-Project Information'!F39,", ", 'Part I-Project Information'!J40," County")</f>
        <v>Rincon, Effingham County</v>
      </c>
    </row>
    <row r="4" spans="1:6" ht="12" customHeight="1">
      <c r="A4" s="1197"/>
    </row>
    <row r="5" spans="1:6" ht="72" customHeight="1">
      <c r="A5" s="3130" t="s">
        <v>6989</v>
      </c>
      <c r="B5" s="3131" t="s">
        <v>4083</v>
      </c>
      <c r="C5" s="3131"/>
      <c r="D5" s="3131"/>
      <c r="E5" s="3131"/>
      <c r="F5" s="3131"/>
    </row>
    <row r="6" spans="1:6" ht="6.6" customHeight="1">
      <c r="A6" s="3130"/>
      <c r="B6" s="3131"/>
      <c r="C6" s="3131"/>
      <c r="D6" s="3131"/>
      <c r="E6" s="3131"/>
      <c r="F6" s="3131"/>
    </row>
    <row r="7" spans="1:6" ht="72" customHeight="1">
      <c r="A7" s="3130"/>
      <c r="B7" s="3131"/>
      <c r="C7" s="3131"/>
      <c r="D7" s="3131"/>
      <c r="E7" s="3131"/>
      <c r="F7" s="3131"/>
    </row>
    <row r="8" spans="1:6" ht="6.6" customHeight="1">
      <c r="A8" s="3130"/>
    </row>
    <row r="9" spans="1:6" ht="72" customHeight="1">
      <c r="A9" s="3130"/>
    </row>
    <row r="10" spans="1:6" ht="6.6" customHeight="1">
      <c r="A10" s="3130"/>
    </row>
    <row r="11" spans="1:6" ht="72" customHeight="1">
      <c r="A11" s="3130"/>
    </row>
    <row r="12" spans="1:6" ht="6.6" customHeight="1">
      <c r="A12" s="3130"/>
    </row>
    <row r="13" spans="1:6" ht="72" customHeight="1">
      <c r="A13" s="3130"/>
    </row>
    <row r="14" spans="1:6" ht="6.6" customHeight="1">
      <c r="A14" s="3130"/>
    </row>
    <row r="15" spans="1:6" ht="72" customHeight="1">
      <c r="A15" s="3130"/>
    </row>
    <row r="16" spans="1:6" ht="6.6" customHeight="1">
      <c r="A16" s="3130"/>
    </row>
    <row r="17" spans="1:1" ht="72" customHeight="1">
      <c r="A17" s="3130"/>
    </row>
    <row r="18" spans="1:1" ht="6.6" customHeight="1">
      <c r="A18" s="3130"/>
    </row>
    <row r="19" spans="1:1" ht="72" customHeight="1">
      <c r="A19" s="3130"/>
    </row>
    <row r="20" spans="1:1" ht="6.6" customHeight="1">
      <c r="A20" s="3130"/>
    </row>
    <row r="21" spans="1:1" ht="72" customHeight="1">
      <c r="A21" s="3130"/>
    </row>
    <row r="22" spans="1:1" ht="6.6" customHeight="1">
      <c r="A22" s="3130"/>
    </row>
    <row r="23" spans="1:1" ht="72" customHeight="1">
      <c r="A23" s="3130"/>
    </row>
  </sheetData>
  <sheetProtection algorithmName="SHA-512" hashValue="gSeTHrF7/gLiCD4w4OWDzaQwiDTtYv3gImseR1DMNIaRG8htwVzxATbAXj/RXg7ANo9w1LNEvaWQAyGsPxErJQ==" saltValue="LxeJuiSiwR87e2LXh3qlI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 zoomScale="89" zoomScaleNormal="89" workbookViewId="0">
      <selection activeCell="A2"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5"/>
    <col min="381" max="493" width="9.140625" style="146"/>
    <col min="494" max="16384" width="9.140625" style="82"/>
  </cols>
  <sheetData>
    <row r="1" spans="1:493" s="2805" customFormat="1" hidden="1">
      <c r="B1" s="2805" t="s">
        <v>6708</v>
      </c>
      <c r="C1" s="2805" t="s">
        <v>163</v>
      </c>
      <c r="D1" s="2805" t="s">
        <v>165</v>
      </c>
      <c r="E1" s="2805" t="s">
        <v>6709</v>
      </c>
      <c r="F1" s="2805" t="s">
        <v>6710</v>
      </c>
      <c r="G1" s="2805" t="s">
        <v>6711</v>
      </c>
      <c r="H1" s="2805" t="s">
        <v>6712</v>
      </c>
      <c r="I1" s="2805" t="s">
        <v>6713</v>
      </c>
      <c r="J1" s="2805" t="s">
        <v>6714</v>
      </c>
      <c r="K1" s="2805" t="s">
        <v>3257</v>
      </c>
      <c r="L1" s="2805" t="s">
        <v>6715</v>
      </c>
      <c r="M1" s="2805" t="s">
        <v>6716</v>
      </c>
      <c r="N1" s="2805" t="s">
        <v>6717</v>
      </c>
      <c r="O1" s="2805" t="s">
        <v>6718</v>
      </c>
      <c r="P1" s="2805" t="s">
        <v>367</v>
      </c>
      <c r="Q1" s="2805" t="s">
        <v>6719</v>
      </c>
      <c r="JW1" s="2849"/>
      <c r="KB1" s="2849"/>
      <c r="KG1" s="2849"/>
      <c r="KL1" s="2849"/>
      <c r="KM1" s="2849"/>
      <c r="KN1" s="2849"/>
      <c r="KO1" s="2849"/>
      <c r="KP1" s="2849"/>
      <c r="KQ1" s="2849"/>
      <c r="KR1" s="2849"/>
      <c r="KS1" s="2849"/>
      <c r="KT1" s="2849"/>
      <c r="KU1" s="2849"/>
      <c r="KV1" s="2849"/>
      <c r="KW1" s="2849"/>
      <c r="KX1" s="2849"/>
      <c r="KY1" s="2849"/>
      <c r="KZ1" s="2849"/>
      <c r="LA1" s="2849"/>
      <c r="LB1" s="2849"/>
      <c r="LC1" s="2849"/>
      <c r="LD1" s="2849"/>
      <c r="LE1" s="2849"/>
      <c r="LF1" s="2849"/>
      <c r="LG1" s="2849"/>
      <c r="LN1" s="2850"/>
      <c r="MD1" s="2850"/>
      <c r="ME1" s="2850"/>
    </row>
    <row r="2" spans="1:493" s="90" customFormat="1" ht="14.1" customHeight="1">
      <c r="A2" s="3934" t="str">
        <f>CONCATENATE("PART SIX - PROJECTED REVENUES &amp; EXPENSES","  -  ",'Part I-Project Information'!$O$7," ",'Part I-Project Information'!$F$35,", ",'Part I-Project Information'!F39,", ",'Part I-Project Information'!J40," County")</f>
        <v>PART SIX - PROJECTED REVENUES &amp; EXPENSES  -  2021-015 The Peaks at Turnberry, Rincon, Effingham County</v>
      </c>
      <c r="B2" s="3935"/>
      <c r="C2" s="3935"/>
      <c r="D2" s="3935"/>
      <c r="E2" s="3935"/>
      <c r="F2" s="3935"/>
      <c r="G2" s="3935"/>
      <c r="H2" s="3935"/>
      <c r="I2" s="3935"/>
      <c r="J2" s="3935"/>
      <c r="K2" s="3935"/>
      <c r="L2" s="3935"/>
      <c r="M2" s="3935"/>
      <c r="N2" s="3935"/>
      <c r="O2" s="3935"/>
      <c r="P2" s="3935"/>
      <c r="Q2" s="3936"/>
      <c r="T2" s="1499" t="str">
        <f>A2</f>
        <v>PART SIX - PROJECTED REVENUES &amp; EXPENSES  -  2021-015 The Peaks at Turnberry, Rincon, Effingham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1"/>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2262</v>
      </c>
      <c r="C4" s="1"/>
      <c r="D4" s="1585" t="s">
        <v>6311</v>
      </c>
      <c r="E4" s="1585"/>
      <c r="F4" s="1585"/>
      <c r="G4" s="1585"/>
      <c r="H4" s="1585"/>
      <c r="I4" s="1585"/>
      <c r="J4" s="1585"/>
      <c r="K4" s="120"/>
      <c r="L4" s="120"/>
      <c r="M4" s="120"/>
      <c r="O4" s="177" t="s">
        <v>547</v>
      </c>
      <c r="P4" s="3939" t="str">
        <f>'Part I-Project Information'!$O$41</f>
        <v>Savannah</v>
      </c>
      <c r="Q4" s="3939"/>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2330</v>
      </c>
      <c r="IG4" s="1812" t="s">
        <v>2331</v>
      </c>
      <c r="IH4" s="1812" t="s">
        <v>2332</v>
      </c>
      <c r="II4" s="1812" t="s">
        <v>2333</v>
      </c>
      <c r="IJ4" s="1812" t="s">
        <v>465</v>
      </c>
      <c r="IK4" s="1812" t="s">
        <v>2330</v>
      </c>
      <c r="IL4" s="1812" t="s">
        <v>2331</v>
      </c>
      <c r="IM4" s="1812" t="s">
        <v>2332</v>
      </c>
      <c r="IN4" s="1812" t="s">
        <v>2333</v>
      </c>
      <c r="IO4" s="1813"/>
      <c r="IP4" s="1813"/>
      <c r="IQ4" s="1813"/>
      <c r="IR4" s="1813"/>
      <c r="IS4" s="1813"/>
      <c r="IT4" s="1813"/>
      <c r="IU4" s="1813"/>
      <c r="IV4" s="1813"/>
      <c r="IW4" s="1813"/>
      <c r="IX4" s="1813"/>
      <c r="IY4" s="1812" t="s">
        <v>465</v>
      </c>
      <c r="IZ4" s="1812" t="s">
        <v>2330</v>
      </c>
      <c r="JA4" s="1812" t="s">
        <v>2331</v>
      </c>
      <c r="JB4" s="1812" t="s">
        <v>2332</v>
      </c>
      <c r="JC4" s="1812" t="s">
        <v>2333</v>
      </c>
      <c r="JD4" s="1812" t="s">
        <v>465</v>
      </c>
      <c r="JE4" s="1812" t="s">
        <v>2330</v>
      </c>
      <c r="JF4" s="1812" t="s">
        <v>2331</v>
      </c>
      <c r="JG4" s="1812" t="s">
        <v>2332</v>
      </c>
      <c r="JH4" s="1812" t="s">
        <v>2333</v>
      </c>
      <c r="JI4" s="1812" t="s">
        <v>465</v>
      </c>
      <c r="JJ4" s="1812" t="s">
        <v>2330</v>
      </c>
      <c r="JK4" s="1812" t="s">
        <v>2331</v>
      </c>
      <c r="JL4" s="1812" t="s">
        <v>2332</v>
      </c>
      <c r="JM4" s="1812" t="s">
        <v>2333</v>
      </c>
      <c r="JN4" s="1812" t="s">
        <v>465</v>
      </c>
      <c r="JO4" s="1812" t="s">
        <v>2330</v>
      </c>
      <c r="JP4" s="1812" t="s">
        <v>2331</v>
      </c>
      <c r="JQ4" s="1812" t="s">
        <v>2332</v>
      </c>
      <c r="JR4" s="1812" t="s">
        <v>2333</v>
      </c>
      <c r="JS4" s="1812" t="s">
        <v>465</v>
      </c>
      <c r="JT4" s="1812" t="s">
        <v>2330</v>
      </c>
      <c r="JU4" s="1812" t="s">
        <v>2331</v>
      </c>
      <c r="JV4" s="1812" t="s">
        <v>2332</v>
      </c>
      <c r="JW4" s="1812" t="s">
        <v>2333</v>
      </c>
      <c r="JX4" s="1812" t="s">
        <v>465</v>
      </c>
      <c r="JY4" s="1812" t="s">
        <v>2330</v>
      </c>
      <c r="JZ4" s="1812" t="s">
        <v>2331</v>
      </c>
      <c r="KA4" s="1812" t="s">
        <v>2332</v>
      </c>
      <c r="KB4" s="1812" t="s">
        <v>2333</v>
      </c>
      <c r="KC4" s="1812" t="s">
        <v>465</v>
      </c>
      <c r="KD4" s="1812" t="s">
        <v>2330</v>
      </c>
      <c r="KE4" s="1812" t="s">
        <v>2331</v>
      </c>
      <c r="KF4" s="1812" t="s">
        <v>2332</v>
      </c>
      <c r="KG4" s="1812" t="s">
        <v>2333</v>
      </c>
      <c r="KH4" s="1812" t="s">
        <v>465</v>
      </c>
      <c r="KI4" s="1812" t="s">
        <v>2330</v>
      </c>
      <c r="KJ4" s="1812" t="s">
        <v>2331</v>
      </c>
      <c r="KK4" s="1812" t="s">
        <v>2332</v>
      </c>
      <c r="KL4" s="1812" t="s">
        <v>2333</v>
      </c>
      <c r="KM4" s="1812" t="s">
        <v>465</v>
      </c>
      <c r="KN4" s="1812" t="s">
        <v>2330</v>
      </c>
      <c r="KO4" s="1812" t="s">
        <v>2331</v>
      </c>
      <c r="KP4" s="1812" t="s">
        <v>2332</v>
      </c>
      <c r="KQ4" s="1812" t="s">
        <v>2333</v>
      </c>
      <c r="KR4" s="1812" t="s">
        <v>465</v>
      </c>
      <c r="KS4" s="1812" t="s">
        <v>2330</v>
      </c>
      <c r="KT4" s="1812" t="s">
        <v>2331</v>
      </c>
      <c r="KU4" s="1812" t="s">
        <v>2332</v>
      </c>
      <c r="KV4" s="1812" t="s">
        <v>2333</v>
      </c>
      <c r="KW4" s="1812" t="s">
        <v>465</v>
      </c>
      <c r="KX4" s="1812" t="s">
        <v>2330</v>
      </c>
      <c r="KY4" s="1812" t="s">
        <v>2331</v>
      </c>
      <c r="KZ4" s="1812" t="s">
        <v>2332</v>
      </c>
      <c r="LA4" s="1812" t="s">
        <v>2333</v>
      </c>
      <c r="LB4" s="1812" t="s">
        <v>465</v>
      </c>
      <c r="LC4" s="1812" t="s">
        <v>2330</v>
      </c>
      <c r="LD4" s="1812" t="s">
        <v>2331</v>
      </c>
      <c r="LE4" s="1812" t="s">
        <v>2332</v>
      </c>
      <c r="LF4" s="1812" t="s">
        <v>2333</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35" t="s">
        <v>3166</v>
      </c>
      <c r="MG4" s="3835" t="s">
        <v>3167</v>
      </c>
      <c r="MH4" s="3835" t="s">
        <v>3168</v>
      </c>
      <c r="MI4" s="3835" t="s">
        <v>3169</v>
      </c>
      <c r="MJ4" s="3835" t="s">
        <v>3170</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1"/>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85" t="s">
        <v>3334</v>
      </c>
      <c r="R5" s="2649"/>
      <c r="S5" s="405"/>
      <c r="T5" s="405"/>
      <c r="U5" s="405"/>
      <c r="W5" s="406"/>
      <c r="X5" s="3835" t="s">
        <v>3837</v>
      </c>
      <c r="Y5" s="3835" t="s">
        <v>3838</v>
      </c>
      <c r="Z5" s="3835" t="s">
        <v>3839</v>
      </c>
      <c r="AA5" s="3835" t="s">
        <v>3840</v>
      </c>
      <c r="AB5" s="3835" t="s">
        <v>3841</v>
      </c>
      <c r="AC5" s="3835" t="s">
        <v>3842</v>
      </c>
      <c r="AD5" s="3835" t="s">
        <v>3843</v>
      </c>
      <c r="AE5" s="3835" t="s">
        <v>3844</v>
      </c>
      <c r="AF5" s="3835" t="s">
        <v>3845</v>
      </c>
      <c r="AG5" s="3835" t="s">
        <v>3846</v>
      </c>
      <c r="AH5" s="3835" t="s">
        <v>885</v>
      </c>
      <c r="AI5" s="3835" t="s">
        <v>726</v>
      </c>
      <c r="AJ5" s="3835" t="s">
        <v>727</v>
      </c>
      <c r="AK5" s="3835" t="s">
        <v>728</v>
      </c>
      <c r="AL5" s="3835" t="s">
        <v>729</v>
      </c>
      <c r="AM5" s="3835" t="s">
        <v>886</v>
      </c>
      <c r="AN5" s="3835" t="s">
        <v>2207</v>
      </c>
      <c r="AO5" s="3835" t="s">
        <v>2208</v>
      </c>
      <c r="AP5" s="3835" t="s">
        <v>2209</v>
      </c>
      <c r="AQ5" s="3835" t="s">
        <v>2210</v>
      </c>
      <c r="AR5" s="3835" t="s">
        <v>3848</v>
      </c>
      <c r="AS5" s="3835" t="s">
        <v>3849</v>
      </c>
      <c r="AT5" s="3835" t="s">
        <v>3850</v>
      </c>
      <c r="AU5" s="3835" t="s">
        <v>3851</v>
      </c>
      <c r="AV5" s="3835" t="s">
        <v>3847</v>
      </c>
      <c r="AW5" s="3835" t="s">
        <v>887</v>
      </c>
      <c r="AX5" s="3835" t="s">
        <v>2211</v>
      </c>
      <c r="AY5" s="3835" t="s">
        <v>2212</v>
      </c>
      <c r="AZ5" s="3835" t="s">
        <v>2213</v>
      </c>
      <c r="BA5" s="3835" t="s">
        <v>2214</v>
      </c>
      <c r="BB5" s="3835" t="s">
        <v>3852</v>
      </c>
      <c r="BC5" s="3835" t="s">
        <v>3853</v>
      </c>
      <c r="BD5" s="3835" t="s">
        <v>3854</v>
      </c>
      <c r="BE5" s="3835" t="s">
        <v>3855</v>
      </c>
      <c r="BF5" s="3835" t="s">
        <v>3856</v>
      </c>
      <c r="BG5" s="3835" t="s">
        <v>122</v>
      </c>
      <c r="BH5" s="3835" t="s">
        <v>2215</v>
      </c>
      <c r="BI5" s="3835" t="s">
        <v>2216</v>
      </c>
      <c r="BJ5" s="3835" t="s">
        <v>2217</v>
      </c>
      <c r="BK5" s="3835" t="s">
        <v>1106</v>
      </c>
      <c r="BL5" s="3835" t="s">
        <v>3857</v>
      </c>
      <c r="BM5" s="3835" t="s">
        <v>3858</v>
      </c>
      <c r="BN5" s="3835" t="s">
        <v>3859</v>
      </c>
      <c r="BO5" s="3835" t="s">
        <v>3860</v>
      </c>
      <c r="BP5" s="3835" t="s">
        <v>3861</v>
      </c>
      <c r="BQ5" s="3835" t="s">
        <v>529</v>
      </c>
      <c r="BR5" s="3835" t="s">
        <v>530</v>
      </c>
      <c r="BS5" s="3835" t="s">
        <v>548</v>
      </c>
      <c r="BT5" s="3835" t="s">
        <v>549</v>
      </c>
      <c r="BU5" s="3835" t="s">
        <v>550</v>
      </c>
      <c r="BV5" s="3835" t="s">
        <v>3862</v>
      </c>
      <c r="BW5" s="3835" t="s">
        <v>3863</v>
      </c>
      <c r="BX5" s="3835" t="s">
        <v>3864</v>
      </c>
      <c r="BY5" s="3835" t="s">
        <v>3865</v>
      </c>
      <c r="BZ5" s="3835" t="s">
        <v>3866</v>
      </c>
      <c r="CA5" s="3835" t="s">
        <v>551</v>
      </c>
      <c r="CB5" s="3835" t="s">
        <v>552</v>
      </c>
      <c r="CC5" s="3835" t="s">
        <v>553</v>
      </c>
      <c r="CD5" s="3835" t="s">
        <v>554</v>
      </c>
      <c r="CE5" s="3835" t="s">
        <v>555</v>
      </c>
      <c r="CF5" s="3835" t="s">
        <v>556</v>
      </c>
      <c r="CG5" s="3835" t="s">
        <v>557</v>
      </c>
      <c r="CH5" s="3835" t="s">
        <v>896</v>
      </c>
      <c r="CI5" s="3835" t="s">
        <v>897</v>
      </c>
      <c r="CJ5" s="3835" t="s">
        <v>898</v>
      </c>
      <c r="CK5" s="3835" t="s">
        <v>3872</v>
      </c>
      <c r="CL5" s="3835" t="s">
        <v>3873</v>
      </c>
      <c r="CM5" s="3835" t="s">
        <v>3874</v>
      </c>
      <c r="CN5" s="3835" t="s">
        <v>3875</v>
      </c>
      <c r="CO5" s="3835" t="s">
        <v>3876</v>
      </c>
      <c r="CP5" s="3835" t="s">
        <v>3867</v>
      </c>
      <c r="CQ5" s="3835" t="s">
        <v>3868</v>
      </c>
      <c r="CR5" s="3835" t="s">
        <v>3869</v>
      </c>
      <c r="CS5" s="3835" t="s">
        <v>3870</v>
      </c>
      <c r="CT5" s="3835" t="s">
        <v>3871</v>
      </c>
      <c r="CU5" s="3835" t="s">
        <v>3877</v>
      </c>
      <c r="CV5" s="3835" t="s">
        <v>3878</v>
      </c>
      <c r="CW5" s="3835" t="s">
        <v>3879</v>
      </c>
      <c r="CX5" s="3835" t="s">
        <v>3880</v>
      </c>
      <c r="CY5" s="3835" t="s">
        <v>3881</v>
      </c>
      <c r="CZ5" s="3835" t="s">
        <v>474</v>
      </c>
      <c r="DA5" s="3835" t="s">
        <v>475</v>
      </c>
      <c r="DB5" s="3835" t="s">
        <v>476</v>
      </c>
      <c r="DC5" s="3835" t="s">
        <v>477</v>
      </c>
      <c r="DD5" s="3835" t="s">
        <v>478</v>
      </c>
      <c r="DE5" s="3835" t="s">
        <v>3882</v>
      </c>
      <c r="DF5" s="3835" t="s">
        <v>3883</v>
      </c>
      <c r="DG5" s="3835" t="s">
        <v>3884</v>
      </c>
      <c r="DH5" s="3835" t="s">
        <v>3885</v>
      </c>
      <c r="DI5" s="3835" t="s">
        <v>3886</v>
      </c>
      <c r="DJ5" s="3835" t="s">
        <v>846</v>
      </c>
      <c r="DK5" s="3835" t="s">
        <v>847</v>
      </c>
      <c r="DL5" s="3835" t="s">
        <v>848</v>
      </c>
      <c r="DM5" s="3835" t="s">
        <v>849</v>
      </c>
      <c r="DN5" s="3835" t="s">
        <v>850</v>
      </c>
      <c r="DO5" s="3835" t="s">
        <v>851</v>
      </c>
      <c r="DP5" s="3835" t="s">
        <v>852</v>
      </c>
      <c r="DQ5" s="3835" t="s">
        <v>853</v>
      </c>
      <c r="DR5" s="3835" t="s">
        <v>854</v>
      </c>
      <c r="DS5" s="3835" t="s">
        <v>855</v>
      </c>
      <c r="DT5" s="3835" t="s">
        <v>3887</v>
      </c>
      <c r="DU5" s="3835" t="s">
        <v>3888</v>
      </c>
      <c r="DV5" s="3835" t="s">
        <v>3889</v>
      </c>
      <c r="DW5" s="3835" t="s">
        <v>3890</v>
      </c>
      <c r="DX5" s="3835" t="s">
        <v>3891</v>
      </c>
      <c r="DY5" s="3835" t="s">
        <v>3892</v>
      </c>
      <c r="DZ5" s="3835" t="s">
        <v>3893</v>
      </c>
      <c r="EA5" s="3835" t="s">
        <v>3894</v>
      </c>
      <c r="EB5" s="3835" t="s">
        <v>3895</v>
      </c>
      <c r="EC5" s="3835" t="s">
        <v>3896</v>
      </c>
      <c r="ED5" s="3835" t="s">
        <v>2320</v>
      </c>
      <c r="EE5" s="3835" t="s">
        <v>2321</v>
      </c>
      <c r="EF5" s="3835" t="s">
        <v>2322</v>
      </c>
      <c r="EG5" s="3835" t="s">
        <v>2323</v>
      </c>
      <c r="EH5" s="3835" t="s">
        <v>2324</v>
      </c>
      <c r="EI5" s="3835" t="s">
        <v>3897</v>
      </c>
      <c r="EJ5" s="3835" t="s">
        <v>3898</v>
      </c>
      <c r="EK5" s="3835" t="s">
        <v>3899</v>
      </c>
      <c r="EL5" s="3835" t="s">
        <v>3900</v>
      </c>
      <c r="EM5" s="3835" t="s">
        <v>3901</v>
      </c>
      <c r="EN5" s="3835" t="s">
        <v>3902</v>
      </c>
      <c r="EO5" s="3835" t="s">
        <v>3903</v>
      </c>
      <c r="EP5" s="3835" t="s">
        <v>3904</v>
      </c>
      <c r="EQ5" s="3835" t="s">
        <v>3905</v>
      </c>
      <c r="ER5" s="3835" t="s">
        <v>3906</v>
      </c>
      <c r="ES5" s="3835" t="s">
        <v>110</v>
      </c>
      <c r="ET5" s="3835" t="s">
        <v>1109</v>
      </c>
      <c r="EU5" s="3835" t="s">
        <v>1110</v>
      </c>
      <c r="EV5" s="3835" t="s">
        <v>1167</v>
      </c>
      <c r="EW5" s="3835" t="s">
        <v>1168</v>
      </c>
      <c r="EX5" s="3835" t="s">
        <v>125</v>
      </c>
      <c r="EY5" s="3835" t="s">
        <v>1169</v>
      </c>
      <c r="EZ5" s="3835" t="s">
        <v>1170</v>
      </c>
      <c r="FA5" s="3835" t="s">
        <v>1171</v>
      </c>
      <c r="FB5" s="3835" t="s">
        <v>1172</v>
      </c>
      <c r="FC5" s="3835" t="s">
        <v>3907</v>
      </c>
      <c r="FD5" s="3835" t="s">
        <v>3908</v>
      </c>
      <c r="FE5" s="3835" t="s">
        <v>3909</v>
      </c>
      <c r="FF5" s="3835" t="s">
        <v>3910</v>
      </c>
      <c r="FG5" s="3835" t="s">
        <v>3911</v>
      </c>
      <c r="FH5" s="3835" t="s">
        <v>124</v>
      </c>
      <c r="FI5" s="3835" t="s">
        <v>877</v>
      </c>
      <c r="FJ5" s="3835" t="s">
        <v>878</v>
      </c>
      <c r="FK5" s="3835" t="s">
        <v>879</v>
      </c>
      <c r="FL5" s="3835" t="s">
        <v>880</v>
      </c>
      <c r="FM5" s="3835" t="s">
        <v>3912</v>
      </c>
      <c r="FN5" s="3835" t="s">
        <v>3913</v>
      </c>
      <c r="FO5" s="3835" t="s">
        <v>3914</v>
      </c>
      <c r="FP5" s="3835" t="s">
        <v>3915</v>
      </c>
      <c r="FQ5" s="3835" t="s">
        <v>3916</v>
      </c>
      <c r="FR5" s="3835" t="s">
        <v>123</v>
      </c>
      <c r="FS5" s="3835" t="s">
        <v>881</v>
      </c>
      <c r="FT5" s="3835" t="s">
        <v>882</v>
      </c>
      <c r="FU5" s="3835" t="s">
        <v>883</v>
      </c>
      <c r="FV5" s="3835" t="s">
        <v>884</v>
      </c>
      <c r="FW5" s="3835" t="s">
        <v>776</v>
      </c>
      <c r="FX5" s="3835" t="s">
        <v>777</v>
      </c>
      <c r="FY5" s="3835" t="s">
        <v>778</v>
      </c>
      <c r="FZ5" s="3835" t="s">
        <v>779</v>
      </c>
      <c r="GA5" s="3835" t="s">
        <v>780</v>
      </c>
      <c r="GB5" s="3835" t="s">
        <v>921</v>
      </c>
      <c r="GC5" s="3835" t="s">
        <v>922</v>
      </c>
      <c r="GD5" s="3835" t="s">
        <v>923</v>
      </c>
      <c r="GE5" s="3835" t="s">
        <v>924</v>
      </c>
      <c r="GF5" s="3835" t="s">
        <v>2319</v>
      </c>
      <c r="GG5" s="3835" t="s">
        <v>1378</v>
      </c>
      <c r="GH5" s="3835" t="s">
        <v>1379</v>
      </c>
      <c r="GI5" s="3835" t="s">
        <v>1380</v>
      </c>
      <c r="GJ5" s="3835" t="s">
        <v>1381</v>
      </c>
      <c r="GK5" s="3835" t="s">
        <v>1382</v>
      </c>
      <c r="GL5" s="3835" t="s">
        <v>417</v>
      </c>
      <c r="GM5" s="3835" t="s">
        <v>418</v>
      </c>
      <c r="GN5" s="3835" t="s">
        <v>419</v>
      </c>
      <c r="GO5" s="3835" t="s">
        <v>420</v>
      </c>
      <c r="GP5" s="3835" t="s">
        <v>421</v>
      </c>
      <c r="GQ5" s="3835" t="s">
        <v>14</v>
      </c>
      <c r="GR5" s="3835" t="s">
        <v>15</v>
      </c>
      <c r="GS5" s="3835" t="s">
        <v>16</v>
      </c>
      <c r="GT5" s="3835" t="s">
        <v>17</v>
      </c>
      <c r="GU5" s="3835" t="s">
        <v>18</v>
      </c>
      <c r="GV5" s="3835" t="s">
        <v>213</v>
      </c>
      <c r="GW5" s="3835" t="s">
        <v>214</v>
      </c>
      <c r="GX5" s="3835" t="s">
        <v>215</v>
      </c>
      <c r="GY5" s="3835" t="s">
        <v>1727</v>
      </c>
      <c r="GZ5" s="3835" t="s">
        <v>1728</v>
      </c>
      <c r="HA5" s="3835" t="s">
        <v>1729</v>
      </c>
      <c r="HB5" s="3835" t="s">
        <v>563</v>
      </c>
      <c r="HC5" s="3835" t="s">
        <v>564</v>
      </c>
      <c r="HD5" s="3835" t="s">
        <v>565</v>
      </c>
      <c r="HE5" s="3835" t="s">
        <v>566</v>
      </c>
      <c r="HF5" s="3835" t="s">
        <v>19</v>
      </c>
      <c r="HG5" s="3835" t="s">
        <v>20</v>
      </c>
      <c r="HH5" s="3835" t="s">
        <v>21</v>
      </c>
      <c r="HI5" s="3835" t="s">
        <v>22</v>
      </c>
      <c r="HJ5" s="3835" t="s">
        <v>23</v>
      </c>
      <c r="HK5" s="3835" t="s">
        <v>473</v>
      </c>
      <c r="HL5" s="3835" t="s">
        <v>413</v>
      </c>
      <c r="HM5" s="3835" t="s">
        <v>414</v>
      </c>
      <c r="HN5" s="3835" t="s">
        <v>415</v>
      </c>
      <c r="HO5" s="3835" t="s">
        <v>416</v>
      </c>
      <c r="HP5" s="3835" t="s">
        <v>2108</v>
      </c>
      <c r="HQ5" s="3835" t="s">
        <v>2109</v>
      </c>
      <c r="HR5" s="3835" t="s">
        <v>2110</v>
      </c>
      <c r="HS5" s="3835" t="s">
        <v>1420</v>
      </c>
      <c r="HT5" s="3835" t="s">
        <v>1421</v>
      </c>
      <c r="HU5" s="3835" t="s">
        <v>24</v>
      </c>
      <c r="HV5" s="3835" t="s">
        <v>25</v>
      </c>
      <c r="HW5" s="3835" t="s">
        <v>26</v>
      </c>
      <c r="HX5" s="3835" t="s">
        <v>27</v>
      </c>
      <c r="HY5" s="3835"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35" t="s">
        <v>1559</v>
      </c>
      <c r="LH5" s="3835" t="s">
        <v>2406</v>
      </c>
      <c r="LI5" s="3835" t="s">
        <v>2407</v>
      </c>
      <c r="LJ5" s="3835" t="s">
        <v>368</v>
      </c>
      <c r="LK5" s="3835" t="s">
        <v>369</v>
      </c>
      <c r="LL5" s="3835" t="s">
        <v>370</v>
      </c>
      <c r="LM5" s="3835" t="s">
        <v>371</v>
      </c>
      <c r="LN5" s="3835" t="s">
        <v>372</v>
      </c>
      <c r="LO5" s="3835" t="s">
        <v>373</v>
      </c>
      <c r="LP5" s="3835" t="s">
        <v>374</v>
      </c>
      <c r="LQ5" s="3835" t="s">
        <v>194</v>
      </c>
      <c r="LR5" s="3835" t="s">
        <v>195</v>
      </c>
      <c r="LS5" s="3835" t="s">
        <v>196</v>
      </c>
      <c r="LT5" s="3835" t="s">
        <v>197</v>
      </c>
      <c r="LU5" s="3835" t="s">
        <v>198</v>
      </c>
      <c r="LV5" s="3835" t="s">
        <v>199</v>
      </c>
      <c r="LW5" s="3835" t="s">
        <v>200</v>
      </c>
      <c r="LX5" s="3835" t="s">
        <v>201</v>
      </c>
      <c r="LY5" s="3835" t="s">
        <v>202</v>
      </c>
      <c r="LZ5" s="3835" t="s">
        <v>203</v>
      </c>
      <c r="MA5" s="3835" t="s">
        <v>204</v>
      </c>
      <c r="MB5" s="3835" t="s">
        <v>205</v>
      </c>
      <c r="MC5" s="3835" t="s">
        <v>206</v>
      </c>
      <c r="MD5" s="3835" t="s">
        <v>207</v>
      </c>
      <c r="ME5" s="3835" t="s">
        <v>208</v>
      </c>
      <c r="MF5" s="3835"/>
      <c r="MG5" s="3835"/>
      <c r="MH5" s="3835"/>
      <c r="MI5" s="3835"/>
      <c r="MJ5" s="3835"/>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1"/>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59" t="str">
        <f>IF(A49&gt;0,"Finish Row!","")</f>
        <v/>
      </c>
      <c r="B6" s="163" t="s">
        <v>6312</v>
      </c>
      <c r="D6" s="1585"/>
      <c r="E6" s="1585"/>
      <c r="F6" s="1585"/>
      <c r="G6" s="2852" t="s">
        <v>193</v>
      </c>
      <c r="H6" s="3937" t="s">
        <v>6314</v>
      </c>
      <c r="I6" s="3938"/>
      <c r="J6" s="3938"/>
      <c r="K6" s="1401" t="s">
        <v>3257</v>
      </c>
      <c r="L6" s="3837" t="str">
        <f>'Part I-Project Information'!$B$7</f>
        <v>2021 Core App
May 10 Rev</v>
      </c>
      <c r="M6" s="3837"/>
      <c r="N6" s="3837"/>
      <c r="O6" s="1784" t="s">
        <v>6290</v>
      </c>
      <c r="P6" s="2853">
        <v>72000</v>
      </c>
      <c r="Q6" s="3885"/>
      <c r="R6" s="2649"/>
      <c r="S6" s="93"/>
      <c r="U6" s="93"/>
      <c r="X6" s="3835"/>
      <c r="Y6" s="3835"/>
      <c r="Z6" s="3835"/>
      <c r="AA6" s="3835"/>
      <c r="AB6" s="3835"/>
      <c r="AC6" s="3835"/>
      <c r="AD6" s="3835"/>
      <c r="AE6" s="3835"/>
      <c r="AF6" s="3835"/>
      <c r="AG6" s="3835"/>
      <c r="AH6" s="3835"/>
      <c r="AI6" s="3835"/>
      <c r="AJ6" s="3835"/>
      <c r="AK6" s="3835"/>
      <c r="AL6" s="3835"/>
      <c r="AM6" s="3835"/>
      <c r="AN6" s="3835"/>
      <c r="AO6" s="3835"/>
      <c r="AP6" s="3835"/>
      <c r="AQ6" s="3835"/>
      <c r="AR6" s="3835"/>
      <c r="AS6" s="3835"/>
      <c r="AT6" s="3835"/>
      <c r="AU6" s="3835"/>
      <c r="AV6" s="3835"/>
      <c r="AW6" s="3835"/>
      <c r="AX6" s="3835"/>
      <c r="AY6" s="3835"/>
      <c r="AZ6" s="3835"/>
      <c r="BA6" s="3835"/>
      <c r="BB6" s="3835"/>
      <c r="BC6" s="3835"/>
      <c r="BD6" s="3835"/>
      <c r="BE6" s="3835"/>
      <c r="BF6" s="3835"/>
      <c r="BG6" s="3835"/>
      <c r="BH6" s="3835"/>
      <c r="BI6" s="3835"/>
      <c r="BJ6" s="3835"/>
      <c r="BK6" s="3835"/>
      <c r="BL6" s="3835"/>
      <c r="BM6" s="3835"/>
      <c r="BN6" s="3835"/>
      <c r="BO6" s="3835"/>
      <c r="BP6" s="3835"/>
      <c r="BQ6" s="3835"/>
      <c r="BR6" s="3835"/>
      <c r="BS6" s="3835"/>
      <c r="BT6" s="3835"/>
      <c r="BU6" s="3835"/>
      <c r="BV6" s="3835"/>
      <c r="BW6" s="3835"/>
      <c r="BX6" s="3835"/>
      <c r="BY6" s="3835"/>
      <c r="BZ6" s="3835"/>
      <c r="CA6" s="3835"/>
      <c r="CB6" s="3835"/>
      <c r="CC6" s="3835"/>
      <c r="CD6" s="3835"/>
      <c r="CE6" s="3835"/>
      <c r="CF6" s="3835"/>
      <c r="CG6" s="3835"/>
      <c r="CH6" s="3835"/>
      <c r="CI6" s="3835"/>
      <c r="CJ6" s="3835"/>
      <c r="CK6" s="3835"/>
      <c r="CL6" s="3835"/>
      <c r="CM6" s="3835"/>
      <c r="CN6" s="3835"/>
      <c r="CO6" s="3835"/>
      <c r="CP6" s="3835"/>
      <c r="CQ6" s="3835"/>
      <c r="CR6" s="3835"/>
      <c r="CS6" s="3835"/>
      <c r="CT6" s="3835"/>
      <c r="CU6" s="3835"/>
      <c r="CV6" s="3835"/>
      <c r="CW6" s="3835"/>
      <c r="CX6" s="3835"/>
      <c r="CY6" s="3835"/>
      <c r="CZ6" s="3835"/>
      <c r="DA6" s="3835"/>
      <c r="DB6" s="3835"/>
      <c r="DC6" s="3835"/>
      <c r="DD6" s="3835"/>
      <c r="DE6" s="3835"/>
      <c r="DF6" s="3835"/>
      <c r="DG6" s="3835"/>
      <c r="DH6" s="3835"/>
      <c r="DI6" s="3835"/>
      <c r="DJ6" s="3835"/>
      <c r="DK6" s="3835"/>
      <c r="DL6" s="3835"/>
      <c r="DM6" s="3835"/>
      <c r="DN6" s="3835"/>
      <c r="DO6" s="3835"/>
      <c r="DP6" s="3835"/>
      <c r="DQ6" s="3835"/>
      <c r="DR6" s="3835"/>
      <c r="DS6" s="3835"/>
      <c r="DT6" s="3835"/>
      <c r="DU6" s="3835"/>
      <c r="DV6" s="3835"/>
      <c r="DW6" s="3835"/>
      <c r="DX6" s="3835"/>
      <c r="DY6" s="3835"/>
      <c r="DZ6" s="3835"/>
      <c r="EA6" s="3835"/>
      <c r="EB6" s="3835"/>
      <c r="EC6" s="3835"/>
      <c r="ED6" s="3835"/>
      <c r="EE6" s="3835"/>
      <c r="EF6" s="3835"/>
      <c r="EG6" s="3835"/>
      <c r="EH6" s="3835"/>
      <c r="EI6" s="3835"/>
      <c r="EJ6" s="3835"/>
      <c r="EK6" s="3835"/>
      <c r="EL6" s="3835"/>
      <c r="EM6" s="3835"/>
      <c r="EN6" s="3835"/>
      <c r="EO6" s="3835"/>
      <c r="EP6" s="3835"/>
      <c r="EQ6" s="3835"/>
      <c r="ER6" s="3835"/>
      <c r="ES6" s="3835"/>
      <c r="ET6" s="3835"/>
      <c r="EU6" s="3835"/>
      <c r="EV6" s="3835"/>
      <c r="EW6" s="3835"/>
      <c r="EX6" s="3835"/>
      <c r="EY6" s="3835"/>
      <c r="EZ6" s="3835"/>
      <c r="FA6" s="3835"/>
      <c r="FB6" s="3835"/>
      <c r="FC6" s="3835"/>
      <c r="FD6" s="3835"/>
      <c r="FE6" s="3835"/>
      <c r="FF6" s="3835"/>
      <c r="FG6" s="3835"/>
      <c r="FH6" s="3835"/>
      <c r="FI6" s="3835"/>
      <c r="FJ6" s="3835"/>
      <c r="FK6" s="3835"/>
      <c r="FL6" s="3835"/>
      <c r="FM6" s="3835"/>
      <c r="FN6" s="3835"/>
      <c r="FO6" s="3835"/>
      <c r="FP6" s="3835"/>
      <c r="FQ6" s="3835"/>
      <c r="FR6" s="3835"/>
      <c r="FS6" s="3835"/>
      <c r="FT6" s="3835"/>
      <c r="FU6" s="3835"/>
      <c r="FV6" s="3835"/>
      <c r="FW6" s="3835"/>
      <c r="FX6" s="3835"/>
      <c r="FY6" s="3835"/>
      <c r="FZ6" s="3835"/>
      <c r="GA6" s="3835"/>
      <c r="GB6" s="3835"/>
      <c r="GC6" s="3835"/>
      <c r="GD6" s="3835"/>
      <c r="GE6" s="3835"/>
      <c r="GF6" s="3835"/>
      <c r="GG6" s="3835"/>
      <c r="GH6" s="3835"/>
      <c r="GI6" s="3835"/>
      <c r="GJ6" s="3835"/>
      <c r="GK6" s="3835"/>
      <c r="GL6" s="3835"/>
      <c r="GM6" s="3835"/>
      <c r="GN6" s="3835"/>
      <c r="GO6" s="3835"/>
      <c r="GP6" s="3835"/>
      <c r="GQ6" s="3835"/>
      <c r="GR6" s="3835"/>
      <c r="GS6" s="3835"/>
      <c r="GT6" s="3835"/>
      <c r="GU6" s="3835"/>
      <c r="GV6" s="3835"/>
      <c r="GW6" s="3835"/>
      <c r="GX6" s="3835"/>
      <c r="GY6" s="3835"/>
      <c r="GZ6" s="3835"/>
      <c r="HA6" s="3835"/>
      <c r="HB6" s="3835"/>
      <c r="HC6" s="3835"/>
      <c r="HD6" s="3835"/>
      <c r="HE6" s="3835"/>
      <c r="HF6" s="3835"/>
      <c r="HG6" s="3835"/>
      <c r="HH6" s="3835"/>
      <c r="HI6" s="3835"/>
      <c r="HJ6" s="3835"/>
      <c r="HK6" s="3835"/>
      <c r="HL6" s="3835"/>
      <c r="HM6" s="3835"/>
      <c r="HN6" s="3835"/>
      <c r="HO6" s="3835"/>
      <c r="HP6" s="3835"/>
      <c r="HQ6" s="3835"/>
      <c r="HR6" s="3835"/>
      <c r="HS6" s="3835"/>
      <c r="HT6" s="3835"/>
      <c r="HU6" s="3835"/>
      <c r="HV6" s="3835"/>
      <c r="HW6" s="3835"/>
      <c r="HX6" s="3835"/>
      <c r="HY6" s="3835"/>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35"/>
      <c r="LH6" s="3835"/>
      <c r="LI6" s="3835"/>
      <c r="LJ6" s="3835"/>
      <c r="LK6" s="3835"/>
      <c r="LL6" s="3835"/>
      <c r="LM6" s="3835"/>
      <c r="LN6" s="3835"/>
      <c r="LO6" s="3835"/>
      <c r="LP6" s="3835"/>
      <c r="LQ6" s="3835"/>
      <c r="LR6" s="3835"/>
      <c r="LS6" s="3835"/>
      <c r="LT6" s="3835"/>
      <c r="LU6" s="3835"/>
      <c r="LV6" s="3835"/>
      <c r="LW6" s="3835"/>
      <c r="LX6" s="3835"/>
      <c r="LY6" s="3835"/>
      <c r="LZ6" s="3835"/>
      <c r="MA6" s="3835"/>
      <c r="MB6" s="3835"/>
      <c r="MC6" s="3835"/>
      <c r="MD6" s="3835"/>
      <c r="ME6" s="3835"/>
      <c r="MF6" s="3835"/>
      <c r="MG6" s="3835"/>
      <c r="MH6" s="3835"/>
      <c r="MI6" s="3835"/>
      <c r="MJ6" s="3835"/>
      <c r="MK6" s="3871" t="s">
        <v>3161</v>
      </c>
      <c r="ML6" s="3871" t="s">
        <v>3162</v>
      </c>
      <c r="MM6" s="3871" t="s">
        <v>3163</v>
      </c>
      <c r="MN6" s="3871" t="s">
        <v>3164</v>
      </c>
      <c r="MO6" s="3871" t="s">
        <v>3165</v>
      </c>
      <c r="MP6" s="3835" t="s">
        <v>6588</v>
      </c>
      <c r="MQ6" s="3835" t="s">
        <v>6589</v>
      </c>
      <c r="MR6" s="3835" t="s">
        <v>6590</v>
      </c>
      <c r="MS6" s="3835" t="s">
        <v>6591</v>
      </c>
      <c r="MT6" s="3835" t="s">
        <v>6592</v>
      </c>
      <c r="MU6" s="93"/>
      <c r="MV6" s="93"/>
      <c r="MW6" s="93"/>
      <c r="MX6" s="93"/>
      <c r="MY6" s="93"/>
      <c r="MZ6" s="93"/>
      <c r="NA6" s="93"/>
      <c r="NB6" s="93"/>
      <c r="NC6" s="93"/>
      <c r="ND6" s="93"/>
      <c r="NE6" s="93"/>
      <c r="NF6" s="93"/>
      <c r="NG6" s="93"/>
      <c r="NH6" s="93"/>
      <c r="NI6" s="93"/>
      <c r="NJ6" s="93"/>
      <c r="NK6" s="93"/>
      <c r="NL6" s="93"/>
      <c r="NM6" s="93"/>
      <c r="NN6" s="93"/>
      <c r="NO6" s="93"/>
      <c r="NP6" s="2851"/>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59"/>
      <c r="B7" s="29" t="s">
        <v>6313</v>
      </c>
      <c r="E7" s="4"/>
      <c r="G7" s="2854" t="s">
        <v>2773</v>
      </c>
      <c r="I7" s="3864" t="s">
        <v>4280</v>
      </c>
      <c r="J7" s="1401" t="s">
        <v>765</v>
      </c>
      <c r="K7" s="1401" t="s">
        <v>3308</v>
      </c>
      <c r="L7" s="3837"/>
      <c r="M7" s="3837"/>
      <c r="N7" s="3837"/>
      <c r="O7" s="1785" t="s">
        <v>6289</v>
      </c>
      <c r="P7" s="2855">
        <v>43922</v>
      </c>
      <c r="Q7" s="3885"/>
      <c r="R7" s="3868" t="s">
        <v>2548</v>
      </c>
      <c r="S7" s="3868"/>
      <c r="X7" s="3835"/>
      <c r="Y7" s="3835"/>
      <c r="Z7" s="3835"/>
      <c r="AA7" s="3835"/>
      <c r="AB7" s="3835"/>
      <c r="AC7" s="3835"/>
      <c r="AD7" s="3835"/>
      <c r="AE7" s="3835"/>
      <c r="AF7" s="3835"/>
      <c r="AG7" s="3835"/>
      <c r="AH7" s="3835"/>
      <c r="AI7" s="3835"/>
      <c r="AJ7" s="3835"/>
      <c r="AK7" s="3835"/>
      <c r="AL7" s="3835"/>
      <c r="AM7" s="3835"/>
      <c r="AN7" s="3835"/>
      <c r="AO7" s="3835"/>
      <c r="AP7" s="3835"/>
      <c r="AQ7" s="3835"/>
      <c r="AR7" s="3835"/>
      <c r="AS7" s="3835"/>
      <c r="AT7" s="3835"/>
      <c r="AU7" s="3835"/>
      <c r="AV7" s="3835"/>
      <c r="AW7" s="3835"/>
      <c r="AX7" s="3835"/>
      <c r="AY7" s="3835"/>
      <c r="AZ7" s="3835"/>
      <c r="BA7" s="3835"/>
      <c r="BB7" s="3835"/>
      <c r="BC7" s="3835"/>
      <c r="BD7" s="3835"/>
      <c r="BE7" s="3835"/>
      <c r="BF7" s="3835"/>
      <c r="BG7" s="3835"/>
      <c r="BH7" s="3835"/>
      <c r="BI7" s="3835"/>
      <c r="BJ7" s="3835"/>
      <c r="BK7" s="3835"/>
      <c r="BL7" s="3835"/>
      <c r="BM7" s="3835"/>
      <c r="BN7" s="3835"/>
      <c r="BO7" s="3835"/>
      <c r="BP7" s="3835"/>
      <c r="BQ7" s="3835"/>
      <c r="BR7" s="3835"/>
      <c r="BS7" s="3835"/>
      <c r="BT7" s="3835"/>
      <c r="BU7" s="3835"/>
      <c r="BV7" s="3835"/>
      <c r="BW7" s="3835"/>
      <c r="BX7" s="3835"/>
      <c r="BY7" s="3835"/>
      <c r="BZ7" s="3835"/>
      <c r="CA7" s="3835"/>
      <c r="CB7" s="3835"/>
      <c r="CC7" s="3835"/>
      <c r="CD7" s="3835"/>
      <c r="CE7" s="3835"/>
      <c r="CF7" s="3835"/>
      <c r="CG7" s="3835"/>
      <c r="CH7" s="3835"/>
      <c r="CI7" s="3835"/>
      <c r="CJ7" s="3835"/>
      <c r="CK7" s="3835"/>
      <c r="CL7" s="3835"/>
      <c r="CM7" s="3835"/>
      <c r="CN7" s="3835"/>
      <c r="CO7" s="3835"/>
      <c r="CP7" s="3835"/>
      <c r="CQ7" s="3835"/>
      <c r="CR7" s="3835"/>
      <c r="CS7" s="3835"/>
      <c r="CT7" s="3835"/>
      <c r="CU7" s="3835"/>
      <c r="CV7" s="3835"/>
      <c r="CW7" s="3835"/>
      <c r="CX7" s="3835"/>
      <c r="CY7" s="3835"/>
      <c r="CZ7" s="3835"/>
      <c r="DA7" s="3835"/>
      <c r="DB7" s="3835"/>
      <c r="DC7" s="3835"/>
      <c r="DD7" s="3835"/>
      <c r="DE7" s="3835"/>
      <c r="DF7" s="3835"/>
      <c r="DG7" s="3835"/>
      <c r="DH7" s="3835"/>
      <c r="DI7" s="3835"/>
      <c r="DJ7" s="3835"/>
      <c r="DK7" s="3835"/>
      <c r="DL7" s="3835"/>
      <c r="DM7" s="3835"/>
      <c r="DN7" s="3835"/>
      <c r="DO7" s="3835"/>
      <c r="DP7" s="3835"/>
      <c r="DQ7" s="3835"/>
      <c r="DR7" s="3835"/>
      <c r="DS7" s="3835"/>
      <c r="DT7" s="3835"/>
      <c r="DU7" s="3835"/>
      <c r="DV7" s="3835"/>
      <c r="DW7" s="3835"/>
      <c r="DX7" s="3835"/>
      <c r="DY7" s="3835"/>
      <c r="DZ7" s="3835"/>
      <c r="EA7" s="3835"/>
      <c r="EB7" s="3835"/>
      <c r="EC7" s="3835"/>
      <c r="ED7" s="3835"/>
      <c r="EE7" s="3835"/>
      <c r="EF7" s="3835"/>
      <c r="EG7" s="3835"/>
      <c r="EH7" s="3835"/>
      <c r="EI7" s="3835"/>
      <c r="EJ7" s="3835"/>
      <c r="EK7" s="3835"/>
      <c r="EL7" s="3835"/>
      <c r="EM7" s="3835"/>
      <c r="EN7" s="3835"/>
      <c r="EO7" s="3835"/>
      <c r="EP7" s="3835"/>
      <c r="EQ7" s="3835"/>
      <c r="ER7" s="3835"/>
      <c r="ES7" s="3835"/>
      <c r="ET7" s="3835"/>
      <c r="EU7" s="3835"/>
      <c r="EV7" s="3835"/>
      <c r="EW7" s="3835"/>
      <c r="EX7" s="3835"/>
      <c r="EY7" s="3835"/>
      <c r="EZ7" s="3835"/>
      <c r="FA7" s="3835"/>
      <c r="FB7" s="3835"/>
      <c r="FC7" s="3835"/>
      <c r="FD7" s="3835"/>
      <c r="FE7" s="3835"/>
      <c r="FF7" s="3835"/>
      <c r="FG7" s="3835"/>
      <c r="FH7" s="3835"/>
      <c r="FI7" s="3835"/>
      <c r="FJ7" s="3835"/>
      <c r="FK7" s="3835"/>
      <c r="FL7" s="3835"/>
      <c r="FM7" s="3835"/>
      <c r="FN7" s="3835"/>
      <c r="FO7" s="3835"/>
      <c r="FP7" s="3835"/>
      <c r="FQ7" s="3835"/>
      <c r="FR7" s="3835"/>
      <c r="FS7" s="3835"/>
      <c r="FT7" s="3835"/>
      <c r="FU7" s="3835"/>
      <c r="FV7" s="3835"/>
      <c r="FW7" s="3835"/>
      <c r="FX7" s="3835"/>
      <c r="FY7" s="3835"/>
      <c r="FZ7" s="3835"/>
      <c r="GA7" s="3835"/>
      <c r="GB7" s="3835"/>
      <c r="GC7" s="3835"/>
      <c r="GD7" s="3835"/>
      <c r="GE7" s="3835"/>
      <c r="GF7" s="3835"/>
      <c r="GG7" s="3835"/>
      <c r="GH7" s="3835"/>
      <c r="GI7" s="3835"/>
      <c r="GJ7" s="3835"/>
      <c r="GK7" s="3835"/>
      <c r="GL7" s="3835"/>
      <c r="GM7" s="3835"/>
      <c r="GN7" s="3835"/>
      <c r="GO7" s="3835"/>
      <c r="GP7" s="3835"/>
      <c r="GQ7" s="3835"/>
      <c r="GR7" s="3835"/>
      <c r="GS7" s="3835"/>
      <c r="GT7" s="3835"/>
      <c r="GU7" s="3835"/>
      <c r="GV7" s="3835"/>
      <c r="GW7" s="3835"/>
      <c r="GX7" s="3835"/>
      <c r="GY7" s="3835"/>
      <c r="GZ7" s="3835"/>
      <c r="HA7" s="3835"/>
      <c r="HB7" s="3835"/>
      <c r="HC7" s="3835"/>
      <c r="HD7" s="3835"/>
      <c r="HE7" s="3835"/>
      <c r="HF7" s="3835"/>
      <c r="HG7" s="3835"/>
      <c r="HH7" s="3835"/>
      <c r="HI7" s="3835"/>
      <c r="HJ7" s="3835"/>
      <c r="HK7" s="3835"/>
      <c r="HL7" s="3835"/>
      <c r="HM7" s="3835"/>
      <c r="HN7" s="3835"/>
      <c r="HO7" s="3835"/>
      <c r="HP7" s="3835"/>
      <c r="HQ7" s="3835"/>
      <c r="HR7" s="3835"/>
      <c r="HS7" s="3835"/>
      <c r="HT7" s="3835"/>
      <c r="HU7" s="3835"/>
      <c r="HV7" s="3835"/>
      <c r="HW7" s="3835"/>
      <c r="HX7" s="3835"/>
      <c r="HY7" s="3835"/>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35"/>
      <c r="LH7" s="3835"/>
      <c r="LI7" s="3835"/>
      <c r="LJ7" s="3835"/>
      <c r="LK7" s="3835"/>
      <c r="LL7" s="3835"/>
      <c r="LM7" s="3835"/>
      <c r="LN7" s="3835"/>
      <c r="LO7" s="3835"/>
      <c r="LP7" s="3835"/>
      <c r="LQ7" s="3835"/>
      <c r="LR7" s="3835"/>
      <c r="LS7" s="3835"/>
      <c r="LT7" s="3835"/>
      <c r="LU7" s="3835"/>
      <c r="LV7" s="3835"/>
      <c r="LW7" s="3835"/>
      <c r="LX7" s="3835"/>
      <c r="LY7" s="3835"/>
      <c r="LZ7" s="3835"/>
      <c r="MA7" s="3835"/>
      <c r="MB7" s="3835"/>
      <c r="MC7" s="3835"/>
      <c r="MD7" s="3835"/>
      <c r="ME7" s="3835"/>
      <c r="MF7" s="3835"/>
      <c r="MG7" s="3835"/>
      <c r="MH7" s="3835"/>
      <c r="MI7" s="3835"/>
      <c r="MJ7" s="3835"/>
      <c r="MK7" s="3871"/>
      <c r="ML7" s="3871"/>
      <c r="MM7" s="3871"/>
      <c r="MN7" s="3871"/>
      <c r="MO7" s="3871"/>
      <c r="MP7" s="3835"/>
      <c r="MQ7" s="3835"/>
      <c r="MR7" s="3835"/>
      <c r="MS7" s="3835"/>
      <c r="MT7" s="3835"/>
      <c r="MU7" s="93"/>
      <c r="MV7" s="93"/>
      <c r="MW7" s="93"/>
      <c r="MX7" s="93"/>
      <c r="MY7" s="93"/>
      <c r="MZ7" s="93"/>
      <c r="NA7" s="93"/>
      <c r="NB7" s="93"/>
      <c r="NC7" s="93"/>
      <c r="ND7" s="93"/>
      <c r="NE7" s="93"/>
      <c r="NF7" s="93"/>
      <c r="NG7" s="93"/>
      <c r="NH7" s="93"/>
      <c r="NI7" s="93"/>
      <c r="NJ7" s="93"/>
      <c r="NK7" s="93"/>
      <c r="NL7" s="93"/>
      <c r="NM7" s="93"/>
      <c r="NN7" s="93"/>
      <c r="NO7" s="93"/>
      <c r="NP7" s="2851"/>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59"/>
      <c r="B8" s="2652" t="s">
        <v>3919</v>
      </c>
      <c r="C8" s="1"/>
      <c r="E8" s="1"/>
      <c r="F8" s="1"/>
      <c r="I8" s="3864"/>
      <c r="J8" s="1401" t="s">
        <v>766</v>
      </c>
      <c r="K8" s="1401" t="s">
        <v>3309</v>
      </c>
      <c r="L8" s="762"/>
      <c r="M8" s="762"/>
      <c r="N8" s="1783" t="s">
        <v>6809</v>
      </c>
      <c r="O8" s="3866" t="s">
        <v>7020</v>
      </c>
      <c r="P8" s="3867"/>
      <c r="Q8" s="3885"/>
      <c r="R8" s="763"/>
      <c r="S8" s="767" t="s">
        <v>2545</v>
      </c>
      <c r="T8" s="405"/>
      <c r="W8" s="406"/>
      <c r="X8" s="3835"/>
      <c r="Y8" s="3835"/>
      <c r="Z8" s="3835"/>
      <c r="AA8" s="3835"/>
      <c r="AB8" s="3835"/>
      <c r="AC8" s="3835"/>
      <c r="AD8" s="3835"/>
      <c r="AE8" s="3835"/>
      <c r="AF8" s="3835"/>
      <c r="AG8" s="3835"/>
      <c r="AH8" s="3835"/>
      <c r="AI8" s="3835"/>
      <c r="AJ8" s="3835"/>
      <c r="AK8" s="3835"/>
      <c r="AL8" s="3835"/>
      <c r="AM8" s="3835"/>
      <c r="AN8" s="3835"/>
      <c r="AO8" s="3835"/>
      <c r="AP8" s="3835"/>
      <c r="AQ8" s="3835"/>
      <c r="AR8" s="3835"/>
      <c r="AS8" s="3835"/>
      <c r="AT8" s="3835"/>
      <c r="AU8" s="3835"/>
      <c r="AV8" s="3835"/>
      <c r="AW8" s="3835"/>
      <c r="AX8" s="3835"/>
      <c r="AY8" s="3835"/>
      <c r="AZ8" s="3835"/>
      <c r="BA8" s="3835"/>
      <c r="BB8" s="3835"/>
      <c r="BC8" s="3835"/>
      <c r="BD8" s="3835"/>
      <c r="BE8" s="3835"/>
      <c r="BF8" s="3835"/>
      <c r="BG8" s="3835"/>
      <c r="BH8" s="3835"/>
      <c r="BI8" s="3835"/>
      <c r="BJ8" s="3835"/>
      <c r="BK8" s="3835"/>
      <c r="BL8" s="3835"/>
      <c r="BM8" s="3835"/>
      <c r="BN8" s="3835"/>
      <c r="BO8" s="3835"/>
      <c r="BP8" s="3835"/>
      <c r="BQ8" s="3835"/>
      <c r="BR8" s="3835"/>
      <c r="BS8" s="3835"/>
      <c r="BT8" s="3835"/>
      <c r="BU8" s="3835"/>
      <c r="BV8" s="3835"/>
      <c r="BW8" s="3835"/>
      <c r="BX8" s="3835"/>
      <c r="BY8" s="3835"/>
      <c r="BZ8" s="3835"/>
      <c r="CA8" s="3835"/>
      <c r="CB8" s="3835"/>
      <c r="CC8" s="3835"/>
      <c r="CD8" s="3835"/>
      <c r="CE8" s="3835"/>
      <c r="CF8" s="3835"/>
      <c r="CG8" s="3835"/>
      <c r="CH8" s="3835"/>
      <c r="CI8" s="3835"/>
      <c r="CJ8" s="3835"/>
      <c r="CK8" s="3835"/>
      <c r="CL8" s="3835"/>
      <c r="CM8" s="3835"/>
      <c r="CN8" s="3835"/>
      <c r="CO8" s="3835"/>
      <c r="CP8" s="3835"/>
      <c r="CQ8" s="3835"/>
      <c r="CR8" s="3835"/>
      <c r="CS8" s="3835"/>
      <c r="CT8" s="3835"/>
      <c r="CU8" s="3835"/>
      <c r="CV8" s="3835"/>
      <c r="CW8" s="3835"/>
      <c r="CX8" s="3835"/>
      <c r="CY8" s="3835"/>
      <c r="CZ8" s="3835"/>
      <c r="DA8" s="3835"/>
      <c r="DB8" s="3835"/>
      <c r="DC8" s="3835"/>
      <c r="DD8" s="3835"/>
      <c r="DE8" s="3835"/>
      <c r="DF8" s="3835"/>
      <c r="DG8" s="3835"/>
      <c r="DH8" s="3835"/>
      <c r="DI8" s="3835"/>
      <c r="DJ8" s="3835"/>
      <c r="DK8" s="3835"/>
      <c r="DL8" s="3835"/>
      <c r="DM8" s="3835"/>
      <c r="DN8" s="3835"/>
      <c r="DO8" s="3835"/>
      <c r="DP8" s="3835"/>
      <c r="DQ8" s="3835"/>
      <c r="DR8" s="3835"/>
      <c r="DS8" s="3835"/>
      <c r="DT8" s="3835"/>
      <c r="DU8" s="3835"/>
      <c r="DV8" s="3835"/>
      <c r="DW8" s="3835"/>
      <c r="DX8" s="3835"/>
      <c r="DY8" s="3835"/>
      <c r="DZ8" s="3835"/>
      <c r="EA8" s="3835"/>
      <c r="EB8" s="3835"/>
      <c r="EC8" s="3835"/>
      <c r="ED8" s="3835"/>
      <c r="EE8" s="3835"/>
      <c r="EF8" s="3835"/>
      <c r="EG8" s="3835"/>
      <c r="EH8" s="3835"/>
      <c r="EI8" s="3835"/>
      <c r="EJ8" s="3835"/>
      <c r="EK8" s="3835"/>
      <c r="EL8" s="3835"/>
      <c r="EM8" s="3835"/>
      <c r="EN8" s="3835"/>
      <c r="EO8" s="3835"/>
      <c r="EP8" s="3835"/>
      <c r="EQ8" s="3835"/>
      <c r="ER8" s="3835"/>
      <c r="ES8" s="3835"/>
      <c r="ET8" s="3835"/>
      <c r="EU8" s="3835"/>
      <c r="EV8" s="3835"/>
      <c r="EW8" s="3835"/>
      <c r="EX8" s="3835"/>
      <c r="EY8" s="3835"/>
      <c r="EZ8" s="3835"/>
      <c r="FA8" s="3835"/>
      <c r="FB8" s="3835"/>
      <c r="FC8" s="3835"/>
      <c r="FD8" s="3835"/>
      <c r="FE8" s="3835"/>
      <c r="FF8" s="3835"/>
      <c r="FG8" s="3835"/>
      <c r="FH8" s="3835"/>
      <c r="FI8" s="3835"/>
      <c r="FJ8" s="3835"/>
      <c r="FK8" s="3835"/>
      <c r="FL8" s="3835"/>
      <c r="FM8" s="3835"/>
      <c r="FN8" s="3835"/>
      <c r="FO8" s="3835"/>
      <c r="FP8" s="3835"/>
      <c r="FQ8" s="3835"/>
      <c r="FR8" s="3835"/>
      <c r="FS8" s="3835"/>
      <c r="FT8" s="3835"/>
      <c r="FU8" s="3835"/>
      <c r="FV8" s="3835"/>
      <c r="FW8" s="3835"/>
      <c r="FX8" s="3835"/>
      <c r="FY8" s="3835"/>
      <c r="FZ8" s="3835"/>
      <c r="GA8" s="3835"/>
      <c r="GB8" s="3835"/>
      <c r="GC8" s="3835"/>
      <c r="GD8" s="3835"/>
      <c r="GE8" s="3835"/>
      <c r="GF8" s="3835"/>
      <c r="GG8" s="3835"/>
      <c r="GH8" s="3835"/>
      <c r="GI8" s="3835"/>
      <c r="GJ8" s="3835"/>
      <c r="GK8" s="3835"/>
      <c r="GL8" s="3835"/>
      <c r="GM8" s="3835"/>
      <c r="GN8" s="3835"/>
      <c r="GO8" s="3835"/>
      <c r="GP8" s="3835"/>
      <c r="GQ8" s="3835"/>
      <c r="GR8" s="3835"/>
      <c r="GS8" s="3835"/>
      <c r="GT8" s="3835"/>
      <c r="GU8" s="3835"/>
      <c r="GV8" s="3835"/>
      <c r="GW8" s="3835"/>
      <c r="GX8" s="3835"/>
      <c r="GY8" s="3835"/>
      <c r="GZ8" s="3835"/>
      <c r="HA8" s="3835"/>
      <c r="HB8" s="3835"/>
      <c r="HC8" s="3835"/>
      <c r="HD8" s="3835"/>
      <c r="HE8" s="3835"/>
      <c r="HF8" s="3835"/>
      <c r="HG8" s="3835"/>
      <c r="HH8" s="3835"/>
      <c r="HI8" s="3835"/>
      <c r="HJ8" s="3835"/>
      <c r="HK8" s="3835"/>
      <c r="HL8" s="3835"/>
      <c r="HM8" s="3835"/>
      <c r="HN8" s="3835"/>
      <c r="HO8" s="3835"/>
      <c r="HP8" s="3835"/>
      <c r="HQ8" s="3835"/>
      <c r="HR8" s="3835"/>
      <c r="HS8" s="3835"/>
      <c r="HT8" s="3835"/>
      <c r="HU8" s="3835"/>
      <c r="HV8" s="3835"/>
      <c r="HW8" s="3835"/>
      <c r="HX8" s="3835"/>
      <c r="HY8" s="3835"/>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2330</v>
      </c>
      <c r="JA8" s="1812" t="s">
        <v>2331</v>
      </c>
      <c r="JB8" s="1812" t="s">
        <v>2332</v>
      </c>
      <c r="JC8" s="1812" t="s">
        <v>2333</v>
      </c>
      <c r="JD8" s="1812" t="s">
        <v>539</v>
      </c>
      <c r="JE8" s="1812" t="s">
        <v>2330</v>
      </c>
      <c r="JF8" s="1812" t="s">
        <v>2331</v>
      </c>
      <c r="JG8" s="1812" t="s">
        <v>2332</v>
      </c>
      <c r="JH8" s="1812" t="s">
        <v>2333</v>
      </c>
      <c r="JI8" s="1812" t="s">
        <v>539</v>
      </c>
      <c r="JJ8" s="1812" t="s">
        <v>2330</v>
      </c>
      <c r="JK8" s="1812" t="s">
        <v>2331</v>
      </c>
      <c r="JL8" s="1812" t="s">
        <v>2332</v>
      </c>
      <c r="JM8" s="1812" t="s">
        <v>2333</v>
      </c>
      <c r="JN8" s="1812" t="s">
        <v>539</v>
      </c>
      <c r="JO8" s="1812" t="s">
        <v>2330</v>
      </c>
      <c r="JP8" s="1812" t="s">
        <v>2331</v>
      </c>
      <c r="JQ8" s="1812" t="s">
        <v>2332</v>
      </c>
      <c r="JR8" s="1812" t="s">
        <v>2333</v>
      </c>
      <c r="JS8" s="1812" t="s">
        <v>539</v>
      </c>
      <c r="JT8" s="1812" t="s">
        <v>2330</v>
      </c>
      <c r="JU8" s="1812" t="s">
        <v>2331</v>
      </c>
      <c r="JV8" s="1812" t="s">
        <v>2332</v>
      </c>
      <c r="JW8" s="1812" t="s">
        <v>2333</v>
      </c>
      <c r="JX8" s="1812" t="s">
        <v>539</v>
      </c>
      <c r="JY8" s="1812" t="s">
        <v>2330</v>
      </c>
      <c r="JZ8" s="1812" t="s">
        <v>2331</v>
      </c>
      <c r="KA8" s="1812" t="s">
        <v>2332</v>
      </c>
      <c r="KB8" s="1812" t="s">
        <v>2333</v>
      </c>
      <c r="KC8" s="1812" t="s">
        <v>539</v>
      </c>
      <c r="KD8" s="1812" t="s">
        <v>2330</v>
      </c>
      <c r="KE8" s="1812" t="s">
        <v>2331</v>
      </c>
      <c r="KF8" s="1812" t="s">
        <v>2332</v>
      </c>
      <c r="KG8" s="1812" t="s">
        <v>2333</v>
      </c>
      <c r="KH8" s="1812" t="s">
        <v>539</v>
      </c>
      <c r="KI8" s="1812" t="s">
        <v>2330</v>
      </c>
      <c r="KJ8" s="1812" t="s">
        <v>2331</v>
      </c>
      <c r="KK8" s="1812" t="s">
        <v>2332</v>
      </c>
      <c r="KL8" s="1812" t="s">
        <v>2333</v>
      </c>
      <c r="KM8" s="1812" t="s">
        <v>539</v>
      </c>
      <c r="KN8" s="1812" t="s">
        <v>2330</v>
      </c>
      <c r="KO8" s="1812" t="s">
        <v>2331</v>
      </c>
      <c r="KP8" s="1812" t="s">
        <v>2332</v>
      </c>
      <c r="KQ8" s="1812" t="s">
        <v>2333</v>
      </c>
      <c r="KR8" s="1812" t="s">
        <v>539</v>
      </c>
      <c r="KS8" s="1812" t="s">
        <v>2330</v>
      </c>
      <c r="KT8" s="1812" t="s">
        <v>2331</v>
      </c>
      <c r="KU8" s="1812" t="s">
        <v>2332</v>
      </c>
      <c r="KV8" s="1812" t="s">
        <v>2333</v>
      </c>
      <c r="KW8" s="1812" t="s">
        <v>539</v>
      </c>
      <c r="KX8" s="1812" t="s">
        <v>2330</v>
      </c>
      <c r="KY8" s="1812" t="s">
        <v>2331</v>
      </c>
      <c r="KZ8" s="1812" t="s">
        <v>2332</v>
      </c>
      <c r="LA8" s="1812" t="s">
        <v>2333</v>
      </c>
      <c r="LB8" s="1812" t="s">
        <v>539</v>
      </c>
      <c r="LC8" s="1812" t="s">
        <v>2330</v>
      </c>
      <c r="LD8" s="1812" t="s">
        <v>2331</v>
      </c>
      <c r="LE8" s="1812" t="s">
        <v>2332</v>
      </c>
      <c r="LF8" s="1812" t="s">
        <v>2333</v>
      </c>
      <c r="LG8" s="3835"/>
      <c r="LH8" s="3835"/>
      <c r="LI8" s="3835"/>
      <c r="LJ8" s="3835"/>
      <c r="LK8" s="3835"/>
      <c r="LL8" s="3835"/>
      <c r="LM8" s="3835"/>
      <c r="LN8" s="3835"/>
      <c r="LO8" s="3835"/>
      <c r="LP8" s="3835"/>
      <c r="LQ8" s="3835"/>
      <c r="LR8" s="3835"/>
      <c r="LS8" s="3835"/>
      <c r="LT8" s="3835"/>
      <c r="LU8" s="3835"/>
      <c r="LV8" s="3835"/>
      <c r="LW8" s="3835"/>
      <c r="LX8" s="3835"/>
      <c r="LY8" s="3835"/>
      <c r="LZ8" s="3835"/>
      <c r="MA8" s="3835"/>
      <c r="MB8" s="3835"/>
      <c r="MC8" s="3835"/>
      <c r="MD8" s="3835"/>
      <c r="ME8" s="3835"/>
      <c r="MF8" s="3835"/>
      <c r="MG8" s="3835"/>
      <c r="MH8" s="3835"/>
      <c r="MI8" s="3835"/>
      <c r="MJ8" s="3835"/>
      <c r="MK8" s="3871"/>
      <c r="ML8" s="3871"/>
      <c r="MM8" s="3871"/>
      <c r="MN8" s="3871"/>
      <c r="MO8" s="3871"/>
      <c r="MP8" s="3835"/>
      <c r="MQ8" s="3835"/>
      <c r="MR8" s="3835"/>
      <c r="MS8" s="3835"/>
      <c r="MT8" s="3835"/>
      <c r="MU8" s="93"/>
      <c r="MV8" s="93"/>
      <c r="MW8" s="93"/>
      <c r="MX8" s="93"/>
      <c r="MY8" s="93"/>
      <c r="MZ8" s="93"/>
      <c r="NA8" s="93"/>
      <c r="NB8" s="93"/>
      <c r="NC8" s="93"/>
      <c r="ND8" s="93"/>
      <c r="NE8" s="93"/>
      <c r="NF8" s="93"/>
      <c r="NG8" s="93"/>
      <c r="NH8" s="93"/>
      <c r="NI8" s="93"/>
      <c r="NJ8" s="93"/>
      <c r="NK8" s="93"/>
      <c r="NL8" s="93"/>
      <c r="NM8" s="93"/>
      <c r="NN8" s="93"/>
      <c r="NO8" s="93"/>
      <c r="NP8" s="2851"/>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59"/>
      <c r="B9" s="1190" t="s">
        <v>3920</v>
      </c>
      <c r="C9" s="1401" t="s">
        <v>164</v>
      </c>
      <c r="D9" s="1401" t="s">
        <v>519</v>
      </c>
      <c r="E9" s="1401" t="s">
        <v>1417</v>
      </c>
      <c r="F9" s="1401" t="s">
        <v>1417</v>
      </c>
      <c r="G9" s="3864" t="s">
        <v>6309</v>
      </c>
      <c r="H9" s="2649" t="s">
        <v>3443</v>
      </c>
      <c r="I9" s="3864"/>
      <c r="J9" s="3860" t="s">
        <v>6300</v>
      </c>
      <c r="K9" s="1401" t="s">
        <v>2297</v>
      </c>
      <c r="L9" s="3869" t="s">
        <v>138</v>
      </c>
      <c r="M9" s="3870"/>
      <c r="N9" s="1401" t="s">
        <v>2263</v>
      </c>
      <c r="O9" s="1401" t="s">
        <v>6812</v>
      </c>
      <c r="P9" s="3862" t="s">
        <v>6536</v>
      </c>
      <c r="Q9" s="3885"/>
      <c r="R9" s="1401" t="s">
        <v>2544</v>
      </c>
      <c r="S9" s="1401" t="s">
        <v>2546</v>
      </c>
      <c r="T9" s="407"/>
      <c r="W9" s="408"/>
      <c r="X9" s="3835"/>
      <c r="Y9" s="3835"/>
      <c r="Z9" s="3835"/>
      <c r="AA9" s="3835"/>
      <c r="AB9" s="3835"/>
      <c r="AC9" s="3835"/>
      <c r="AD9" s="3835"/>
      <c r="AE9" s="3835"/>
      <c r="AF9" s="3835"/>
      <c r="AG9" s="3835"/>
      <c r="AH9" s="3835"/>
      <c r="AI9" s="3835"/>
      <c r="AJ9" s="3835"/>
      <c r="AK9" s="3835"/>
      <c r="AL9" s="3835"/>
      <c r="AM9" s="3835"/>
      <c r="AN9" s="3835"/>
      <c r="AO9" s="3835"/>
      <c r="AP9" s="3835"/>
      <c r="AQ9" s="3835"/>
      <c r="AR9" s="3835"/>
      <c r="AS9" s="3835"/>
      <c r="AT9" s="3835"/>
      <c r="AU9" s="3835"/>
      <c r="AV9" s="3835"/>
      <c r="AW9" s="3835"/>
      <c r="AX9" s="3835"/>
      <c r="AY9" s="3835"/>
      <c r="AZ9" s="3835"/>
      <c r="BA9" s="3835"/>
      <c r="BB9" s="3835"/>
      <c r="BC9" s="3835"/>
      <c r="BD9" s="3835"/>
      <c r="BE9" s="3835"/>
      <c r="BF9" s="3835"/>
      <c r="BG9" s="3835"/>
      <c r="BH9" s="3835"/>
      <c r="BI9" s="3835"/>
      <c r="BJ9" s="3835"/>
      <c r="BK9" s="3835"/>
      <c r="BL9" s="3835"/>
      <c r="BM9" s="3835"/>
      <c r="BN9" s="3835"/>
      <c r="BO9" s="3835"/>
      <c r="BP9" s="3835"/>
      <c r="BQ9" s="3835"/>
      <c r="BR9" s="3835"/>
      <c r="BS9" s="3835"/>
      <c r="BT9" s="3835"/>
      <c r="BU9" s="3835"/>
      <c r="BV9" s="3835"/>
      <c r="BW9" s="3835"/>
      <c r="BX9" s="3835"/>
      <c r="BY9" s="3835"/>
      <c r="BZ9" s="3835"/>
      <c r="CA9" s="3835"/>
      <c r="CB9" s="3835"/>
      <c r="CC9" s="3835"/>
      <c r="CD9" s="3835"/>
      <c r="CE9" s="3835"/>
      <c r="CF9" s="3835"/>
      <c r="CG9" s="3835"/>
      <c r="CH9" s="3835"/>
      <c r="CI9" s="3835"/>
      <c r="CJ9" s="3835"/>
      <c r="CK9" s="3835"/>
      <c r="CL9" s="3835"/>
      <c r="CM9" s="3835"/>
      <c r="CN9" s="3835"/>
      <c r="CO9" s="3835"/>
      <c r="CP9" s="3835"/>
      <c r="CQ9" s="3835"/>
      <c r="CR9" s="3835"/>
      <c r="CS9" s="3835"/>
      <c r="CT9" s="3835"/>
      <c r="CU9" s="3835"/>
      <c r="CV9" s="3835"/>
      <c r="CW9" s="3835"/>
      <c r="CX9" s="3835"/>
      <c r="CY9" s="3835"/>
      <c r="CZ9" s="3835"/>
      <c r="DA9" s="3835"/>
      <c r="DB9" s="3835"/>
      <c r="DC9" s="3835"/>
      <c r="DD9" s="3835"/>
      <c r="DE9" s="3835"/>
      <c r="DF9" s="3835"/>
      <c r="DG9" s="3835"/>
      <c r="DH9" s="3835"/>
      <c r="DI9" s="3835"/>
      <c r="DJ9" s="3835"/>
      <c r="DK9" s="3835"/>
      <c r="DL9" s="3835"/>
      <c r="DM9" s="3835"/>
      <c r="DN9" s="3835"/>
      <c r="DO9" s="3835"/>
      <c r="DP9" s="3835"/>
      <c r="DQ9" s="3835"/>
      <c r="DR9" s="3835"/>
      <c r="DS9" s="3835"/>
      <c r="DT9" s="3835"/>
      <c r="DU9" s="3835"/>
      <c r="DV9" s="3835"/>
      <c r="DW9" s="3835"/>
      <c r="DX9" s="3835"/>
      <c r="DY9" s="3835"/>
      <c r="DZ9" s="3835"/>
      <c r="EA9" s="3835"/>
      <c r="EB9" s="3835"/>
      <c r="EC9" s="3835"/>
      <c r="ED9" s="3835"/>
      <c r="EE9" s="3835"/>
      <c r="EF9" s="3835"/>
      <c r="EG9" s="3835"/>
      <c r="EH9" s="3835"/>
      <c r="EI9" s="3835"/>
      <c r="EJ9" s="3835"/>
      <c r="EK9" s="3835"/>
      <c r="EL9" s="3835"/>
      <c r="EM9" s="3835"/>
      <c r="EN9" s="3835"/>
      <c r="EO9" s="3835"/>
      <c r="EP9" s="3835"/>
      <c r="EQ9" s="3835"/>
      <c r="ER9" s="3835"/>
      <c r="ES9" s="3835"/>
      <c r="ET9" s="3835"/>
      <c r="EU9" s="3835"/>
      <c r="EV9" s="3835"/>
      <c r="EW9" s="3835"/>
      <c r="EX9" s="3835"/>
      <c r="EY9" s="3835"/>
      <c r="EZ9" s="3835"/>
      <c r="FA9" s="3835"/>
      <c r="FB9" s="3835"/>
      <c r="FC9" s="3835"/>
      <c r="FD9" s="3835"/>
      <c r="FE9" s="3835"/>
      <c r="FF9" s="3835"/>
      <c r="FG9" s="3835"/>
      <c r="FH9" s="3835"/>
      <c r="FI9" s="3835"/>
      <c r="FJ9" s="3835"/>
      <c r="FK9" s="3835"/>
      <c r="FL9" s="3835"/>
      <c r="FM9" s="3835"/>
      <c r="FN9" s="3835"/>
      <c r="FO9" s="3835"/>
      <c r="FP9" s="3835"/>
      <c r="FQ9" s="3835"/>
      <c r="FR9" s="3835"/>
      <c r="FS9" s="3835"/>
      <c r="FT9" s="3835"/>
      <c r="FU9" s="3835"/>
      <c r="FV9" s="3835"/>
      <c r="FW9" s="3835"/>
      <c r="FX9" s="3835"/>
      <c r="FY9" s="3835"/>
      <c r="FZ9" s="3835"/>
      <c r="GA9" s="3835"/>
      <c r="GB9" s="3835"/>
      <c r="GC9" s="3835"/>
      <c r="GD9" s="3835"/>
      <c r="GE9" s="3835"/>
      <c r="GF9" s="3835"/>
      <c r="GG9" s="3835"/>
      <c r="GH9" s="3835"/>
      <c r="GI9" s="3835"/>
      <c r="GJ9" s="3835"/>
      <c r="GK9" s="3835"/>
      <c r="GL9" s="3835"/>
      <c r="GM9" s="3835"/>
      <c r="GN9" s="3835"/>
      <c r="GO9" s="3835"/>
      <c r="GP9" s="3835"/>
      <c r="GQ9" s="3835"/>
      <c r="GR9" s="3835"/>
      <c r="GS9" s="3835"/>
      <c r="GT9" s="3835"/>
      <c r="GU9" s="3835"/>
      <c r="GV9" s="3835"/>
      <c r="GW9" s="3835"/>
      <c r="GX9" s="3835"/>
      <c r="GY9" s="3835"/>
      <c r="GZ9" s="3835"/>
      <c r="HA9" s="3835"/>
      <c r="HB9" s="3835"/>
      <c r="HC9" s="3835"/>
      <c r="HD9" s="3835"/>
      <c r="HE9" s="3835"/>
      <c r="HF9" s="3835"/>
      <c r="HG9" s="3835"/>
      <c r="HH9" s="3835"/>
      <c r="HI9" s="3835"/>
      <c r="HJ9" s="3835"/>
      <c r="HK9" s="3835"/>
      <c r="HL9" s="3835"/>
      <c r="HM9" s="3835"/>
      <c r="HN9" s="3835"/>
      <c r="HO9" s="3835"/>
      <c r="HP9" s="3835"/>
      <c r="HQ9" s="3835"/>
      <c r="HR9" s="3835"/>
      <c r="HS9" s="3835"/>
      <c r="HT9" s="3835"/>
      <c r="HU9" s="3835"/>
      <c r="HV9" s="3835"/>
      <c r="HW9" s="3835"/>
      <c r="HX9" s="3835"/>
      <c r="HY9" s="3835"/>
      <c r="HZ9" s="3835" t="s">
        <v>1405</v>
      </c>
      <c r="IA9" s="1812" t="s">
        <v>2330</v>
      </c>
      <c r="IB9" s="1812" t="s">
        <v>2331</v>
      </c>
      <c r="IC9" s="1812" t="s">
        <v>2332</v>
      </c>
      <c r="ID9" s="1812" t="s">
        <v>2333</v>
      </c>
      <c r="IE9" s="3835" t="s">
        <v>2384</v>
      </c>
      <c r="IF9" s="3835" t="s">
        <v>2384</v>
      </c>
      <c r="IG9" s="3835" t="s">
        <v>2384</v>
      </c>
      <c r="IH9" s="3835" t="s">
        <v>2384</v>
      </c>
      <c r="II9" s="3835" t="s">
        <v>2384</v>
      </c>
      <c r="IJ9" s="3835" t="s">
        <v>3121</v>
      </c>
      <c r="IK9" s="3835" t="s">
        <v>3121</v>
      </c>
      <c r="IL9" s="3835" t="s">
        <v>3121</v>
      </c>
      <c r="IM9" s="3835" t="s">
        <v>3121</v>
      </c>
      <c r="IN9" s="3835" t="s">
        <v>3121</v>
      </c>
      <c r="IO9" s="1812" t="s">
        <v>539</v>
      </c>
      <c r="IP9" s="1812" t="s">
        <v>2330</v>
      </c>
      <c r="IQ9" s="1812" t="s">
        <v>2331</v>
      </c>
      <c r="IR9" s="1812" t="s">
        <v>2332</v>
      </c>
      <c r="IS9" s="1812" t="s">
        <v>2333</v>
      </c>
      <c r="IT9" s="1812" t="s">
        <v>539</v>
      </c>
      <c r="IU9" s="1812" t="s">
        <v>2330</v>
      </c>
      <c r="IV9" s="1812" t="s">
        <v>2331</v>
      </c>
      <c r="IW9" s="1812" t="s">
        <v>2332</v>
      </c>
      <c r="IX9" s="1812" t="s">
        <v>2333</v>
      </c>
      <c r="IY9" s="3835" t="s">
        <v>6593</v>
      </c>
      <c r="IZ9" s="3835" t="s">
        <v>6593</v>
      </c>
      <c r="JA9" s="3835" t="s">
        <v>6593</v>
      </c>
      <c r="JB9" s="3835" t="s">
        <v>6593</v>
      </c>
      <c r="JC9" s="3835" t="s">
        <v>6593</v>
      </c>
      <c r="JD9" s="3835" t="s">
        <v>6594</v>
      </c>
      <c r="JE9" s="3835" t="s">
        <v>6594</v>
      </c>
      <c r="JF9" s="3835" t="s">
        <v>6594</v>
      </c>
      <c r="JG9" s="3835" t="s">
        <v>6594</v>
      </c>
      <c r="JH9" s="3835" t="s">
        <v>6594</v>
      </c>
      <c r="JI9" s="3835" t="s">
        <v>6596</v>
      </c>
      <c r="JJ9" s="3835" t="s">
        <v>6596</v>
      </c>
      <c r="JK9" s="3835" t="s">
        <v>6596</v>
      </c>
      <c r="JL9" s="3835" t="s">
        <v>6596</v>
      </c>
      <c r="JM9" s="3835" t="s">
        <v>6596</v>
      </c>
      <c r="JN9" s="3835" t="s">
        <v>6597</v>
      </c>
      <c r="JO9" s="3835" t="s">
        <v>6597</v>
      </c>
      <c r="JP9" s="3835" t="s">
        <v>6597</v>
      </c>
      <c r="JQ9" s="3835" t="s">
        <v>6597</v>
      </c>
      <c r="JR9" s="3835" t="s">
        <v>6597</v>
      </c>
      <c r="JS9" s="3835" t="s">
        <v>6598</v>
      </c>
      <c r="JT9" s="3835" t="s">
        <v>6598</v>
      </c>
      <c r="JU9" s="3835" t="s">
        <v>6598</v>
      </c>
      <c r="JV9" s="3835" t="s">
        <v>6598</v>
      </c>
      <c r="JW9" s="3835" t="s">
        <v>6598</v>
      </c>
      <c r="JX9" s="3835" t="s">
        <v>6813</v>
      </c>
      <c r="JY9" s="3835" t="s">
        <v>6813</v>
      </c>
      <c r="JZ9" s="3835" t="s">
        <v>6813</v>
      </c>
      <c r="KA9" s="3835" t="s">
        <v>6813</v>
      </c>
      <c r="KB9" s="3835" t="s">
        <v>6813</v>
      </c>
      <c r="KC9" s="3835" t="s">
        <v>6830</v>
      </c>
      <c r="KD9" s="3835" t="s">
        <v>6830</v>
      </c>
      <c r="KE9" s="3835" t="s">
        <v>6830</v>
      </c>
      <c r="KF9" s="3835" t="s">
        <v>6830</v>
      </c>
      <c r="KG9" s="3835" t="s">
        <v>6830</v>
      </c>
      <c r="KH9" s="3835" t="s">
        <v>6831</v>
      </c>
      <c r="KI9" s="3835" t="s">
        <v>6831</v>
      </c>
      <c r="KJ9" s="3835" t="s">
        <v>6831</v>
      </c>
      <c r="KK9" s="3835" t="s">
        <v>6831</v>
      </c>
      <c r="KL9" s="3835" t="s">
        <v>6831</v>
      </c>
      <c r="KM9" s="3835" t="s">
        <v>6600</v>
      </c>
      <c r="KN9" s="3835" t="s">
        <v>6600</v>
      </c>
      <c r="KO9" s="3835" t="s">
        <v>6600</v>
      </c>
      <c r="KP9" s="3835" t="s">
        <v>6600</v>
      </c>
      <c r="KQ9" s="3835" t="s">
        <v>6600</v>
      </c>
      <c r="KR9" s="3835" t="s">
        <v>6814</v>
      </c>
      <c r="KS9" s="3835" t="s">
        <v>6814</v>
      </c>
      <c r="KT9" s="3835" t="s">
        <v>6814</v>
      </c>
      <c r="KU9" s="3835" t="s">
        <v>6814</v>
      </c>
      <c r="KV9" s="3835" t="s">
        <v>6814</v>
      </c>
      <c r="KW9" s="3835" t="s">
        <v>6832</v>
      </c>
      <c r="KX9" s="3835" t="s">
        <v>6832</v>
      </c>
      <c r="KY9" s="3835" t="s">
        <v>6832</v>
      </c>
      <c r="KZ9" s="3835" t="s">
        <v>6832</v>
      </c>
      <c r="LA9" s="3835" t="s">
        <v>6832</v>
      </c>
      <c r="LB9" s="3835" t="s">
        <v>6833</v>
      </c>
      <c r="LC9" s="3835" t="s">
        <v>6833</v>
      </c>
      <c r="LD9" s="3835" t="s">
        <v>6833</v>
      </c>
      <c r="LE9" s="3835" t="s">
        <v>6833</v>
      </c>
      <c r="LF9" s="3835" t="s">
        <v>6833</v>
      </c>
      <c r="LG9" s="3835"/>
      <c r="LH9" s="3835"/>
      <c r="LI9" s="3835"/>
      <c r="LJ9" s="3835"/>
      <c r="LK9" s="3835"/>
      <c r="LL9" s="3835"/>
      <c r="LM9" s="3835"/>
      <c r="LN9" s="3835"/>
      <c r="LO9" s="3835"/>
      <c r="LP9" s="3835"/>
      <c r="LQ9" s="3835"/>
      <c r="LR9" s="3835"/>
      <c r="LS9" s="3835"/>
      <c r="LT9" s="3835"/>
      <c r="LU9" s="3835"/>
      <c r="LV9" s="3835"/>
      <c r="LW9" s="3835"/>
      <c r="LX9" s="3835"/>
      <c r="LY9" s="3835"/>
      <c r="LZ9" s="3835"/>
      <c r="MA9" s="3835"/>
      <c r="MB9" s="3835"/>
      <c r="MC9" s="3835"/>
      <c r="MD9" s="3835"/>
      <c r="ME9" s="3835"/>
      <c r="MF9" s="3835"/>
      <c r="MG9" s="3835"/>
      <c r="MH9" s="3835"/>
      <c r="MI9" s="3835"/>
      <c r="MJ9" s="3835"/>
      <c r="MK9" s="3871"/>
      <c r="ML9" s="3871"/>
      <c r="MM9" s="3871"/>
      <c r="MN9" s="3871"/>
      <c r="MO9" s="3871"/>
      <c r="MP9" s="3835"/>
      <c r="MQ9" s="3835"/>
      <c r="MR9" s="3835"/>
      <c r="MS9" s="3835"/>
      <c r="MT9" s="3835"/>
      <c r="MU9" s="89"/>
      <c r="MV9" s="89"/>
      <c r="MW9" s="89"/>
      <c r="MX9" s="89"/>
      <c r="MY9" s="89"/>
      <c r="MZ9" s="89"/>
      <c r="NA9" s="89"/>
      <c r="NB9" s="89"/>
      <c r="NC9" s="89"/>
      <c r="ND9" s="89"/>
      <c r="NE9" s="89"/>
      <c r="NF9" s="89"/>
      <c r="NG9" s="89"/>
      <c r="NH9" s="89"/>
      <c r="NI9" s="89"/>
      <c r="NJ9" s="89"/>
      <c r="NK9" s="89"/>
      <c r="NL9" s="89"/>
      <c r="NM9" s="89"/>
      <c r="NN9" s="89"/>
      <c r="NO9" s="89"/>
      <c r="NP9" s="2856"/>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59"/>
      <c r="B10" s="1345" t="s">
        <v>4128</v>
      </c>
      <c r="C10" s="1401" t="s">
        <v>163</v>
      </c>
      <c r="D10" s="1401" t="s">
        <v>165</v>
      </c>
      <c r="E10" s="1401" t="s">
        <v>1418</v>
      </c>
      <c r="F10" s="1401" t="s">
        <v>1231</v>
      </c>
      <c r="G10" s="3865"/>
      <c r="H10" s="1401" t="s">
        <v>6310</v>
      </c>
      <c r="I10" s="3865"/>
      <c r="J10" s="3861"/>
      <c r="K10" s="431" t="s">
        <v>338</v>
      </c>
      <c r="L10" s="1401" t="s">
        <v>1469</v>
      </c>
      <c r="M10" s="1401" t="s">
        <v>513</v>
      </c>
      <c r="N10" s="1401" t="s">
        <v>1417</v>
      </c>
      <c r="O10" s="1401" t="s">
        <v>6829</v>
      </c>
      <c r="P10" s="3863"/>
      <c r="Q10" s="3886"/>
      <c r="R10" s="1401" t="s">
        <v>1419</v>
      </c>
      <c r="S10" s="1401" t="s">
        <v>2547</v>
      </c>
      <c r="T10" s="31" t="s">
        <v>1761</v>
      </c>
      <c r="W10" s="31"/>
      <c r="X10" s="3835"/>
      <c r="Y10" s="3835"/>
      <c r="Z10" s="3835"/>
      <c r="AA10" s="3835"/>
      <c r="AB10" s="3835"/>
      <c r="AC10" s="3835"/>
      <c r="AD10" s="3835"/>
      <c r="AE10" s="3835"/>
      <c r="AF10" s="3835"/>
      <c r="AG10" s="3835"/>
      <c r="AH10" s="3835"/>
      <c r="AI10" s="3835"/>
      <c r="AJ10" s="3835"/>
      <c r="AK10" s="3835"/>
      <c r="AL10" s="3835"/>
      <c r="AM10" s="3835"/>
      <c r="AN10" s="3835"/>
      <c r="AO10" s="3835"/>
      <c r="AP10" s="3835"/>
      <c r="AQ10" s="3835"/>
      <c r="AR10" s="3835"/>
      <c r="AS10" s="3835"/>
      <c r="AT10" s="3835"/>
      <c r="AU10" s="3835"/>
      <c r="AV10" s="3835"/>
      <c r="AW10" s="3835"/>
      <c r="AX10" s="3835"/>
      <c r="AY10" s="3835"/>
      <c r="AZ10" s="3835"/>
      <c r="BA10" s="3835"/>
      <c r="BB10" s="3835"/>
      <c r="BC10" s="3835"/>
      <c r="BD10" s="3835"/>
      <c r="BE10" s="3835"/>
      <c r="BF10" s="3835"/>
      <c r="BG10" s="3835"/>
      <c r="BH10" s="3835"/>
      <c r="BI10" s="3835"/>
      <c r="BJ10" s="3835"/>
      <c r="BK10" s="3835"/>
      <c r="BL10" s="3835"/>
      <c r="BM10" s="3835"/>
      <c r="BN10" s="3835"/>
      <c r="BO10" s="3835"/>
      <c r="BP10" s="3835"/>
      <c r="BQ10" s="3835"/>
      <c r="BR10" s="3835"/>
      <c r="BS10" s="3835"/>
      <c r="BT10" s="3835"/>
      <c r="BU10" s="3835"/>
      <c r="BV10" s="3835"/>
      <c r="BW10" s="3835"/>
      <c r="BX10" s="3835"/>
      <c r="BY10" s="3835"/>
      <c r="BZ10" s="3835"/>
      <c r="CA10" s="3835"/>
      <c r="CB10" s="3835"/>
      <c r="CC10" s="3835"/>
      <c r="CD10" s="3835"/>
      <c r="CE10" s="3835"/>
      <c r="CF10" s="3835"/>
      <c r="CG10" s="3835"/>
      <c r="CH10" s="3835"/>
      <c r="CI10" s="3835"/>
      <c r="CJ10" s="3835"/>
      <c r="CK10" s="3835"/>
      <c r="CL10" s="3835"/>
      <c r="CM10" s="3835"/>
      <c r="CN10" s="3835"/>
      <c r="CO10" s="3835"/>
      <c r="CP10" s="3835"/>
      <c r="CQ10" s="3835"/>
      <c r="CR10" s="3835"/>
      <c r="CS10" s="3835"/>
      <c r="CT10" s="3835"/>
      <c r="CU10" s="3835"/>
      <c r="CV10" s="3835"/>
      <c r="CW10" s="3835"/>
      <c r="CX10" s="3835"/>
      <c r="CY10" s="3835"/>
      <c r="CZ10" s="3835"/>
      <c r="DA10" s="3835"/>
      <c r="DB10" s="3835"/>
      <c r="DC10" s="3835"/>
      <c r="DD10" s="3835"/>
      <c r="DE10" s="3835"/>
      <c r="DF10" s="3835"/>
      <c r="DG10" s="3835"/>
      <c r="DH10" s="3835"/>
      <c r="DI10" s="3835"/>
      <c r="DJ10" s="3835"/>
      <c r="DK10" s="3835"/>
      <c r="DL10" s="3835"/>
      <c r="DM10" s="3835"/>
      <c r="DN10" s="3835"/>
      <c r="DO10" s="3835"/>
      <c r="DP10" s="3835"/>
      <c r="DQ10" s="3835"/>
      <c r="DR10" s="3835"/>
      <c r="DS10" s="3835"/>
      <c r="DT10" s="3835"/>
      <c r="DU10" s="3835"/>
      <c r="DV10" s="3835"/>
      <c r="DW10" s="3835"/>
      <c r="DX10" s="3835"/>
      <c r="DY10" s="3835"/>
      <c r="DZ10" s="3835"/>
      <c r="EA10" s="3835"/>
      <c r="EB10" s="3835"/>
      <c r="EC10" s="3835"/>
      <c r="ED10" s="3835"/>
      <c r="EE10" s="3835"/>
      <c r="EF10" s="3835"/>
      <c r="EG10" s="3835"/>
      <c r="EH10" s="3835"/>
      <c r="EI10" s="3835"/>
      <c r="EJ10" s="3835"/>
      <c r="EK10" s="3835"/>
      <c r="EL10" s="3835"/>
      <c r="EM10" s="3835"/>
      <c r="EN10" s="3835"/>
      <c r="EO10" s="3835"/>
      <c r="EP10" s="3835"/>
      <c r="EQ10" s="3835"/>
      <c r="ER10" s="3835"/>
      <c r="ES10" s="3835"/>
      <c r="ET10" s="3835"/>
      <c r="EU10" s="3835"/>
      <c r="EV10" s="3835"/>
      <c r="EW10" s="3835"/>
      <c r="EX10" s="3835"/>
      <c r="EY10" s="3835"/>
      <c r="EZ10" s="3835"/>
      <c r="FA10" s="3835"/>
      <c r="FB10" s="3835"/>
      <c r="FC10" s="3835"/>
      <c r="FD10" s="3835"/>
      <c r="FE10" s="3835"/>
      <c r="FF10" s="3835"/>
      <c r="FG10" s="3835"/>
      <c r="FH10" s="3835"/>
      <c r="FI10" s="3835"/>
      <c r="FJ10" s="3835"/>
      <c r="FK10" s="3835"/>
      <c r="FL10" s="3835"/>
      <c r="FM10" s="3835"/>
      <c r="FN10" s="3835"/>
      <c r="FO10" s="3835"/>
      <c r="FP10" s="3835"/>
      <c r="FQ10" s="3835"/>
      <c r="FR10" s="3835"/>
      <c r="FS10" s="3835"/>
      <c r="FT10" s="3835"/>
      <c r="FU10" s="3835"/>
      <c r="FV10" s="3835"/>
      <c r="FW10" s="3835"/>
      <c r="FX10" s="3835"/>
      <c r="FY10" s="3835"/>
      <c r="FZ10" s="3835"/>
      <c r="GA10" s="3835"/>
      <c r="GB10" s="3835"/>
      <c r="GC10" s="3835"/>
      <c r="GD10" s="3835"/>
      <c r="GE10" s="3835"/>
      <c r="GF10" s="3835"/>
      <c r="GG10" s="3835"/>
      <c r="GH10" s="3835"/>
      <c r="GI10" s="3835"/>
      <c r="GJ10" s="3835"/>
      <c r="GK10" s="3835"/>
      <c r="GL10" s="3835"/>
      <c r="GM10" s="3835"/>
      <c r="GN10" s="3835"/>
      <c r="GO10" s="3835"/>
      <c r="GP10" s="3835"/>
      <c r="GQ10" s="3835"/>
      <c r="GR10" s="3835"/>
      <c r="GS10" s="3835"/>
      <c r="GT10" s="3835"/>
      <c r="GU10" s="3835"/>
      <c r="GV10" s="3835"/>
      <c r="GW10" s="3835"/>
      <c r="GX10" s="3835"/>
      <c r="GY10" s="3835"/>
      <c r="GZ10" s="3835"/>
      <c r="HA10" s="3835"/>
      <c r="HB10" s="3835"/>
      <c r="HC10" s="3835"/>
      <c r="HD10" s="3835"/>
      <c r="HE10" s="3835"/>
      <c r="HF10" s="3835"/>
      <c r="HG10" s="3835"/>
      <c r="HH10" s="3835"/>
      <c r="HI10" s="3835"/>
      <c r="HJ10" s="3835"/>
      <c r="HK10" s="3835"/>
      <c r="HL10" s="3835"/>
      <c r="HM10" s="3835"/>
      <c r="HN10" s="3835"/>
      <c r="HO10" s="3835"/>
      <c r="HP10" s="3835"/>
      <c r="HQ10" s="3835"/>
      <c r="HR10" s="3835"/>
      <c r="HS10" s="3835"/>
      <c r="HT10" s="3835"/>
      <c r="HU10" s="3835"/>
      <c r="HV10" s="3835"/>
      <c r="HW10" s="3835"/>
      <c r="HX10" s="3835"/>
      <c r="HY10" s="3835"/>
      <c r="HZ10" s="3835"/>
      <c r="IA10" s="1812" t="s">
        <v>2383</v>
      </c>
      <c r="IB10" s="1812" t="s">
        <v>2383</v>
      </c>
      <c r="IC10" s="1812" t="s">
        <v>2383</v>
      </c>
      <c r="ID10" s="1812" t="s">
        <v>2383</v>
      </c>
      <c r="IE10" s="3835"/>
      <c r="IF10" s="3835"/>
      <c r="IG10" s="3835"/>
      <c r="IH10" s="3835"/>
      <c r="II10" s="3835"/>
      <c r="IJ10" s="3835"/>
      <c r="IK10" s="3835"/>
      <c r="IL10" s="3835"/>
      <c r="IM10" s="3835"/>
      <c r="IN10" s="3835"/>
      <c r="IO10" s="1812" t="s">
        <v>2385</v>
      </c>
      <c r="IP10" s="1812" t="s">
        <v>2385</v>
      </c>
      <c r="IQ10" s="1812" t="s">
        <v>2385</v>
      </c>
      <c r="IR10" s="1812" t="s">
        <v>2385</v>
      </c>
      <c r="IS10" s="1812" t="s">
        <v>2385</v>
      </c>
      <c r="IT10" s="1812" t="s">
        <v>3122</v>
      </c>
      <c r="IU10" s="1812" t="s">
        <v>3122</v>
      </c>
      <c r="IV10" s="1812" t="s">
        <v>3122</v>
      </c>
      <c r="IW10" s="1812" t="s">
        <v>3122</v>
      </c>
      <c r="IX10" s="1812" t="s">
        <v>3122</v>
      </c>
      <c r="IY10" s="3835"/>
      <c r="IZ10" s="3835"/>
      <c r="JA10" s="3835"/>
      <c r="JB10" s="3835"/>
      <c r="JC10" s="3835"/>
      <c r="JD10" s="3835"/>
      <c r="JE10" s="3835"/>
      <c r="JF10" s="3835"/>
      <c r="JG10" s="3835"/>
      <c r="JH10" s="3835"/>
      <c r="JI10" s="3835"/>
      <c r="JJ10" s="3835"/>
      <c r="JK10" s="3835"/>
      <c r="JL10" s="3835"/>
      <c r="JM10" s="3835"/>
      <c r="JN10" s="3835"/>
      <c r="JO10" s="3835"/>
      <c r="JP10" s="3835"/>
      <c r="JQ10" s="3835"/>
      <c r="JR10" s="3835"/>
      <c r="JS10" s="3835"/>
      <c r="JT10" s="3835"/>
      <c r="JU10" s="3835"/>
      <c r="JV10" s="3835"/>
      <c r="JW10" s="3835"/>
      <c r="JX10" s="3835"/>
      <c r="JY10" s="3835"/>
      <c r="JZ10" s="3835"/>
      <c r="KA10" s="3835"/>
      <c r="KB10" s="3835"/>
      <c r="KC10" s="3835"/>
      <c r="KD10" s="3835"/>
      <c r="KE10" s="3835"/>
      <c r="KF10" s="3835"/>
      <c r="KG10" s="3835"/>
      <c r="KH10" s="3835"/>
      <c r="KI10" s="3835"/>
      <c r="KJ10" s="3835"/>
      <c r="KK10" s="3835"/>
      <c r="KL10" s="3835"/>
      <c r="KM10" s="3835"/>
      <c r="KN10" s="3835"/>
      <c r="KO10" s="3835"/>
      <c r="KP10" s="3835"/>
      <c r="KQ10" s="3835"/>
      <c r="KR10" s="3835"/>
      <c r="KS10" s="3835"/>
      <c r="KT10" s="3835"/>
      <c r="KU10" s="3835"/>
      <c r="KV10" s="3835"/>
      <c r="KW10" s="3835"/>
      <c r="KX10" s="3835"/>
      <c r="KY10" s="3835"/>
      <c r="KZ10" s="3835"/>
      <c r="LA10" s="3835"/>
      <c r="LB10" s="3835"/>
      <c r="LC10" s="3835"/>
      <c r="LD10" s="3835"/>
      <c r="LE10" s="3835"/>
      <c r="LF10" s="3835"/>
      <c r="LG10" s="3835"/>
      <c r="LH10" s="3835"/>
      <c r="LI10" s="3835"/>
      <c r="LJ10" s="3835"/>
      <c r="LK10" s="3835"/>
      <c r="LL10" s="3835"/>
      <c r="LM10" s="3835"/>
      <c r="LN10" s="3835"/>
      <c r="LO10" s="3835"/>
      <c r="LP10" s="3835"/>
      <c r="LQ10" s="3835"/>
      <c r="LR10" s="3835"/>
      <c r="LS10" s="3835"/>
      <c r="LT10" s="3835"/>
      <c r="LU10" s="3835"/>
      <c r="LV10" s="3835"/>
      <c r="LW10" s="3835"/>
      <c r="LX10" s="3835"/>
      <c r="LY10" s="3835"/>
      <c r="LZ10" s="3835"/>
      <c r="MA10" s="3835"/>
      <c r="MB10" s="3835"/>
      <c r="MC10" s="3835"/>
      <c r="MD10" s="3835"/>
      <c r="ME10" s="3835"/>
      <c r="MF10" s="3835"/>
      <c r="MG10" s="3835"/>
      <c r="MH10" s="3835"/>
      <c r="MI10" s="3835"/>
      <c r="MJ10" s="3835"/>
      <c r="MK10" s="3871"/>
      <c r="ML10" s="3871"/>
      <c r="MM10" s="3871"/>
      <c r="MN10" s="3871"/>
      <c r="MO10" s="3871"/>
      <c r="MP10" s="3835"/>
      <c r="MQ10" s="3835"/>
      <c r="MR10" s="3835"/>
      <c r="MS10" s="3835"/>
      <c r="MT10" s="3835"/>
      <c r="MU10" s="89"/>
      <c r="MV10" s="89"/>
      <c r="MW10" s="89"/>
      <c r="MX10" s="89"/>
      <c r="MY10" s="89"/>
      <c r="MZ10" s="89"/>
      <c r="NA10" s="89"/>
      <c r="NB10" s="89"/>
      <c r="NC10" s="89"/>
      <c r="ND10" s="89"/>
      <c r="NE10" s="89"/>
      <c r="NF10" s="89"/>
      <c r="NG10" s="89"/>
      <c r="NH10" s="89"/>
      <c r="NI10" s="89"/>
      <c r="NJ10" s="89"/>
      <c r="NK10" s="89"/>
      <c r="NL10" s="89"/>
      <c r="NM10" s="89"/>
      <c r="NN10" s="89"/>
      <c r="NO10" s="89"/>
      <c r="NP10" s="2856"/>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7" t="s">
        <v>3830</v>
      </c>
      <c r="C11" s="2858"/>
      <c r="D11" s="2859"/>
      <c r="E11" s="2860"/>
      <c r="F11" s="2860"/>
      <c r="G11" s="2860"/>
      <c r="H11" s="2860"/>
      <c r="I11" s="2861"/>
      <c r="J11" s="2862"/>
      <c r="K11" s="2863"/>
      <c r="L11" s="536">
        <f t="shared" ref="L11:L48" si="0">MAX(0,H11-I11-J11)</f>
        <v>0</v>
      </c>
      <c r="M11" s="536">
        <f t="shared" ref="M11:M48" si="1">MAX(0,E11*L11)</f>
        <v>0</v>
      </c>
      <c r="N11" s="2864"/>
      <c r="O11" s="2865"/>
      <c r="P11" s="2864"/>
      <c r="Q11" s="2866"/>
      <c r="R11" s="2867"/>
      <c r="S11" s="2868"/>
      <c r="T11" s="3931"/>
      <c r="U11" s="3932"/>
      <c r="V11" s="3932"/>
      <c r="W11" s="3933"/>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5" t="s">
        <v>6720</v>
      </c>
    </row>
    <row r="12" spans="1:493" ht="13.9" customHeight="1">
      <c r="A12" s="108" t="str">
        <f t="shared" ref="A12:A48" si="327">IF(AND(E12&gt;0,OR(B12="",C12="",D12="",F12="",G12="", H12="",I12="",N12="",O12="",P12="",Q12="")),1,"")</f>
        <v/>
      </c>
      <c r="B12" s="2869" t="s">
        <v>3830</v>
      </c>
      <c r="C12" s="2870"/>
      <c r="D12" s="2871"/>
      <c r="E12" s="2872"/>
      <c r="F12" s="2872"/>
      <c r="G12" s="2872"/>
      <c r="H12" s="2872"/>
      <c r="I12" s="2872"/>
      <c r="J12" s="2873"/>
      <c r="K12" s="2874"/>
      <c r="L12" s="537">
        <f t="shared" si="0"/>
        <v>0</v>
      </c>
      <c r="M12" s="537">
        <f t="shared" si="1"/>
        <v>0</v>
      </c>
      <c r="N12" s="2713"/>
      <c r="O12" s="2875"/>
      <c r="P12" s="2713"/>
      <c r="Q12" s="2876"/>
      <c r="R12" s="2877"/>
      <c r="S12" s="2878"/>
      <c r="T12" s="3838"/>
      <c r="U12" s="3839"/>
      <c r="V12" s="3839"/>
      <c r="W12" s="3840"/>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5" t="s">
        <v>6721</v>
      </c>
    </row>
    <row r="13" spans="1:493" ht="13.9" customHeight="1">
      <c r="A13" s="108" t="str">
        <f t="shared" si="327"/>
        <v/>
      </c>
      <c r="B13" s="2869" t="s">
        <v>292</v>
      </c>
      <c r="C13" s="2870"/>
      <c r="D13" s="2871"/>
      <c r="E13" s="2872"/>
      <c r="F13" s="2872"/>
      <c r="G13" s="2872"/>
      <c r="H13" s="2872"/>
      <c r="I13" s="2872"/>
      <c r="J13" s="2873"/>
      <c r="K13" s="2874"/>
      <c r="L13" s="537">
        <f t="shared" si="0"/>
        <v>0</v>
      </c>
      <c r="M13" s="537">
        <f t="shared" si="1"/>
        <v>0</v>
      </c>
      <c r="N13" s="2713"/>
      <c r="O13" s="2875"/>
      <c r="P13" s="2713"/>
      <c r="Q13" s="2876"/>
      <c r="R13" s="2877"/>
      <c r="S13" s="2878"/>
      <c r="T13" s="3838"/>
      <c r="U13" s="3839"/>
      <c r="V13" s="3839"/>
      <c r="W13" s="3840"/>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5" t="s">
        <v>6722</v>
      </c>
    </row>
    <row r="14" spans="1:493" ht="13.9" customHeight="1">
      <c r="A14" s="108" t="str">
        <f t="shared" si="327"/>
        <v/>
      </c>
      <c r="B14" s="2869" t="s">
        <v>292</v>
      </c>
      <c r="C14" s="2870"/>
      <c r="D14" s="2871"/>
      <c r="E14" s="2872"/>
      <c r="F14" s="2872"/>
      <c r="G14" s="2872"/>
      <c r="H14" s="2872"/>
      <c r="I14" s="2872"/>
      <c r="J14" s="2873"/>
      <c r="K14" s="2874"/>
      <c r="L14" s="537">
        <f t="shared" si="0"/>
        <v>0</v>
      </c>
      <c r="M14" s="537">
        <f t="shared" si="1"/>
        <v>0</v>
      </c>
      <c r="N14" s="2713"/>
      <c r="O14" s="2875"/>
      <c r="P14" s="2713"/>
      <c r="Q14" s="2876"/>
      <c r="R14" s="2877"/>
      <c r="S14" s="2878"/>
      <c r="T14" s="3838"/>
      <c r="U14" s="3839"/>
      <c r="V14" s="3839"/>
      <c r="W14" s="3840"/>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5" t="s">
        <v>6723</v>
      </c>
    </row>
    <row r="15" spans="1:493" ht="13.9" customHeight="1">
      <c r="A15" s="108" t="str">
        <f t="shared" si="327"/>
        <v/>
      </c>
      <c r="B15" s="2869" t="s">
        <v>292</v>
      </c>
      <c r="C15" s="2870"/>
      <c r="D15" s="2871"/>
      <c r="E15" s="2872"/>
      <c r="F15" s="2872"/>
      <c r="G15" s="2872"/>
      <c r="H15" s="2872"/>
      <c r="I15" s="2872"/>
      <c r="J15" s="2873"/>
      <c r="K15" s="2874"/>
      <c r="L15" s="537">
        <f t="shared" si="0"/>
        <v>0</v>
      </c>
      <c r="M15" s="537">
        <f t="shared" si="1"/>
        <v>0</v>
      </c>
      <c r="N15" s="2713"/>
      <c r="O15" s="2875"/>
      <c r="P15" s="2713"/>
      <c r="Q15" s="2876"/>
      <c r="R15" s="2877"/>
      <c r="S15" s="2878"/>
      <c r="T15" s="3838"/>
      <c r="U15" s="3839"/>
      <c r="V15" s="3839"/>
      <c r="W15" s="3840"/>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5" t="s">
        <v>6724</v>
      </c>
    </row>
    <row r="16" spans="1:493" ht="13.9" customHeight="1">
      <c r="A16" s="108" t="str">
        <f t="shared" si="327"/>
        <v/>
      </c>
      <c r="B16" s="2869" t="s">
        <v>292</v>
      </c>
      <c r="C16" s="2870"/>
      <c r="D16" s="2871"/>
      <c r="E16" s="2872"/>
      <c r="F16" s="2872"/>
      <c r="G16" s="2872"/>
      <c r="H16" s="2872"/>
      <c r="I16" s="2872"/>
      <c r="J16" s="2873"/>
      <c r="K16" s="2874"/>
      <c r="L16" s="537">
        <f t="shared" si="0"/>
        <v>0</v>
      </c>
      <c r="M16" s="537">
        <f t="shared" si="1"/>
        <v>0</v>
      </c>
      <c r="N16" s="2713"/>
      <c r="O16" s="2875"/>
      <c r="P16" s="2713"/>
      <c r="Q16" s="2876"/>
      <c r="R16" s="2877"/>
      <c r="S16" s="2878"/>
      <c r="T16" s="3838"/>
      <c r="U16" s="3839"/>
      <c r="V16" s="3839"/>
      <c r="W16" s="3840"/>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5" t="s">
        <v>6725</v>
      </c>
    </row>
    <row r="17" spans="1:380" ht="13.9" customHeight="1" thickBot="1">
      <c r="A17" s="108" t="str">
        <f t="shared" si="327"/>
        <v/>
      </c>
      <c r="B17" s="2879" t="s">
        <v>292</v>
      </c>
      <c r="C17" s="2880"/>
      <c r="D17" s="2881"/>
      <c r="E17" s="2882"/>
      <c r="F17" s="2882"/>
      <c r="G17" s="2882"/>
      <c r="H17" s="2882"/>
      <c r="I17" s="2882"/>
      <c r="J17" s="2883"/>
      <c r="K17" s="2884"/>
      <c r="L17" s="1189">
        <f t="shared" si="0"/>
        <v>0</v>
      </c>
      <c r="M17" s="1189">
        <f t="shared" si="1"/>
        <v>0</v>
      </c>
      <c r="N17" s="2885"/>
      <c r="O17" s="2886"/>
      <c r="P17" s="2885"/>
      <c r="Q17" s="2887"/>
      <c r="R17" s="2877"/>
      <c r="S17" s="2878"/>
      <c r="T17" s="3838"/>
      <c r="U17" s="3839"/>
      <c r="V17" s="3839"/>
      <c r="W17" s="3840"/>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5" t="s">
        <v>6726</v>
      </c>
    </row>
    <row r="18" spans="1:380" ht="13.9" customHeight="1">
      <c r="A18" s="108" t="str">
        <f t="shared" si="327"/>
        <v/>
      </c>
      <c r="B18" s="2888">
        <v>50</v>
      </c>
      <c r="C18" s="2889">
        <v>1</v>
      </c>
      <c r="D18" s="2890">
        <v>1</v>
      </c>
      <c r="E18" s="2891">
        <v>6</v>
      </c>
      <c r="F18" s="2891">
        <v>830</v>
      </c>
      <c r="G18" s="2891">
        <v>675</v>
      </c>
      <c r="H18" s="2891">
        <v>619</v>
      </c>
      <c r="I18" s="2891">
        <v>0</v>
      </c>
      <c r="J18" s="2892">
        <f>IF(C18="",0,HLOOKUP(C18,'Part V-Utility Allowances'!$I$11:$M$22,12))</f>
        <v>94</v>
      </c>
      <c r="K18" s="2893"/>
      <c r="L18" s="1188">
        <f t="shared" si="0"/>
        <v>525</v>
      </c>
      <c r="M18" s="1188">
        <f t="shared" si="1"/>
        <v>3150</v>
      </c>
      <c r="N18" s="2894" t="s">
        <v>2773</v>
      </c>
      <c r="O18" s="2895" t="s">
        <v>6599</v>
      </c>
      <c r="P18" s="2894" t="s">
        <v>2193</v>
      </c>
      <c r="Q18" s="2896" t="s">
        <v>2773</v>
      </c>
      <c r="R18" s="2877"/>
      <c r="S18" s="2878"/>
      <c r="T18" s="3838"/>
      <c r="U18" s="3839"/>
      <c r="V18" s="3839"/>
      <c r="W18" s="3840"/>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6</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4980</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6</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6</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f t="shared" si="258"/>
        <v>6</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6</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5" t="s">
        <v>6727</v>
      </c>
    </row>
    <row r="19" spans="1:380" ht="13.9" customHeight="1">
      <c r="A19" s="108" t="str">
        <f t="shared" si="327"/>
        <v/>
      </c>
      <c r="B19" s="2897">
        <v>50</v>
      </c>
      <c r="C19" s="2870">
        <v>2</v>
      </c>
      <c r="D19" s="2871">
        <v>2</v>
      </c>
      <c r="E19" s="2872">
        <v>9</v>
      </c>
      <c r="F19" s="2872">
        <v>1083</v>
      </c>
      <c r="G19" s="2872">
        <v>810</v>
      </c>
      <c r="H19" s="2872">
        <v>736</v>
      </c>
      <c r="I19" s="2891">
        <v>0</v>
      </c>
      <c r="J19" s="2898">
        <f>IF(C19="",0,HLOOKUP(C19,'Part V-Utility Allowances'!$I$11:$M$22,12))</f>
        <v>121</v>
      </c>
      <c r="K19" s="2874"/>
      <c r="L19" s="537">
        <f t="shared" si="0"/>
        <v>615</v>
      </c>
      <c r="M19" s="537">
        <f t="shared" si="1"/>
        <v>5535</v>
      </c>
      <c r="N19" s="2894" t="s">
        <v>2773</v>
      </c>
      <c r="O19" s="2895" t="s">
        <v>6599</v>
      </c>
      <c r="P19" s="2894" t="s">
        <v>2193</v>
      </c>
      <c r="Q19" s="2896" t="s">
        <v>2773</v>
      </c>
      <c r="R19" s="2877"/>
      <c r="S19" s="2878"/>
      <c r="T19" s="3838"/>
      <c r="U19" s="3839"/>
      <c r="V19" s="3839"/>
      <c r="W19" s="3840"/>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t="str">
        <f t="shared" si="18"/>
        <v/>
      </c>
      <c r="AO19" s="430">
        <f t="shared" si="19"/>
        <v>9</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t="str">
        <f t="shared" si="133"/>
        <v/>
      </c>
      <c r="EZ19" s="430">
        <f t="shared" si="134"/>
        <v>9747</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9</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t="str">
        <f t="shared" si="213"/>
        <v/>
      </c>
      <c r="IB19" s="1814">
        <f t="shared" si="214"/>
        <v>9</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f t="shared" si="259"/>
        <v>9</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0</v>
      </c>
      <c r="MM19" s="1815">
        <f t="shared" si="335"/>
        <v>9</v>
      </c>
      <c r="MN19" s="1815">
        <f t="shared" si="336"/>
        <v>0</v>
      </c>
      <c r="MO19" s="1815">
        <f t="shared" si="337"/>
        <v>0</v>
      </c>
      <c r="MP19" s="1815">
        <f t="shared" si="322"/>
        <v>0</v>
      </c>
      <c r="MQ19" s="1815">
        <f t="shared" si="323"/>
        <v>0</v>
      </c>
      <c r="MR19" s="1815">
        <f t="shared" si="324"/>
        <v>0</v>
      </c>
      <c r="MS19" s="1815">
        <f t="shared" si="325"/>
        <v>0</v>
      </c>
      <c r="MT19" s="1815">
        <f t="shared" si="326"/>
        <v>0</v>
      </c>
      <c r="NP19" s="2805" t="s">
        <v>6728</v>
      </c>
    </row>
    <row r="20" spans="1:380" ht="13.9" customHeight="1">
      <c r="A20" s="108" t="str">
        <f t="shared" si="327"/>
        <v/>
      </c>
      <c r="B20" s="2897">
        <v>50</v>
      </c>
      <c r="C20" s="2870">
        <v>3</v>
      </c>
      <c r="D20" s="2871">
        <v>2</v>
      </c>
      <c r="E20" s="2872">
        <v>4</v>
      </c>
      <c r="F20" s="2872">
        <v>1301</v>
      </c>
      <c r="G20" s="2872">
        <v>936</v>
      </c>
      <c r="H20" s="2872">
        <v>849</v>
      </c>
      <c r="I20" s="2891">
        <v>0</v>
      </c>
      <c r="J20" s="2898">
        <f>IF(C20="",0,HLOOKUP(C20,'Part V-Utility Allowances'!$I$11:$M$22,12))</f>
        <v>149</v>
      </c>
      <c r="K20" s="2874"/>
      <c r="L20" s="537">
        <f t="shared" si="0"/>
        <v>700</v>
      </c>
      <c r="M20" s="537">
        <f t="shared" si="1"/>
        <v>2800</v>
      </c>
      <c r="N20" s="2894" t="s">
        <v>2773</v>
      </c>
      <c r="O20" s="2895" t="s">
        <v>6599</v>
      </c>
      <c r="P20" s="2894" t="s">
        <v>2193</v>
      </c>
      <c r="Q20" s="2896" t="s">
        <v>2773</v>
      </c>
      <c r="R20" s="2877"/>
      <c r="S20" s="2878"/>
      <c r="T20" s="3838"/>
      <c r="U20" s="3839"/>
      <c r="V20" s="3839"/>
      <c r="W20" s="3840"/>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f t="shared" si="20"/>
        <v>4</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f t="shared" si="135"/>
        <v>5204</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f t="shared" si="170"/>
        <v>4</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t="str">
        <f t="shared" si="214"/>
        <v/>
      </c>
      <c r="IC20" s="1814">
        <f t="shared" si="215"/>
        <v>4</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f t="shared" si="260"/>
        <v>4</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0</v>
      </c>
      <c r="MN20" s="1815">
        <f t="shared" si="336"/>
        <v>4</v>
      </c>
      <c r="MO20" s="1815">
        <f t="shared" si="337"/>
        <v>0</v>
      </c>
      <c r="MP20" s="1815">
        <f t="shared" si="322"/>
        <v>0</v>
      </c>
      <c r="MQ20" s="1815">
        <f t="shared" si="323"/>
        <v>0</v>
      </c>
      <c r="MR20" s="1815">
        <f t="shared" si="324"/>
        <v>0</v>
      </c>
      <c r="MS20" s="1815">
        <f t="shared" si="325"/>
        <v>0</v>
      </c>
      <c r="MT20" s="1815">
        <f t="shared" si="326"/>
        <v>0</v>
      </c>
      <c r="NP20" s="2805" t="s">
        <v>6729</v>
      </c>
    </row>
    <row r="21" spans="1:380" ht="13.9" customHeight="1">
      <c r="A21" s="108" t="str">
        <f t="shared" si="327"/>
        <v/>
      </c>
      <c r="B21" s="2897">
        <v>60</v>
      </c>
      <c r="C21" s="2870">
        <v>1</v>
      </c>
      <c r="D21" s="2890">
        <v>1</v>
      </c>
      <c r="E21" s="2872">
        <v>4</v>
      </c>
      <c r="F21" s="2891">
        <v>830</v>
      </c>
      <c r="G21" s="2872">
        <v>810</v>
      </c>
      <c r="H21" s="2872">
        <v>649</v>
      </c>
      <c r="I21" s="2891">
        <v>0</v>
      </c>
      <c r="J21" s="2898">
        <f>IF(C21="",0,HLOOKUP(C21,'Part V-Utility Allowances'!$I$11:$M$22,12))</f>
        <v>94</v>
      </c>
      <c r="K21" s="2874"/>
      <c r="L21" s="537">
        <f t="shared" si="0"/>
        <v>555</v>
      </c>
      <c r="M21" s="537">
        <f t="shared" si="1"/>
        <v>2220</v>
      </c>
      <c r="N21" s="2894" t="s">
        <v>2773</v>
      </c>
      <c r="O21" s="2895" t="s">
        <v>6599</v>
      </c>
      <c r="P21" s="2894" t="s">
        <v>2193</v>
      </c>
      <c r="Q21" s="2896" t="s">
        <v>2773</v>
      </c>
      <c r="R21" s="2877"/>
      <c r="S21" s="2878"/>
      <c r="T21" s="3838"/>
      <c r="U21" s="3839"/>
      <c r="V21" s="3839"/>
      <c r="W21" s="3840"/>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f t="shared" si="13"/>
        <v>4</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f t="shared" si="128"/>
        <v>3320</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f t="shared" si="168"/>
        <v>4</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f t="shared" si="213"/>
        <v>4</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f t="shared" si="258"/>
        <v>4</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4</v>
      </c>
      <c r="MM21" s="1815">
        <f t="shared" si="335"/>
        <v>0</v>
      </c>
      <c r="MN21" s="1815">
        <f t="shared" si="336"/>
        <v>0</v>
      </c>
      <c r="MO21" s="1815">
        <f t="shared" si="337"/>
        <v>0</v>
      </c>
      <c r="MP21" s="1815">
        <f t="shared" si="322"/>
        <v>0</v>
      </c>
      <c r="MQ21" s="1815">
        <f t="shared" si="323"/>
        <v>0</v>
      </c>
      <c r="MR21" s="1815">
        <f t="shared" si="324"/>
        <v>0</v>
      </c>
      <c r="MS21" s="1815">
        <f t="shared" si="325"/>
        <v>0</v>
      </c>
      <c r="MT21" s="1815">
        <f t="shared" si="326"/>
        <v>0</v>
      </c>
      <c r="NP21" s="2805" t="s">
        <v>6730</v>
      </c>
    </row>
    <row r="22" spans="1:380" ht="13.9" customHeight="1">
      <c r="A22" s="108" t="str">
        <f t="shared" si="327"/>
        <v/>
      </c>
      <c r="B22" s="2897">
        <v>60</v>
      </c>
      <c r="C22" s="2870">
        <v>2</v>
      </c>
      <c r="D22" s="2871">
        <v>2</v>
      </c>
      <c r="E22" s="2872">
        <v>13</v>
      </c>
      <c r="F22" s="2872">
        <v>1083</v>
      </c>
      <c r="G22" s="2872">
        <v>972</v>
      </c>
      <c r="H22" s="2872">
        <v>766</v>
      </c>
      <c r="I22" s="2891">
        <v>0</v>
      </c>
      <c r="J22" s="2898">
        <f>IF(C22="",0,HLOOKUP(C22,'Part V-Utility Allowances'!$I$11:$M$22,12))</f>
        <v>121</v>
      </c>
      <c r="K22" s="2874"/>
      <c r="L22" s="537">
        <f t="shared" si="0"/>
        <v>645</v>
      </c>
      <c r="M22" s="537">
        <f t="shared" si="1"/>
        <v>8385</v>
      </c>
      <c r="N22" s="2894" t="s">
        <v>2773</v>
      </c>
      <c r="O22" s="2895" t="s">
        <v>6599</v>
      </c>
      <c r="P22" s="2894" t="s">
        <v>2193</v>
      </c>
      <c r="Q22" s="2896" t="s">
        <v>2773</v>
      </c>
      <c r="R22" s="2877"/>
      <c r="S22" s="2878"/>
      <c r="T22" s="3838"/>
      <c r="U22" s="3839"/>
      <c r="V22" s="3839"/>
      <c r="W22" s="3840"/>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13</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14079</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13</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f t="shared" si="214"/>
        <v>13</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f t="shared" si="259"/>
        <v>13</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13</v>
      </c>
      <c r="MN22" s="1815">
        <f t="shared" si="336"/>
        <v>0</v>
      </c>
      <c r="MO22" s="1815">
        <f t="shared" si="337"/>
        <v>0</v>
      </c>
      <c r="MP22" s="1815">
        <f t="shared" si="322"/>
        <v>0</v>
      </c>
      <c r="MQ22" s="1815">
        <f t="shared" si="323"/>
        <v>0</v>
      </c>
      <c r="MR22" s="1815">
        <f t="shared" si="324"/>
        <v>0</v>
      </c>
      <c r="MS22" s="1815">
        <f t="shared" si="325"/>
        <v>0</v>
      </c>
      <c r="MT22" s="1815">
        <f t="shared" si="326"/>
        <v>0</v>
      </c>
      <c r="NP22" s="2805" t="s">
        <v>6731</v>
      </c>
    </row>
    <row r="23" spans="1:380" ht="13.9" customHeight="1">
      <c r="A23" s="108" t="str">
        <f t="shared" si="327"/>
        <v/>
      </c>
      <c r="B23" s="2897">
        <v>60</v>
      </c>
      <c r="C23" s="2870">
        <v>3</v>
      </c>
      <c r="D23" s="2871">
        <v>2</v>
      </c>
      <c r="E23" s="2872">
        <v>6</v>
      </c>
      <c r="F23" s="2872">
        <v>1301</v>
      </c>
      <c r="G23" s="2872">
        <v>1123</v>
      </c>
      <c r="H23" s="2872">
        <v>874</v>
      </c>
      <c r="I23" s="2891">
        <v>0</v>
      </c>
      <c r="J23" s="2898">
        <f>IF(C23="",0,HLOOKUP(C23,'Part V-Utility Allowances'!$I$11:$M$22,12))</f>
        <v>149</v>
      </c>
      <c r="K23" s="2874"/>
      <c r="L23" s="537">
        <f t="shared" si="0"/>
        <v>725</v>
      </c>
      <c r="M23" s="537">
        <f t="shared" si="1"/>
        <v>4350</v>
      </c>
      <c r="N23" s="2894" t="s">
        <v>2773</v>
      </c>
      <c r="O23" s="2895" t="s">
        <v>6599</v>
      </c>
      <c r="P23" s="2894" t="s">
        <v>2193</v>
      </c>
      <c r="Q23" s="2896" t="s">
        <v>2773</v>
      </c>
      <c r="R23" s="2877"/>
      <c r="S23" s="2878"/>
      <c r="T23" s="3838"/>
      <c r="U23" s="3839"/>
      <c r="V23" s="3839"/>
      <c r="W23" s="3840"/>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f t="shared" si="15"/>
        <v>6</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f t="shared" si="130"/>
        <v>7806</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f t="shared" si="170"/>
        <v>6</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f t="shared" si="215"/>
        <v>6</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f t="shared" si="260"/>
        <v>6</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6</v>
      </c>
      <c r="MO23" s="1815">
        <f t="shared" si="337"/>
        <v>0</v>
      </c>
      <c r="MP23" s="1815">
        <f t="shared" si="322"/>
        <v>0</v>
      </c>
      <c r="MQ23" s="1815">
        <f t="shared" si="323"/>
        <v>0</v>
      </c>
      <c r="MR23" s="1815">
        <f t="shared" si="324"/>
        <v>0</v>
      </c>
      <c r="MS23" s="1815">
        <f t="shared" si="325"/>
        <v>0</v>
      </c>
      <c r="MT23" s="1815">
        <f t="shared" si="326"/>
        <v>0</v>
      </c>
      <c r="NP23" s="2805" t="s">
        <v>6732</v>
      </c>
    </row>
    <row r="24" spans="1:380" ht="13.9" customHeight="1">
      <c r="A24" s="108" t="str">
        <f t="shared" si="327"/>
        <v/>
      </c>
      <c r="B24" s="2897">
        <v>70</v>
      </c>
      <c r="C24" s="2870">
        <v>1</v>
      </c>
      <c r="D24" s="2890">
        <v>1</v>
      </c>
      <c r="E24" s="2872">
        <v>2</v>
      </c>
      <c r="F24" s="2891">
        <v>830</v>
      </c>
      <c r="G24" s="2872">
        <v>945</v>
      </c>
      <c r="H24" s="2872">
        <v>679</v>
      </c>
      <c r="I24" s="2891">
        <v>0</v>
      </c>
      <c r="J24" s="2898">
        <f>IF(C24="",0,HLOOKUP(C24,'Part V-Utility Allowances'!$I$11:$M$22,12))</f>
        <v>94</v>
      </c>
      <c r="K24" s="2874"/>
      <c r="L24" s="537">
        <f t="shared" si="0"/>
        <v>585</v>
      </c>
      <c r="M24" s="537">
        <f t="shared" si="1"/>
        <v>1170</v>
      </c>
      <c r="N24" s="2894" t="s">
        <v>2773</v>
      </c>
      <c r="O24" s="2895" t="s">
        <v>6599</v>
      </c>
      <c r="P24" s="2894" t="s">
        <v>2193</v>
      </c>
      <c r="Q24" s="2896" t="s">
        <v>2773</v>
      </c>
      <c r="R24" s="2877"/>
      <c r="S24" s="2878"/>
      <c r="T24" s="3838"/>
      <c r="U24" s="3839"/>
      <c r="V24" s="3839"/>
      <c r="W24" s="3840"/>
      <c r="X24" s="430" t="str">
        <f t="shared" si="2"/>
        <v/>
      </c>
      <c r="Y24" s="430" t="str">
        <f t="shared" si="3"/>
        <v/>
      </c>
      <c r="Z24" s="430" t="str">
        <f t="shared" si="4"/>
        <v/>
      </c>
      <c r="AA24" s="430" t="str">
        <f t="shared" si="5"/>
        <v/>
      </c>
      <c r="AB24" s="430" t="str">
        <f t="shared" si="6"/>
        <v/>
      </c>
      <c r="AC24" s="430" t="str">
        <f t="shared" si="7"/>
        <v/>
      </c>
      <c r="AD24" s="430">
        <f t="shared" si="8"/>
        <v>2</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f t="shared" si="123"/>
        <v>1660</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f t="shared" si="168"/>
        <v>2</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f t="shared" si="213"/>
        <v>2</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f t="shared" si="258"/>
        <v>2</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2</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5" t="s">
        <v>6733</v>
      </c>
    </row>
    <row r="25" spans="1:380" ht="13.9" customHeight="1">
      <c r="A25" s="108" t="str">
        <f t="shared" si="327"/>
        <v/>
      </c>
      <c r="B25" s="2897">
        <v>70</v>
      </c>
      <c r="C25" s="2870">
        <v>2</v>
      </c>
      <c r="D25" s="2871">
        <v>2</v>
      </c>
      <c r="E25" s="2872">
        <v>2</v>
      </c>
      <c r="F25" s="2872">
        <v>1083</v>
      </c>
      <c r="G25" s="2872">
        <v>1134</v>
      </c>
      <c r="H25" s="2872">
        <v>796</v>
      </c>
      <c r="I25" s="2891">
        <v>0</v>
      </c>
      <c r="J25" s="2898">
        <f>IF(C25="",0,HLOOKUP(C25,'Part V-Utility Allowances'!$I$11:$M$22,12))</f>
        <v>121</v>
      </c>
      <c r="K25" s="2874"/>
      <c r="L25" s="537">
        <f t="shared" si="0"/>
        <v>675</v>
      </c>
      <c r="M25" s="537">
        <f t="shared" si="1"/>
        <v>1350</v>
      </c>
      <c r="N25" s="2894" t="s">
        <v>2773</v>
      </c>
      <c r="O25" s="2895" t="s">
        <v>6599</v>
      </c>
      <c r="P25" s="2894" t="s">
        <v>2193</v>
      </c>
      <c r="Q25" s="2896" t="s">
        <v>2773</v>
      </c>
      <c r="R25" s="2877"/>
      <c r="S25" s="2878"/>
      <c r="T25" s="3838"/>
      <c r="U25" s="3839"/>
      <c r="V25" s="3839"/>
      <c r="W25" s="3840"/>
      <c r="X25" s="430" t="str">
        <f t="shared" si="2"/>
        <v/>
      </c>
      <c r="Y25" s="430" t="str">
        <f t="shared" si="3"/>
        <v/>
      </c>
      <c r="Z25" s="430" t="str">
        <f t="shared" si="4"/>
        <v/>
      </c>
      <c r="AA25" s="430" t="str">
        <f t="shared" si="5"/>
        <v/>
      </c>
      <c r="AB25" s="430" t="str">
        <f t="shared" si="6"/>
        <v/>
      </c>
      <c r="AC25" s="430" t="str">
        <f t="shared" si="7"/>
        <v/>
      </c>
      <c r="AD25" s="430" t="str">
        <f t="shared" si="8"/>
        <v/>
      </c>
      <c r="AE25" s="430">
        <f t="shared" si="9"/>
        <v>2</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f t="shared" si="124"/>
        <v>2166</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f t="shared" si="169"/>
        <v>2</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f t="shared" si="214"/>
        <v>2</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f t="shared" si="259"/>
        <v>2</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2</v>
      </c>
      <c r="MN25" s="1815">
        <f t="shared" si="336"/>
        <v>0</v>
      </c>
      <c r="MO25" s="1815">
        <f t="shared" si="337"/>
        <v>0</v>
      </c>
      <c r="MP25" s="1815">
        <f t="shared" si="322"/>
        <v>0</v>
      </c>
      <c r="MQ25" s="1815">
        <f t="shared" si="323"/>
        <v>0</v>
      </c>
      <c r="MR25" s="1815">
        <f t="shared" si="324"/>
        <v>0</v>
      </c>
      <c r="MS25" s="1815">
        <f t="shared" si="325"/>
        <v>0</v>
      </c>
      <c r="MT25" s="1815">
        <f t="shared" si="326"/>
        <v>0</v>
      </c>
      <c r="NP25" s="2805" t="s">
        <v>6734</v>
      </c>
    </row>
    <row r="26" spans="1:380" ht="13.9" customHeight="1">
      <c r="A26" s="108" t="str">
        <f t="shared" si="327"/>
        <v/>
      </c>
      <c r="B26" s="2897">
        <v>70</v>
      </c>
      <c r="C26" s="2870">
        <v>3</v>
      </c>
      <c r="D26" s="2871">
        <v>2</v>
      </c>
      <c r="E26" s="2872">
        <v>2</v>
      </c>
      <c r="F26" s="2872">
        <v>1301</v>
      </c>
      <c r="G26" s="2872">
        <v>1310</v>
      </c>
      <c r="H26" s="2872">
        <v>899</v>
      </c>
      <c r="I26" s="2891">
        <v>0</v>
      </c>
      <c r="J26" s="2898">
        <f>IF(C26="",0,HLOOKUP(C26,'Part V-Utility Allowances'!$I$11:$M$22,12))</f>
        <v>149</v>
      </c>
      <c r="K26" s="2874"/>
      <c r="L26" s="537">
        <f t="shared" si="0"/>
        <v>750</v>
      </c>
      <c r="M26" s="537">
        <f t="shared" si="1"/>
        <v>1500</v>
      </c>
      <c r="N26" s="2894" t="s">
        <v>2773</v>
      </c>
      <c r="O26" s="2895" t="s">
        <v>6599</v>
      </c>
      <c r="P26" s="2894" t="s">
        <v>2193</v>
      </c>
      <c r="Q26" s="2896" t="s">
        <v>2773</v>
      </c>
      <c r="R26" s="2877"/>
      <c r="S26" s="2878"/>
      <c r="T26" s="3838"/>
      <c r="U26" s="3839"/>
      <c r="V26" s="3839"/>
      <c r="W26" s="3840"/>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f t="shared" si="10"/>
        <v>2</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f t="shared" si="125"/>
        <v>2602</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f t="shared" si="170"/>
        <v>2</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f t="shared" si="215"/>
        <v>2</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f t="shared" si="260"/>
        <v>2</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2</v>
      </c>
      <c r="MO26" s="1815">
        <f t="shared" si="337"/>
        <v>0</v>
      </c>
      <c r="MP26" s="1815">
        <f t="shared" si="322"/>
        <v>0</v>
      </c>
      <c r="MQ26" s="1815">
        <f t="shared" si="323"/>
        <v>0</v>
      </c>
      <c r="MR26" s="1815">
        <f t="shared" si="324"/>
        <v>0</v>
      </c>
      <c r="MS26" s="1815">
        <f t="shared" si="325"/>
        <v>0</v>
      </c>
      <c r="MT26" s="1815">
        <f t="shared" si="326"/>
        <v>0</v>
      </c>
      <c r="NP26" s="2805" t="s">
        <v>6735</v>
      </c>
    </row>
    <row r="27" spans="1:380" ht="13.9" customHeight="1">
      <c r="A27" s="108" t="str">
        <f t="shared" si="327"/>
        <v/>
      </c>
      <c r="B27" s="2897"/>
      <c r="C27" s="2870"/>
      <c r="D27" s="2871"/>
      <c r="E27" s="2872"/>
      <c r="F27" s="2872"/>
      <c r="G27" s="2872"/>
      <c r="H27" s="2872"/>
      <c r="I27" s="2872"/>
      <c r="J27" s="2898">
        <f>IF(C27="",0,HLOOKUP(C27,'Part V-Utility Allowances'!$I$11:$M$22,12))</f>
        <v>0</v>
      </c>
      <c r="K27" s="2874"/>
      <c r="L27" s="537">
        <f t="shared" si="0"/>
        <v>0</v>
      </c>
      <c r="M27" s="537">
        <f t="shared" si="1"/>
        <v>0</v>
      </c>
      <c r="N27" s="2713"/>
      <c r="O27" s="2875"/>
      <c r="P27" s="2713"/>
      <c r="Q27" s="2876"/>
      <c r="R27" s="2877"/>
      <c r="S27" s="2878"/>
      <c r="T27" s="3838"/>
      <c r="U27" s="3839"/>
      <c r="V27" s="3839"/>
      <c r="W27" s="3840"/>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5" t="s">
        <v>6736</v>
      </c>
    </row>
    <row r="28" spans="1:380" ht="13.9" customHeight="1">
      <c r="A28" s="108" t="str">
        <f t="shared" si="327"/>
        <v/>
      </c>
      <c r="B28" s="2897"/>
      <c r="C28" s="2870"/>
      <c r="D28" s="2871"/>
      <c r="E28" s="2872"/>
      <c r="F28" s="2872"/>
      <c r="G28" s="2872"/>
      <c r="H28" s="2872"/>
      <c r="I28" s="2872"/>
      <c r="J28" s="2898">
        <f>IF(C28="",0,HLOOKUP(C28,'Part V-Utility Allowances'!$I$11:$M$22,12))</f>
        <v>0</v>
      </c>
      <c r="K28" s="2874"/>
      <c r="L28" s="537">
        <f t="shared" si="0"/>
        <v>0</v>
      </c>
      <c r="M28" s="537">
        <f t="shared" si="1"/>
        <v>0</v>
      </c>
      <c r="N28" s="2713"/>
      <c r="O28" s="2875"/>
      <c r="P28" s="2713"/>
      <c r="Q28" s="2876"/>
      <c r="R28" s="2877"/>
      <c r="S28" s="2878"/>
      <c r="T28" s="3838"/>
      <c r="U28" s="3839"/>
      <c r="V28" s="3839"/>
      <c r="W28" s="3840"/>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5" t="s">
        <v>6737</v>
      </c>
    </row>
    <row r="29" spans="1:380" ht="13.9" customHeight="1">
      <c r="A29" s="108" t="str">
        <f t="shared" si="327"/>
        <v/>
      </c>
      <c r="B29" s="2897"/>
      <c r="C29" s="2870"/>
      <c r="D29" s="2871"/>
      <c r="E29" s="2872"/>
      <c r="F29" s="2872"/>
      <c r="G29" s="2872"/>
      <c r="H29" s="2872"/>
      <c r="I29" s="2872"/>
      <c r="J29" s="2898">
        <f>IF(C29="",0,HLOOKUP(C29,'Part V-Utility Allowances'!$I$11:$M$22,12))</f>
        <v>0</v>
      </c>
      <c r="K29" s="2874"/>
      <c r="L29" s="537">
        <f t="shared" si="0"/>
        <v>0</v>
      </c>
      <c r="M29" s="537">
        <f t="shared" si="1"/>
        <v>0</v>
      </c>
      <c r="N29" s="2713"/>
      <c r="O29" s="2875"/>
      <c r="P29" s="2713"/>
      <c r="Q29" s="2876"/>
      <c r="R29" s="2877"/>
      <c r="S29" s="2878"/>
      <c r="T29" s="3838"/>
      <c r="U29" s="3839"/>
      <c r="V29" s="3839"/>
      <c r="W29" s="3840"/>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5" t="s">
        <v>6738</v>
      </c>
    </row>
    <row r="30" spans="1:380" ht="13.9" customHeight="1">
      <c r="A30" s="108" t="str">
        <f t="shared" si="327"/>
        <v/>
      </c>
      <c r="B30" s="2897"/>
      <c r="C30" s="2870"/>
      <c r="D30" s="2871"/>
      <c r="E30" s="2872"/>
      <c r="F30" s="2872"/>
      <c r="G30" s="2872"/>
      <c r="H30" s="2872"/>
      <c r="I30" s="2872"/>
      <c r="J30" s="2898">
        <f>IF(C30="",0,HLOOKUP(C30,'Part V-Utility Allowances'!$I$11:$M$22,12))</f>
        <v>0</v>
      </c>
      <c r="K30" s="2874"/>
      <c r="L30" s="537">
        <f t="shared" si="0"/>
        <v>0</v>
      </c>
      <c r="M30" s="537">
        <f t="shared" si="1"/>
        <v>0</v>
      </c>
      <c r="N30" s="2713"/>
      <c r="O30" s="2875"/>
      <c r="P30" s="2713"/>
      <c r="Q30" s="2876"/>
      <c r="R30" s="2877"/>
      <c r="S30" s="2878"/>
      <c r="T30" s="3838"/>
      <c r="U30" s="3839"/>
      <c r="V30" s="3839"/>
      <c r="W30" s="3840"/>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5" t="s">
        <v>6739</v>
      </c>
    </row>
    <row r="31" spans="1:380" ht="13.9" customHeight="1">
      <c r="A31" s="108" t="str">
        <f t="shared" si="327"/>
        <v/>
      </c>
      <c r="B31" s="2897"/>
      <c r="C31" s="2870"/>
      <c r="D31" s="2871"/>
      <c r="E31" s="2872"/>
      <c r="F31" s="2872"/>
      <c r="G31" s="2872"/>
      <c r="H31" s="2872"/>
      <c r="I31" s="2872"/>
      <c r="J31" s="2898">
        <f>IF(C31="",0,HLOOKUP(C31,'Part V-Utility Allowances'!$I$11:$M$22,12))</f>
        <v>0</v>
      </c>
      <c r="K31" s="2874"/>
      <c r="L31" s="537">
        <f t="shared" si="0"/>
        <v>0</v>
      </c>
      <c r="M31" s="537">
        <f t="shared" si="1"/>
        <v>0</v>
      </c>
      <c r="N31" s="2713"/>
      <c r="O31" s="2875"/>
      <c r="P31" s="2713"/>
      <c r="Q31" s="2876"/>
      <c r="R31" s="2877"/>
      <c r="S31" s="2878"/>
      <c r="T31" s="3838"/>
      <c r="U31" s="3839"/>
      <c r="V31" s="3839"/>
      <c r="W31" s="3840"/>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5" t="s">
        <v>6740</v>
      </c>
    </row>
    <row r="32" spans="1:380" ht="13.9" customHeight="1">
      <c r="A32" s="108" t="str">
        <f t="shared" si="327"/>
        <v/>
      </c>
      <c r="B32" s="2897"/>
      <c r="C32" s="2870"/>
      <c r="D32" s="2871"/>
      <c r="E32" s="2872"/>
      <c r="F32" s="2872"/>
      <c r="G32" s="2872"/>
      <c r="H32" s="2872"/>
      <c r="I32" s="2872"/>
      <c r="J32" s="2898">
        <f>IF(C32="",0,HLOOKUP(C32,'Part V-Utility Allowances'!$I$11:$M$22,12))</f>
        <v>0</v>
      </c>
      <c r="K32" s="2874"/>
      <c r="L32" s="537">
        <f t="shared" si="0"/>
        <v>0</v>
      </c>
      <c r="M32" s="537">
        <f t="shared" si="1"/>
        <v>0</v>
      </c>
      <c r="N32" s="2713"/>
      <c r="O32" s="2875"/>
      <c r="P32" s="2713"/>
      <c r="Q32" s="2876"/>
      <c r="R32" s="2877"/>
      <c r="S32" s="2878"/>
      <c r="T32" s="3838"/>
      <c r="U32" s="3839"/>
      <c r="V32" s="3839"/>
      <c r="W32" s="3840"/>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5" t="s">
        <v>6741</v>
      </c>
    </row>
    <row r="33" spans="1:380" ht="13.9" customHeight="1">
      <c r="A33" s="108" t="str">
        <f t="shared" si="327"/>
        <v/>
      </c>
      <c r="B33" s="2897"/>
      <c r="C33" s="2870"/>
      <c r="D33" s="2871"/>
      <c r="E33" s="2872"/>
      <c r="F33" s="2872"/>
      <c r="G33" s="2872"/>
      <c r="H33" s="2872"/>
      <c r="I33" s="2872"/>
      <c r="J33" s="2898">
        <f>IF(C33="",0,HLOOKUP(C33,'Part V-Utility Allowances'!$I$11:$M$22,12))</f>
        <v>0</v>
      </c>
      <c r="K33" s="2874"/>
      <c r="L33" s="537">
        <f t="shared" si="0"/>
        <v>0</v>
      </c>
      <c r="M33" s="537">
        <f t="shared" si="1"/>
        <v>0</v>
      </c>
      <c r="N33" s="2713"/>
      <c r="O33" s="2875"/>
      <c r="P33" s="2713"/>
      <c r="Q33" s="2876"/>
      <c r="R33" s="2877"/>
      <c r="S33" s="2878"/>
      <c r="T33" s="3838"/>
      <c r="U33" s="3839"/>
      <c r="V33" s="3839"/>
      <c r="W33" s="3840"/>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5" t="s">
        <v>6742</v>
      </c>
    </row>
    <row r="34" spans="1:380" ht="13.9" customHeight="1">
      <c r="A34" s="108" t="str">
        <f t="shared" si="327"/>
        <v/>
      </c>
      <c r="B34" s="2897"/>
      <c r="C34" s="2870"/>
      <c r="D34" s="2871"/>
      <c r="E34" s="2872"/>
      <c r="F34" s="2872"/>
      <c r="G34" s="2872"/>
      <c r="H34" s="2872"/>
      <c r="I34" s="2872"/>
      <c r="J34" s="2898">
        <f>IF(C34="",0,HLOOKUP(C34,'Part V-Utility Allowances'!$I$11:$M$22,12))</f>
        <v>0</v>
      </c>
      <c r="K34" s="2874"/>
      <c r="L34" s="537">
        <f t="shared" si="0"/>
        <v>0</v>
      </c>
      <c r="M34" s="537">
        <f t="shared" si="1"/>
        <v>0</v>
      </c>
      <c r="N34" s="2713"/>
      <c r="O34" s="2875"/>
      <c r="P34" s="2713"/>
      <c r="Q34" s="2876"/>
      <c r="R34" s="2877"/>
      <c r="S34" s="2878"/>
      <c r="T34" s="3838"/>
      <c r="U34" s="3839"/>
      <c r="V34" s="3839"/>
      <c r="W34" s="3840"/>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5" t="s">
        <v>6743</v>
      </c>
    </row>
    <row r="35" spans="1:380" ht="13.9" customHeight="1">
      <c r="A35" s="108" t="str">
        <f t="shared" si="327"/>
        <v/>
      </c>
      <c r="B35" s="2897"/>
      <c r="C35" s="2870"/>
      <c r="D35" s="2871"/>
      <c r="E35" s="2872"/>
      <c r="F35" s="2872"/>
      <c r="G35" s="2872"/>
      <c r="H35" s="2872"/>
      <c r="I35" s="2872"/>
      <c r="J35" s="2898">
        <f>IF(C35="",0,HLOOKUP(C35,'Part V-Utility Allowances'!$I$11:$M$22,12))</f>
        <v>0</v>
      </c>
      <c r="K35" s="2874"/>
      <c r="L35" s="537">
        <f t="shared" si="0"/>
        <v>0</v>
      </c>
      <c r="M35" s="537">
        <f t="shared" si="1"/>
        <v>0</v>
      </c>
      <c r="N35" s="2713"/>
      <c r="O35" s="2875"/>
      <c r="P35" s="2713"/>
      <c r="Q35" s="2876"/>
      <c r="R35" s="2877"/>
      <c r="S35" s="2878"/>
      <c r="T35" s="3838"/>
      <c r="U35" s="3839"/>
      <c r="V35" s="3839"/>
      <c r="W35" s="3840"/>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5" t="s">
        <v>6744</v>
      </c>
    </row>
    <row r="36" spans="1:380" ht="13.9" customHeight="1">
      <c r="A36" s="108" t="str">
        <f t="shared" si="327"/>
        <v/>
      </c>
      <c r="B36" s="2897"/>
      <c r="C36" s="2870"/>
      <c r="D36" s="2871"/>
      <c r="E36" s="2872"/>
      <c r="F36" s="2872"/>
      <c r="G36" s="2872"/>
      <c r="H36" s="2872"/>
      <c r="I36" s="2872"/>
      <c r="J36" s="2898">
        <f>IF(C36="",0,HLOOKUP(C36,'Part V-Utility Allowances'!$I$11:$M$22,12))</f>
        <v>0</v>
      </c>
      <c r="K36" s="2874"/>
      <c r="L36" s="537">
        <f t="shared" si="0"/>
        <v>0</v>
      </c>
      <c r="M36" s="537">
        <f t="shared" si="1"/>
        <v>0</v>
      </c>
      <c r="N36" s="2713"/>
      <c r="O36" s="2875"/>
      <c r="P36" s="2713"/>
      <c r="Q36" s="2876"/>
      <c r="R36" s="2877"/>
      <c r="S36" s="2878"/>
      <c r="T36" s="3838"/>
      <c r="U36" s="3839"/>
      <c r="V36" s="3839"/>
      <c r="W36" s="3840"/>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5" t="s">
        <v>6745</v>
      </c>
    </row>
    <row r="37" spans="1:380" ht="13.9" customHeight="1">
      <c r="A37" s="108" t="str">
        <f t="shared" si="327"/>
        <v/>
      </c>
      <c r="B37" s="2897"/>
      <c r="C37" s="2870"/>
      <c r="D37" s="2871"/>
      <c r="E37" s="2872"/>
      <c r="F37" s="2872"/>
      <c r="G37" s="2872"/>
      <c r="H37" s="2872"/>
      <c r="I37" s="2872"/>
      <c r="J37" s="2898">
        <f>IF(C37="",0,HLOOKUP(C37,'Part V-Utility Allowances'!$I$11:$M$22,12))</f>
        <v>0</v>
      </c>
      <c r="K37" s="2874"/>
      <c r="L37" s="537">
        <f t="shared" si="0"/>
        <v>0</v>
      </c>
      <c r="M37" s="537">
        <f t="shared" si="1"/>
        <v>0</v>
      </c>
      <c r="N37" s="2713"/>
      <c r="O37" s="2875"/>
      <c r="P37" s="2713"/>
      <c r="Q37" s="2876"/>
      <c r="R37" s="2877"/>
      <c r="S37" s="2878"/>
      <c r="T37" s="3838"/>
      <c r="U37" s="3839"/>
      <c r="V37" s="3839"/>
      <c r="W37" s="3840"/>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5" t="s">
        <v>6746</v>
      </c>
    </row>
    <row r="38" spans="1:380" ht="13.9" customHeight="1">
      <c r="A38" s="108" t="str">
        <f t="shared" si="327"/>
        <v/>
      </c>
      <c r="B38" s="2897"/>
      <c r="C38" s="2870"/>
      <c r="D38" s="2871"/>
      <c r="E38" s="2872"/>
      <c r="F38" s="2872"/>
      <c r="G38" s="2872"/>
      <c r="H38" s="2872"/>
      <c r="I38" s="2872"/>
      <c r="J38" s="2898">
        <f>IF(C38="",0,HLOOKUP(C38,'Part V-Utility Allowances'!$I$11:$M$22,12))</f>
        <v>0</v>
      </c>
      <c r="K38" s="2874"/>
      <c r="L38" s="537">
        <f t="shared" si="0"/>
        <v>0</v>
      </c>
      <c r="M38" s="537">
        <f t="shared" si="1"/>
        <v>0</v>
      </c>
      <c r="N38" s="2713"/>
      <c r="O38" s="2875"/>
      <c r="P38" s="2713"/>
      <c r="Q38" s="2876"/>
      <c r="R38" s="2877"/>
      <c r="S38" s="2878"/>
      <c r="T38" s="3838"/>
      <c r="U38" s="3839"/>
      <c r="V38" s="3839"/>
      <c r="W38" s="3840"/>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5" t="s">
        <v>6747</v>
      </c>
    </row>
    <row r="39" spans="1:380" ht="13.9" customHeight="1">
      <c r="A39" s="108" t="str">
        <f t="shared" si="327"/>
        <v/>
      </c>
      <c r="B39" s="2897"/>
      <c r="C39" s="2870"/>
      <c r="D39" s="2871"/>
      <c r="E39" s="2872"/>
      <c r="F39" s="2872"/>
      <c r="G39" s="2872"/>
      <c r="H39" s="2872"/>
      <c r="I39" s="2872"/>
      <c r="J39" s="2898">
        <f>IF(C39="",0,HLOOKUP(C39,'Part V-Utility Allowances'!$I$11:$M$22,12))</f>
        <v>0</v>
      </c>
      <c r="K39" s="2874"/>
      <c r="L39" s="537">
        <f t="shared" si="0"/>
        <v>0</v>
      </c>
      <c r="M39" s="537">
        <f t="shared" si="1"/>
        <v>0</v>
      </c>
      <c r="N39" s="2713"/>
      <c r="O39" s="2875"/>
      <c r="P39" s="2713"/>
      <c r="Q39" s="2876"/>
      <c r="R39" s="2877"/>
      <c r="S39" s="2878"/>
      <c r="T39" s="3838"/>
      <c r="U39" s="3839"/>
      <c r="V39" s="3839"/>
      <c r="W39" s="3840"/>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5" t="s">
        <v>6748</v>
      </c>
    </row>
    <row r="40" spans="1:380" ht="13.9" customHeight="1">
      <c r="A40" s="108" t="str">
        <f t="shared" si="327"/>
        <v/>
      </c>
      <c r="B40" s="2897"/>
      <c r="C40" s="2870"/>
      <c r="D40" s="2871"/>
      <c r="E40" s="2872"/>
      <c r="F40" s="2872"/>
      <c r="G40" s="2872"/>
      <c r="H40" s="2872"/>
      <c r="I40" s="2872"/>
      <c r="J40" s="2898">
        <f>IF(C40="",0,HLOOKUP(C40,'Part V-Utility Allowances'!$I$11:$M$22,12))</f>
        <v>0</v>
      </c>
      <c r="K40" s="2874"/>
      <c r="L40" s="537">
        <f t="shared" si="0"/>
        <v>0</v>
      </c>
      <c r="M40" s="537">
        <f t="shared" si="1"/>
        <v>0</v>
      </c>
      <c r="N40" s="2713"/>
      <c r="O40" s="2875"/>
      <c r="P40" s="2713"/>
      <c r="Q40" s="2876"/>
      <c r="R40" s="2877"/>
      <c r="S40" s="2878"/>
      <c r="T40" s="3838"/>
      <c r="U40" s="3839"/>
      <c r="V40" s="3839"/>
      <c r="W40" s="3840"/>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5" t="s">
        <v>6749</v>
      </c>
    </row>
    <row r="41" spans="1:380" ht="13.9" customHeight="1">
      <c r="A41" s="108" t="str">
        <f t="shared" si="327"/>
        <v/>
      </c>
      <c r="B41" s="2897"/>
      <c r="C41" s="2870"/>
      <c r="D41" s="2871"/>
      <c r="E41" s="2872"/>
      <c r="F41" s="2872"/>
      <c r="G41" s="2872"/>
      <c r="H41" s="2872"/>
      <c r="I41" s="2872"/>
      <c r="J41" s="2898">
        <f>IF(C41="",0,HLOOKUP(C41,'Part V-Utility Allowances'!$I$11:$M$22,12))</f>
        <v>0</v>
      </c>
      <c r="K41" s="2874"/>
      <c r="L41" s="537">
        <f t="shared" si="0"/>
        <v>0</v>
      </c>
      <c r="M41" s="537">
        <f t="shared" si="1"/>
        <v>0</v>
      </c>
      <c r="N41" s="2713"/>
      <c r="O41" s="2875"/>
      <c r="P41" s="2713"/>
      <c r="Q41" s="2876"/>
      <c r="R41" s="2877"/>
      <c r="S41" s="2878"/>
      <c r="T41" s="3838"/>
      <c r="U41" s="3839"/>
      <c r="V41" s="3839"/>
      <c r="W41" s="3840"/>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5" t="s">
        <v>6750</v>
      </c>
    </row>
    <row r="42" spans="1:380" ht="13.9" customHeight="1">
      <c r="A42" s="108" t="str">
        <f t="shared" si="327"/>
        <v/>
      </c>
      <c r="B42" s="2897"/>
      <c r="C42" s="2870"/>
      <c r="D42" s="2871"/>
      <c r="E42" s="2872"/>
      <c r="F42" s="2872"/>
      <c r="G42" s="2872"/>
      <c r="H42" s="2872"/>
      <c r="I42" s="2872"/>
      <c r="J42" s="2898">
        <f>IF(C42="",0,HLOOKUP(C42,'Part V-Utility Allowances'!$I$11:$M$22,12))</f>
        <v>0</v>
      </c>
      <c r="K42" s="2874"/>
      <c r="L42" s="537">
        <f t="shared" si="0"/>
        <v>0</v>
      </c>
      <c r="M42" s="537">
        <f t="shared" si="1"/>
        <v>0</v>
      </c>
      <c r="N42" s="2713"/>
      <c r="O42" s="2875"/>
      <c r="P42" s="2713"/>
      <c r="Q42" s="2876"/>
      <c r="R42" s="2877"/>
      <c r="S42" s="2878"/>
      <c r="T42" s="3838"/>
      <c r="U42" s="3839"/>
      <c r="V42" s="3839"/>
      <c r="W42" s="3840"/>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5" t="s">
        <v>6751</v>
      </c>
    </row>
    <row r="43" spans="1:380" ht="13.9" customHeight="1">
      <c r="A43" s="108" t="str">
        <f t="shared" si="327"/>
        <v/>
      </c>
      <c r="B43" s="2897"/>
      <c r="C43" s="2870"/>
      <c r="D43" s="2871"/>
      <c r="E43" s="2872"/>
      <c r="F43" s="2872"/>
      <c r="G43" s="2872"/>
      <c r="H43" s="2872"/>
      <c r="I43" s="2872"/>
      <c r="J43" s="2898">
        <f>IF(C43="",0,HLOOKUP(C43,'Part V-Utility Allowances'!$I$11:$M$22,12))</f>
        <v>0</v>
      </c>
      <c r="K43" s="2874"/>
      <c r="L43" s="537">
        <f t="shared" si="0"/>
        <v>0</v>
      </c>
      <c r="M43" s="537">
        <f t="shared" si="1"/>
        <v>0</v>
      </c>
      <c r="N43" s="2713"/>
      <c r="O43" s="2875"/>
      <c r="P43" s="2713"/>
      <c r="Q43" s="2876"/>
      <c r="R43" s="2877"/>
      <c r="S43" s="2878"/>
      <c r="T43" s="3838"/>
      <c r="U43" s="3839"/>
      <c r="V43" s="3839"/>
      <c r="W43" s="3840"/>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5" t="s">
        <v>6752</v>
      </c>
    </row>
    <row r="44" spans="1:380" ht="13.9" customHeight="1">
      <c r="A44" s="108" t="str">
        <f t="shared" si="327"/>
        <v/>
      </c>
      <c r="B44" s="2897"/>
      <c r="C44" s="2870"/>
      <c r="D44" s="2871"/>
      <c r="E44" s="2872"/>
      <c r="F44" s="2872"/>
      <c r="G44" s="2872"/>
      <c r="H44" s="2872"/>
      <c r="I44" s="2872"/>
      <c r="J44" s="2898">
        <f>IF(C44="",0,HLOOKUP(C44,'Part V-Utility Allowances'!$I$11:$M$22,12))</f>
        <v>0</v>
      </c>
      <c r="K44" s="2874"/>
      <c r="L44" s="537">
        <f t="shared" si="0"/>
        <v>0</v>
      </c>
      <c r="M44" s="537">
        <f t="shared" si="1"/>
        <v>0</v>
      </c>
      <c r="N44" s="2713"/>
      <c r="O44" s="2875"/>
      <c r="P44" s="2713"/>
      <c r="Q44" s="2876"/>
      <c r="R44" s="2877"/>
      <c r="S44" s="2878"/>
      <c r="T44" s="3838"/>
      <c r="U44" s="3839"/>
      <c r="V44" s="3839"/>
      <c r="W44" s="3840"/>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5" t="s">
        <v>6753</v>
      </c>
    </row>
    <row r="45" spans="1:380" ht="13.9" customHeight="1">
      <c r="A45" s="108" t="str">
        <f t="shared" si="327"/>
        <v/>
      </c>
      <c r="B45" s="2897"/>
      <c r="C45" s="2870"/>
      <c r="D45" s="2871"/>
      <c r="E45" s="2872"/>
      <c r="F45" s="2872"/>
      <c r="G45" s="2872"/>
      <c r="H45" s="2872"/>
      <c r="I45" s="2872"/>
      <c r="J45" s="2898">
        <f>IF(C45="",0,HLOOKUP(C45,'Part V-Utility Allowances'!$I$11:$M$22,12))</f>
        <v>0</v>
      </c>
      <c r="K45" s="2874"/>
      <c r="L45" s="537">
        <f t="shared" si="0"/>
        <v>0</v>
      </c>
      <c r="M45" s="537">
        <f t="shared" si="1"/>
        <v>0</v>
      </c>
      <c r="N45" s="2713"/>
      <c r="O45" s="2875"/>
      <c r="P45" s="2713"/>
      <c r="Q45" s="2876"/>
      <c r="R45" s="2877"/>
      <c r="S45" s="2878"/>
      <c r="T45" s="3838"/>
      <c r="U45" s="3839"/>
      <c r="V45" s="3839"/>
      <c r="W45" s="3840"/>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5" t="s">
        <v>6754</v>
      </c>
    </row>
    <row r="46" spans="1:380" ht="13.9" customHeight="1">
      <c r="A46" s="108" t="str">
        <f t="shared" si="327"/>
        <v/>
      </c>
      <c r="B46" s="2897"/>
      <c r="C46" s="2870"/>
      <c r="D46" s="2871"/>
      <c r="E46" s="2872"/>
      <c r="F46" s="2872"/>
      <c r="G46" s="2872"/>
      <c r="H46" s="2872"/>
      <c r="I46" s="2872"/>
      <c r="J46" s="2898">
        <f>IF(C46="",0,HLOOKUP(C46,'Part V-Utility Allowances'!$I$11:$M$22,12))</f>
        <v>0</v>
      </c>
      <c r="K46" s="2874"/>
      <c r="L46" s="537">
        <f t="shared" si="0"/>
        <v>0</v>
      </c>
      <c r="M46" s="537">
        <f t="shared" si="1"/>
        <v>0</v>
      </c>
      <c r="N46" s="2713"/>
      <c r="O46" s="2875"/>
      <c r="P46" s="2713"/>
      <c r="Q46" s="2876"/>
      <c r="R46" s="2877"/>
      <c r="S46" s="2878"/>
      <c r="T46" s="3838"/>
      <c r="U46" s="3839"/>
      <c r="V46" s="3839"/>
      <c r="W46" s="3840"/>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5" t="s">
        <v>6755</v>
      </c>
    </row>
    <row r="47" spans="1:380" ht="13.9" customHeight="1">
      <c r="A47" s="108" t="str">
        <f t="shared" si="327"/>
        <v/>
      </c>
      <c r="B47" s="2897"/>
      <c r="C47" s="2870"/>
      <c r="D47" s="2871"/>
      <c r="E47" s="2872"/>
      <c r="F47" s="2872"/>
      <c r="G47" s="2872"/>
      <c r="H47" s="2872"/>
      <c r="I47" s="2872"/>
      <c r="J47" s="2898">
        <f>IF(C47="",0,HLOOKUP(C47,'Part V-Utility Allowances'!$I$11:$M$22,12))</f>
        <v>0</v>
      </c>
      <c r="K47" s="2874"/>
      <c r="L47" s="537">
        <f t="shared" si="0"/>
        <v>0</v>
      </c>
      <c r="M47" s="537">
        <f t="shared" si="1"/>
        <v>0</v>
      </c>
      <c r="N47" s="2713"/>
      <c r="O47" s="2875"/>
      <c r="P47" s="2713"/>
      <c r="Q47" s="2876"/>
      <c r="R47" s="2877"/>
      <c r="S47" s="2878"/>
      <c r="T47" s="3838"/>
      <c r="U47" s="3839"/>
      <c r="V47" s="3839"/>
      <c r="W47" s="3840"/>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5" t="s">
        <v>6756</v>
      </c>
    </row>
    <row r="48" spans="1:380" ht="13.9" customHeight="1">
      <c r="A48" s="108" t="str">
        <f t="shared" si="327"/>
        <v/>
      </c>
      <c r="B48" s="2899"/>
      <c r="C48" s="2900"/>
      <c r="D48" s="2901"/>
      <c r="E48" s="2902"/>
      <c r="F48" s="2902"/>
      <c r="G48" s="2902"/>
      <c r="H48" s="2902"/>
      <c r="I48" s="2902"/>
      <c r="J48" s="2903">
        <f>IF(C48="",0,HLOOKUP(C48,'Part V-Utility Allowances'!$I$11:$M$22,12))</f>
        <v>0</v>
      </c>
      <c r="K48" s="2904"/>
      <c r="L48" s="538">
        <f t="shared" si="0"/>
        <v>0</v>
      </c>
      <c r="M48" s="538">
        <f t="shared" si="1"/>
        <v>0</v>
      </c>
      <c r="N48" s="2714"/>
      <c r="O48" s="2611"/>
      <c r="P48" s="2714"/>
      <c r="Q48" s="2905"/>
      <c r="R48" s="2906"/>
      <c r="S48" s="2907"/>
      <c r="T48" s="3850"/>
      <c r="U48" s="3851"/>
      <c r="V48" s="3851"/>
      <c r="W48" s="3852"/>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5" t="s">
        <v>6757</v>
      </c>
    </row>
    <row r="49" spans="1:380" s="146" customFormat="1" ht="13.9" customHeight="1">
      <c r="A49" s="1500">
        <f>COUNT(A11,A12,A13,A14,A15,A16,A17,A18,A19,A20,A21,A22,A23,A24,A25,A26,A27,A28,A29,A30,A31,A32,A33,A34,A35,A36,A37,A38,A39,A40)</f>
        <v>0</v>
      </c>
      <c r="B49" s="3873" t="s">
        <v>3924</v>
      </c>
      <c r="C49" s="3874"/>
      <c r="D49" s="137" t="s">
        <v>979</v>
      </c>
      <c r="E49" s="1194">
        <f>SUM(E11:E48)</f>
        <v>48</v>
      </c>
      <c r="F49" s="1192">
        <f>(E11*F11+E12*F12+E13*F13+E14*F14+E15*F15+E16*F16+E17*F17+E18*F18+E19*F19+E20*F20+E21*F21+E22*F22+E23*F23+E24*F24+E25*F25+E26*F26+E27*F27+E28*F28+E29*F29+E30*F30+E31*F31+E32*F32+E33*F33+E34*F34+E35*F35+E36*F36+E37*F37+E38*F38+E39*F39+E40*F40+E41*F41+E42*F42+E43*F43+E44*F44+E45*F45+E46*F46+E47*F47+E48*F48)</f>
        <v>51564</v>
      </c>
      <c r="H49" s="3929" t="s">
        <v>3921</v>
      </c>
      <c r="I49" s="2908" t="s">
        <v>3922</v>
      </c>
      <c r="J49" s="1195" t="str">
        <f>IF(P67=0,"",IF(SUM(P58:P62)/P67&gt;=0.4,"Pass","Fail"))</f>
        <v>Pass</v>
      </c>
      <c r="K49" s="521"/>
      <c r="L49" s="794" t="s">
        <v>1254</v>
      </c>
      <c r="M49" s="122">
        <f>SUM(M11:M48)</f>
        <v>30460</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2</v>
      </c>
      <c r="AE49" s="1816">
        <f t="shared" si="339"/>
        <v>2</v>
      </c>
      <c r="AF49" s="1816">
        <f t="shared" si="339"/>
        <v>2</v>
      </c>
      <c r="AG49" s="1816">
        <f t="shared" si="339"/>
        <v>0</v>
      </c>
      <c r="AH49" s="1816">
        <f t="shared" si="339"/>
        <v>0</v>
      </c>
      <c r="AI49" s="1816">
        <f t="shared" si="339"/>
        <v>4</v>
      </c>
      <c r="AJ49" s="1816">
        <f t="shared" si="339"/>
        <v>13</v>
      </c>
      <c r="AK49" s="1816">
        <f t="shared" si="339"/>
        <v>6</v>
      </c>
      <c r="AL49" s="1816">
        <f t="shared" si="339"/>
        <v>0</v>
      </c>
      <c r="AM49" s="1816">
        <f>SUM(AM11:AM48)</f>
        <v>0</v>
      </c>
      <c r="AN49" s="1816">
        <f>SUM(AN11:AN48)</f>
        <v>6</v>
      </c>
      <c r="AO49" s="1816">
        <f>SUM(AO11:AO48)</f>
        <v>9</v>
      </c>
      <c r="AP49" s="1816">
        <f>SUM(AP11:AP48)</f>
        <v>4</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1660</v>
      </c>
      <c r="EP49" s="1816">
        <f t="shared" si="342"/>
        <v>2166</v>
      </c>
      <c r="EQ49" s="1816">
        <f t="shared" si="342"/>
        <v>2602</v>
      </c>
      <c r="ER49" s="1816">
        <f t="shared" si="342"/>
        <v>0</v>
      </c>
      <c r="ES49" s="1816">
        <f t="shared" si="342"/>
        <v>0</v>
      </c>
      <c r="ET49" s="1816">
        <f t="shared" si="342"/>
        <v>3320</v>
      </c>
      <c r="EU49" s="1816">
        <f t="shared" si="342"/>
        <v>14079</v>
      </c>
      <c r="EV49" s="1816">
        <f t="shared" si="342"/>
        <v>7806</v>
      </c>
      <c r="EW49" s="1816">
        <f t="shared" si="342"/>
        <v>0</v>
      </c>
      <c r="EX49" s="1816">
        <f t="shared" si="338"/>
        <v>0</v>
      </c>
      <c r="EY49" s="1816">
        <f t="shared" si="338"/>
        <v>4980</v>
      </c>
      <c r="EZ49" s="1816">
        <f t="shared" si="338"/>
        <v>9747</v>
      </c>
      <c r="FA49" s="1816">
        <f t="shared" si="338"/>
        <v>5204</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0</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12</v>
      </c>
      <c r="GI49" s="1816">
        <f t="shared" si="343"/>
        <v>24</v>
      </c>
      <c r="GJ49" s="1816">
        <f t="shared" si="343"/>
        <v>12</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12</v>
      </c>
      <c r="IB49" s="1816">
        <f t="shared" si="344"/>
        <v>24</v>
      </c>
      <c r="IC49" s="1816">
        <f t="shared" si="344"/>
        <v>12</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12</v>
      </c>
      <c r="JU49" s="1816">
        <f t="shared" si="344"/>
        <v>24</v>
      </c>
      <c r="JV49" s="1816">
        <f t="shared" si="344"/>
        <v>12</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12</v>
      </c>
      <c r="MM49" s="1816">
        <f t="shared" si="350"/>
        <v>24</v>
      </c>
      <c r="MN49" s="1816">
        <f t="shared" si="350"/>
        <v>12</v>
      </c>
      <c r="MO49" s="1816">
        <f t="shared" si="350"/>
        <v>0</v>
      </c>
      <c r="MP49" s="1816">
        <f t="shared" si="350"/>
        <v>0</v>
      </c>
      <c r="MQ49" s="1816">
        <f t="shared" si="350"/>
        <v>0</v>
      </c>
      <c r="MR49" s="1816">
        <f t="shared" si="350"/>
        <v>0</v>
      </c>
      <c r="MS49" s="1816">
        <f t="shared" si="350"/>
        <v>0</v>
      </c>
      <c r="MT49" s="1816">
        <f t="shared" si="350"/>
        <v>0</v>
      </c>
      <c r="MU49" s="1816">
        <f t="shared" si="350"/>
        <v>0</v>
      </c>
      <c r="NP49" s="2805" t="s">
        <v>6758</v>
      </c>
    </row>
    <row r="50" spans="1:380" s="146" customFormat="1" ht="13.9" customHeight="1">
      <c r="B50" s="3875">
        <f>IF(SUM(E18:E48)=0,"",(B18*E18+B19*E19+B20*E20+B21*E21+B22*E22+B23*E23+B24*E24+B25*E25+B26*E26+B27*E27+B28*E28+B29*E29+B30*E30+B31*E31+B32*E32+B33*E33+B34*E34+B35*E35+B36*E36+B37*E37+B38*E38+B39*E39+B40*E40+B41*E41+B42*E42+B43*E43+B44*E44+B45*E45+B46*E46+B47*E47+B48*E48)/SUM(E18:E48))</f>
        <v>57.291666666666664</v>
      </c>
      <c r="C50" s="3876"/>
      <c r="D50" s="2651" t="s">
        <v>3831</v>
      </c>
      <c r="E50" s="1191">
        <f>SUM(E18:E48)</f>
        <v>48</v>
      </c>
      <c r="F50" s="1193">
        <f>(E18*F18+E19*F19+E20*F20+E21*F21+E22*F22+E23*F23+E24*F24+E25*F25+E26*F26+E27*F27+E28*F28+E29*F29+E30*F30+E31*F31+E32*F32+E33*F33+E34*F34+E35*F35+E36*F36+E37*F37+E38*F38+E39*F39+E40*F40+E41*F41+E42*F42+E43*F43+E44*F44+E45*F45+E46*F46+E47*F47+E48*F48)</f>
        <v>51564</v>
      </c>
      <c r="H50" s="3930"/>
      <c r="I50" s="2909" t="s">
        <v>3923</v>
      </c>
      <c r="J50" s="1196" t="str">
        <f>IF(P67=0,"",IF(SUM(P59:P62)/P67&gt;=0.2,"Pass","Fail"))</f>
        <v>Pass</v>
      </c>
      <c r="K50" s="521"/>
      <c r="L50" s="137" t="s">
        <v>781</v>
      </c>
      <c r="M50" s="122">
        <f>M49*12</f>
        <v>365520</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5" t="s">
        <v>6759</v>
      </c>
    </row>
    <row r="51" spans="1:380" ht="12" customHeight="1">
      <c r="A51" s="3855" t="s">
        <v>2497</v>
      </c>
      <c r="B51" s="3856"/>
      <c r="C51" s="3856"/>
      <c r="D51" s="3856"/>
      <c r="E51" s="3856"/>
      <c r="F51" s="3856"/>
      <c r="G51" s="3856"/>
      <c r="H51" s="3856"/>
      <c r="I51" s="3856"/>
      <c r="J51" s="3856"/>
      <c r="K51" s="3856"/>
      <c r="L51" s="3856"/>
      <c r="M51" s="3856"/>
      <c r="N51" s="3856"/>
      <c r="O51" s="3856"/>
      <c r="P51" s="3856"/>
      <c r="Q51" s="3856"/>
      <c r="R51" s="2910"/>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56"/>
      <c r="B52" s="3856"/>
      <c r="C52" s="3856"/>
      <c r="D52" s="3856"/>
      <c r="E52" s="3856"/>
      <c r="F52" s="3856"/>
      <c r="G52" s="3856"/>
      <c r="H52" s="3856"/>
      <c r="I52" s="3856"/>
      <c r="J52" s="3856"/>
      <c r="K52" s="3856"/>
      <c r="L52" s="3856"/>
      <c r="M52" s="3856"/>
      <c r="N52" s="3856"/>
      <c r="O52" s="3856"/>
      <c r="P52" s="3856"/>
      <c r="Q52" s="3856"/>
      <c r="R52" s="2910"/>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44" t="str">
        <f>'Part I-Project Information'!$K$94</f>
        <v>Income Averaging</v>
      </c>
      <c r="M53" s="3845"/>
      <c r="N53" s="3845"/>
      <c r="O53" s="3846"/>
      <c r="P53" s="82"/>
      <c r="S53" s="3883" t="str">
        <f>B53</f>
        <v>UNIT SUMMARY</v>
      </c>
      <c r="T53" s="3883"/>
      <c r="U53" s="3883"/>
      <c r="V53" s="3883"/>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6823</v>
      </c>
      <c r="H55" s="82" t="s">
        <v>1000</v>
      </c>
      <c r="I55" s="82"/>
      <c r="J55" s="82"/>
      <c r="K55" s="118" t="s">
        <v>539</v>
      </c>
      <c r="L55" s="118" t="s">
        <v>509</v>
      </c>
      <c r="M55" s="118" t="s">
        <v>510</v>
      </c>
      <c r="N55" s="118" t="s">
        <v>511</v>
      </c>
      <c r="O55" s="118" t="s">
        <v>512</v>
      </c>
      <c r="P55" s="118" t="s">
        <v>513</v>
      </c>
      <c r="S55" s="31" t="s">
        <v>1761</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25" t="s">
        <v>4286</v>
      </c>
      <c r="B56" s="3925"/>
      <c r="C56" s="93" t="s">
        <v>1095</v>
      </c>
      <c r="D56" s="1"/>
      <c r="E56" s="1"/>
      <c r="F56" s="1"/>
      <c r="G56" s="82"/>
      <c r="H56" s="109" t="s">
        <v>3832</v>
      </c>
      <c r="I56" s="36"/>
      <c r="J56" s="82"/>
      <c r="K56" s="1200">
        <f>X49</f>
        <v>0</v>
      </c>
      <c r="L56" s="1201">
        <f>Y49</f>
        <v>0</v>
      </c>
      <c r="M56" s="1201">
        <f>Z49</f>
        <v>0</v>
      </c>
      <c r="N56" s="1201">
        <f>AA49</f>
        <v>0</v>
      </c>
      <c r="O56" s="1202">
        <f>AB49</f>
        <v>0</v>
      </c>
      <c r="P56" s="837">
        <f t="shared" ref="P56:P67" si="351">SUM(K56:O56)</f>
        <v>0</v>
      </c>
      <c r="Q56" s="3853" t="s">
        <v>3310</v>
      </c>
      <c r="R56" s="2658"/>
      <c r="S56" s="3847"/>
      <c r="T56" s="3848"/>
      <c r="U56" s="3848"/>
      <c r="V56" s="3848"/>
      <c r="W56" s="3849"/>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25"/>
      <c r="B57" s="3925"/>
      <c r="C57" s="93"/>
      <c r="D57" s="1"/>
      <c r="E57" s="1"/>
      <c r="F57" s="1"/>
      <c r="G57" s="82"/>
      <c r="H57" s="109" t="s">
        <v>3833</v>
      </c>
      <c r="I57" s="36"/>
      <c r="J57" s="82"/>
      <c r="K57" s="1203">
        <f>AC49</f>
        <v>0</v>
      </c>
      <c r="L57" s="1204">
        <f>AD49</f>
        <v>2</v>
      </c>
      <c r="M57" s="1204">
        <f>AE49</f>
        <v>2</v>
      </c>
      <c r="N57" s="1204">
        <f>AF49</f>
        <v>2</v>
      </c>
      <c r="O57" s="1205">
        <f>AG49</f>
        <v>0</v>
      </c>
      <c r="P57" s="833">
        <f t="shared" si="351"/>
        <v>6</v>
      </c>
      <c r="Q57" s="3853"/>
      <c r="R57" s="2658"/>
      <c r="S57" s="3838"/>
      <c r="T57" s="3839"/>
      <c r="U57" s="3839"/>
      <c r="V57" s="3839"/>
      <c r="W57" s="3840"/>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25"/>
      <c r="B58" s="3925"/>
      <c r="C58" s="93"/>
      <c r="D58" s="1"/>
      <c r="E58" s="1"/>
      <c r="F58" s="1"/>
      <c r="G58" s="82"/>
      <c r="H58" s="109" t="s">
        <v>1107</v>
      </c>
      <c r="I58" s="36"/>
      <c r="J58" s="82"/>
      <c r="K58" s="1203">
        <f>AH49</f>
        <v>0</v>
      </c>
      <c r="L58" s="1204">
        <f>AI49</f>
        <v>4</v>
      </c>
      <c r="M58" s="1204">
        <f>AJ49</f>
        <v>13</v>
      </c>
      <c r="N58" s="1204">
        <f>AK49</f>
        <v>6</v>
      </c>
      <c r="O58" s="1205">
        <f>AL49</f>
        <v>0</v>
      </c>
      <c r="P58" s="833">
        <f t="shared" si="351"/>
        <v>23</v>
      </c>
      <c r="Q58" s="3853"/>
      <c r="R58" s="2658"/>
      <c r="S58" s="3838"/>
      <c r="T58" s="3839"/>
      <c r="U58" s="3839"/>
      <c r="V58" s="3839"/>
      <c r="W58" s="3840"/>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25"/>
      <c r="B59" s="3925"/>
      <c r="C59" s="93"/>
      <c r="D59" s="1"/>
      <c r="E59" s="1"/>
      <c r="F59" s="1"/>
      <c r="G59" s="82"/>
      <c r="H59" s="102" t="s">
        <v>111</v>
      </c>
      <c r="I59" s="52"/>
      <c r="J59" s="982"/>
      <c r="K59" s="1224">
        <f>AM49</f>
        <v>0</v>
      </c>
      <c r="L59" s="1225">
        <f>AN49</f>
        <v>6</v>
      </c>
      <c r="M59" s="1225">
        <f>AO49</f>
        <v>9</v>
      </c>
      <c r="N59" s="1225">
        <f>AP49</f>
        <v>4</v>
      </c>
      <c r="O59" s="1226">
        <f>AQ49</f>
        <v>0</v>
      </c>
      <c r="P59" s="542">
        <f t="shared" si="351"/>
        <v>19</v>
      </c>
      <c r="Q59" s="3853"/>
      <c r="R59" s="2658"/>
      <c r="S59" s="3838"/>
      <c r="T59" s="3839"/>
      <c r="U59" s="3839"/>
      <c r="V59" s="3839"/>
      <c r="W59" s="3840"/>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25"/>
      <c r="B60" s="3925"/>
      <c r="C60" s="93"/>
      <c r="D60" s="1"/>
      <c r="E60" s="1"/>
      <c r="F60" s="1"/>
      <c r="G60" s="82"/>
      <c r="H60" s="102" t="s">
        <v>3834</v>
      </c>
      <c r="I60" s="52"/>
      <c r="J60" s="982"/>
      <c r="K60" s="1203">
        <f>AR49</f>
        <v>0</v>
      </c>
      <c r="L60" s="1204">
        <f>AS49</f>
        <v>0</v>
      </c>
      <c r="M60" s="1204">
        <f>AT49</f>
        <v>0</v>
      </c>
      <c r="N60" s="1204">
        <f>AU49</f>
        <v>0</v>
      </c>
      <c r="O60" s="1205">
        <f>AV49</f>
        <v>0</v>
      </c>
      <c r="P60" s="833">
        <f t="shared" si="351"/>
        <v>0</v>
      </c>
      <c r="Q60" s="3853"/>
      <c r="R60" s="2658"/>
      <c r="S60" s="3838"/>
      <c r="T60" s="3839"/>
      <c r="U60" s="3839"/>
      <c r="V60" s="3839"/>
      <c r="W60" s="3840"/>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25"/>
      <c r="B61" s="3925"/>
      <c r="C61" s="93"/>
      <c r="D61" s="1"/>
      <c r="E61" s="1"/>
      <c r="F61" s="1"/>
      <c r="G61" s="82"/>
      <c r="H61" s="109" t="s">
        <v>3835</v>
      </c>
      <c r="I61" s="36"/>
      <c r="J61" s="82"/>
      <c r="K61" s="1203">
        <f>AW49</f>
        <v>0</v>
      </c>
      <c r="L61" s="1204">
        <f>AX49</f>
        <v>0</v>
      </c>
      <c r="M61" s="1204">
        <f>AY49</f>
        <v>0</v>
      </c>
      <c r="N61" s="1204">
        <f>AZ49</f>
        <v>0</v>
      </c>
      <c r="O61" s="1205">
        <f>BA49</f>
        <v>0</v>
      </c>
      <c r="P61" s="833">
        <f t="shared" si="351"/>
        <v>0</v>
      </c>
      <c r="Q61" s="3853"/>
      <c r="R61" s="2658"/>
      <c r="S61" s="3838"/>
      <c r="T61" s="3839"/>
      <c r="U61" s="3839"/>
      <c r="V61" s="3839"/>
      <c r="W61" s="3840"/>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25"/>
      <c r="B62" s="3925"/>
      <c r="C62" s="4"/>
      <c r="D62" s="1"/>
      <c r="E62" s="1"/>
      <c r="F62" s="1"/>
      <c r="G62" s="82"/>
      <c r="H62" s="109" t="s">
        <v>3836</v>
      </c>
      <c r="I62" s="36"/>
      <c r="J62" s="82"/>
      <c r="K62" s="1206">
        <f>BB49</f>
        <v>0</v>
      </c>
      <c r="L62" s="1207">
        <f>BC49</f>
        <v>0</v>
      </c>
      <c r="M62" s="1207">
        <f>BD49</f>
        <v>0</v>
      </c>
      <c r="N62" s="1207">
        <f>BE49</f>
        <v>0</v>
      </c>
      <c r="O62" s="1208">
        <f>BF49</f>
        <v>0</v>
      </c>
      <c r="P62" s="542">
        <f t="shared" si="351"/>
        <v>0</v>
      </c>
      <c r="Q62" s="3853"/>
      <c r="R62" s="2658"/>
      <c r="S62" s="3838"/>
      <c r="T62" s="3839"/>
      <c r="U62" s="3839"/>
      <c r="V62" s="3839"/>
      <c r="W62" s="3840"/>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25"/>
      <c r="B63" s="3925"/>
      <c r="C63" s="109" t="s">
        <v>3918</v>
      </c>
      <c r="D63" s="1"/>
      <c r="E63" s="1"/>
      <c r="F63" s="1"/>
      <c r="G63" s="82"/>
      <c r="H63" s="89"/>
      <c r="I63" s="55"/>
      <c r="J63" s="82"/>
      <c r="K63" s="1180">
        <f>SUM(K56:K62)</f>
        <v>0</v>
      </c>
      <c r="L63" s="1180">
        <f>SUM(L56:L62)</f>
        <v>12</v>
      </c>
      <c r="M63" s="1180">
        <f>SUM(M56:M62)</f>
        <v>24</v>
      </c>
      <c r="N63" s="1180">
        <f>SUM(N56:N62)</f>
        <v>12</v>
      </c>
      <c r="O63" s="1180">
        <f>SUM(O56:O62)</f>
        <v>0</v>
      </c>
      <c r="P63" s="1180">
        <f t="shared" si="351"/>
        <v>48</v>
      </c>
      <c r="Q63" s="3854"/>
      <c r="S63" s="3838"/>
      <c r="T63" s="3839"/>
      <c r="U63" s="3839"/>
      <c r="V63" s="3839"/>
      <c r="W63" s="3840"/>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25"/>
      <c r="B64" s="3925"/>
      <c r="D64" s="1"/>
      <c r="E64" s="1"/>
      <c r="F64" s="1"/>
      <c r="G64" s="82"/>
      <c r="H64" s="109" t="s">
        <v>292</v>
      </c>
      <c r="I64" s="36"/>
      <c r="J64" s="82"/>
      <c r="K64" s="834">
        <f>BG49</f>
        <v>0</v>
      </c>
      <c r="L64" s="834">
        <f>BH49</f>
        <v>0</v>
      </c>
      <c r="M64" s="834">
        <f>BI49</f>
        <v>0</v>
      </c>
      <c r="N64" s="834">
        <f>BJ49</f>
        <v>0</v>
      </c>
      <c r="O64" s="834">
        <f>BK49</f>
        <v>0</v>
      </c>
      <c r="P64" s="834">
        <f t="shared" si="351"/>
        <v>0</v>
      </c>
      <c r="S64" s="3838"/>
      <c r="T64" s="3839"/>
      <c r="U64" s="3839"/>
      <c r="V64" s="3839"/>
      <c r="W64" s="3840"/>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25"/>
      <c r="B65" s="3925"/>
      <c r="C65" s="1185" t="s">
        <v>1096</v>
      </c>
      <c r="D65" s="1185"/>
      <c r="E65" s="1185"/>
      <c r="F65" s="1185"/>
      <c r="G65" s="1186"/>
      <c r="H65" s="1502"/>
      <c r="I65" s="49"/>
      <c r="J65" s="1186"/>
      <c r="K65" s="1187">
        <f>SUM(K63:K64)</f>
        <v>0</v>
      </c>
      <c r="L65" s="1187">
        <f>SUM(L63:L64)</f>
        <v>12</v>
      </c>
      <c r="M65" s="1187">
        <f>SUM(M63:M64)</f>
        <v>24</v>
      </c>
      <c r="N65" s="1187">
        <f>SUM(N63:N64)</f>
        <v>12</v>
      </c>
      <c r="O65" s="1187">
        <f>SUM(O63:O64)</f>
        <v>0</v>
      </c>
      <c r="P65" s="1187">
        <f t="shared" si="351"/>
        <v>48</v>
      </c>
      <c r="S65" s="3838"/>
      <c r="T65" s="3839"/>
      <c r="U65" s="3839"/>
      <c r="V65" s="3839"/>
      <c r="W65" s="3840"/>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25"/>
      <c r="B66" s="3925"/>
      <c r="D66" s="1"/>
      <c r="E66" s="1"/>
      <c r="F66" s="1"/>
      <c r="G66" s="82"/>
      <c r="H66" s="109" t="s">
        <v>2394</v>
      </c>
      <c r="I66" s="36"/>
      <c r="J66" s="82"/>
      <c r="K66" s="834">
        <f>ED49</f>
        <v>0</v>
      </c>
      <c r="L66" s="834">
        <f>EE49</f>
        <v>0</v>
      </c>
      <c r="M66" s="834">
        <f>EF49</f>
        <v>0</v>
      </c>
      <c r="N66" s="834">
        <f>EG49</f>
        <v>0</v>
      </c>
      <c r="O66" s="834">
        <f>EH49</f>
        <v>0</v>
      </c>
      <c r="P66" s="834">
        <f t="shared" si="351"/>
        <v>0</v>
      </c>
      <c r="Q66" s="465" t="s">
        <v>3311</v>
      </c>
      <c r="S66" s="3838"/>
      <c r="T66" s="3839"/>
      <c r="U66" s="3839"/>
      <c r="V66" s="3839"/>
      <c r="W66" s="3840"/>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25"/>
      <c r="B67" s="3925"/>
      <c r="C67" s="4" t="s">
        <v>1712</v>
      </c>
      <c r="D67" s="1"/>
      <c r="E67" s="1"/>
      <c r="F67" s="1"/>
      <c r="G67" s="82"/>
      <c r="H67" s="109"/>
      <c r="I67" s="36"/>
      <c r="J67" s="82"/>
      <c r="K67" s="1179">
        <f>SUM(K65:K66)</f>
        <v>0</v>
      </c>
      <c r="L67" s="1179">
        <f>SUM(L65:L66)</f>
        <v>12</v>
      </c>
      <c r="M67" s="1179">
        <f>SUM(M65:M66)</f>
        <v>24</v>
      </c>
      <c r="N67" s="1179">
        <f>SUM(N65:N66)</f>
        <v>12</v>
      </c>
      <c r="O67" s="1179">
        <f>SUM(O65:O66)</f>
        <v>0</v>
      </c>
      <c r="P67" s="1179">
        <f t="shared" si="351"/>
        <v>48</v>
      </c>
      <c r="S67" s="3850"/>
      <c r="T67" s="3851"/>
      <c r="U67" s="3851"/>
      <c r="V67" s="3851"/>
      <c r="W67" s="3852"/>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925"/>
      <c r="B68" s="3925"/>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25"/>
      <c r="B69" s="3925"/>
      <c r="C69" s="3872" t="s">
        <v>3929</v>
      </c>
      <c r="D69" s="3872"/>
      <c r="E69" s="3872"/>
      <c r="F69" s="3872"/>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925"/>
      <c r="B70" s="3925"/>
      <c r="C70" s="3872"/>
      <c r="D70" s="3872"/>
      <c r="E70" s="3872"/>
      <c r="F70" s="3872"/>
      <c r="G70" s="8"/>
      <c r="H70" s="109" t="s">
        <v>3832</v>
      </c>
      <c r="I70" s="36"/>
      <c r="J70" s="1497"/>
      <c r="K70" s="2911" t="str">
        <f t="shared" ref="K70:P70" si="352">IF(OR(K56=0,K67=0),"",K56/K67)</f>
        <v/>
      </c>
      <c r="L70" s="2912" t="str">
        <f t="shared" si="352"/>
        <v/>
      </c>
      <c r="M70" s="2912" t="str">
        <f t="shared" si="352"/>
        <v/>
      </c>
      <c r="N70" s="2912" t="str">
        <f t="shared" si="352"/>
        <v/>
      </c>
      <c r="O70" s="2912" t="str">
        <f t="shared" si="352"/>
        <v/>
      </c>
      <c r="P70" s="2913" t="str">
        <f t="shared" si="352"/>
        <v/>
      </c>
      <c r="Q70" s="40" t="s">
        <v>4278</v>
      </c>
      <c r="S70" s="3847"/>
      <c r="T70" s="3848"/>
      <c r="U70" s="3848"/>
      <c r="V70" s="3848"/>
      <c r="W70" s="3849"/>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5"/>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25"/>
      <c r="B71" s="3925"/>
      <c r="C71" s="1294"/>
      <c r="D71" s="8"/>
      <c r="E71" s="8"/>
      <c r="F71" s="8"/>
      <c r="G71" s="8"/>
      <c r="H71" s="109" t="s">
        <v>6816</v>
      </c>
      <c r="I71" s="36"/>
      <c r="J71" s="1"/>
      <c r="K71" s="2914" t="str">
        <f>IF(OR(K56=0,P70="",K67=0),"",P70*K67)</f>
        <v/>
      </c>
      <c r="L71" s="2914" t="str">
        <f>IF(OR(L56=0,P70="",L67=0),"",P70*L67)</f>
        <v/>
      </c>
      <c r="M71" s="2914" t="str">
        <f>IF(OR(M56=0,P70="",M67=0),"",P70*M67)</f>
        <v/>
      </c>
      <c r="N71" s="2914" t="str">
        <f>IF(OR(N56=0,P70="",N67=0),"",P70*N67)</f>
        <v/>
      </c>
      <c r="O71" s="2914" t="str">
        <f>IF(OR(O56=0,P70="",O67=0),"",P70*O67)</f>
        <v/>
      </c>
      <c r="P71" s="2915" t="str">
        <f>IF(OR(P70="",P67=0),"",P70*P67)</f>
        <v/>
      </c>
      <c r="S71" s="3838"/>
      <c r="T71" s="3839"/>
      <c r="U71" s="3839"/>
      <c r="V71" s="3839"/>
      <c r="W71" s="3840"/>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5"/>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6" t="s">
        <v>6817</v>
      </c>
      <c r="I72" s="2917"/>
      <c r="J72" s="1"/>
      <c r="K72" s="2918" t="str">
        <f t="shared" ref="K72:P72" si="353">IF(OR(K71="",K56=0),"", K56-K71)</f>
        <v/>
      </c>
      <c r="L72" s="2919" t="str">
        <f t="shared" si="353"/>
        <v/>
      </c>
      <c r="M72" s="2919" t="str">
        <f t="shared" si="353"/>
        <v/>
      </c>
      <c r="N72" s="2919" t="str">
        <f t="shared" si="353"/>
        <v/>
      </c>
      <c r="O72" s="2919" t="str">
        <f t="shared" si="353"/>
        <v/>
      </c>
      <c r="P72" s="2920" t="str">
        <f t="shared" si="353"/>
        <v/>
      </c>
      <c r="S72" s="3838"/>
      <c r="T72" s="3839"/>
      <c r="U72" s="3839"/>
      <c r="V72" s="3839"/>
      <c r="W72" s="3840"/>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5"/>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36" t="s">
        <v>4277</v>
      </c>
      <c r="E73" s="3836"/>
      <c r="F73" s="3836"/>
      <c r="G73" s="8"/>
      <c r="H73" s="109" t="s">
        <v>3833</v>
      </c>
      <c r="I73" s="36"/>
      <c r="J73" s="1"/>
      <c r="K73" s="2921" t="str">
        <f t="shared" ref="K73:P73" si="354">IF(OR(K57=0,K67=0),"",K57/K67)</f>
        <v/>
      </c>
      <c r="L73" s="2922">
        <f t="shared" si="354"/>
        <v>0.16666666666666666</v>
      </c>
      <c r="M73" s="2922">
        <f t="shared" si="354"/>
        <v>8.3333333333333329E-2</v>
      </c>
      <c r="N73" s="2922">
        <f t="shared" si="354"/>
        <v>0.16666666666666666</v>
      </c>
      <c r="O73" s="2922" t="str">
        <f t="shared" si="354"/>
        <v/>
      </c>
      <c r="P73" s="2923">
        <f t="shared" si="354"/>
        <v>0.125</v>
      </c>
      <c r="S73" s="3838"/>
      <c r="T73" s="3839"/>
      <c r="U73" s="3839"/>
      <c r="V73" s="3839"/>
      <c r="W73" s="3840"/>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5"/>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36"/>
      <c r="E74" s="3836"/>
      <c r="F74" s="3836"/>
      <c r="G74" s="8"/>
      <c r="H74" s="109" t="s">
        <v>6816</v>
      </c>
      <c r="I74" s="36"/>
      <c r="J74" s="1"/>
      <c r="K74" s="2914" t="str">
        <f>IF(OR(K57=0,P73="",K67=0),"",P73*K67)</f>
        <v/>
      </c>
      <c r="L74" s="2914">
        <f>IF(OR(L57=0,P73="",L67=0),"",P73*L67)</f>
        <v>1.5</v>
      </c>
      <c r="M74" s="2914">
        <f>IF(OR(M57=0,P73="",M67=0),"",P73*M67)</f>
        <v>3</v>
      </c>
      <c r="N74" s="2914">
        <f>IF(OR(N57=0,P73="",N67=0),"",P73*N67)</f>
        <v>1.5</v>
      </c>
      <c r="O74" s="2914" t="str">
        <f>IF(OR(O57=0,P73="",O67=0),"",P73*O67)</f>
        <v/>
      </c>
      <c r="P74" s="2915">
        <f>IF(OR(P73="",P67=0),"",P73*P67)</f>
        <v>6</v>
      </c>
      <c r="S74" s="3838"/>
      <c r="T74" s="3839"/>
      <c r="U74" s="3839"/>
      <c r="V74" s="3839"/>
      <c r="W74" s="3840"/>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5"/>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36"/>
      <c r="E75" s="3836"/>
      <c r="F75" s="3836"/>
      <c r="G75" s="1579"/>
      <c r="H75" s="2916" t="s">
        <v>6817</v>
      </c>
      <c r="I75" s="2917"/>
      <c r="J75" s="1"/>
      <c r="K75" s="2918" t="str">
        <f t="shared" ref="K75:P75" si="355">IF(OR(K74="",K57=0),"", K57-K74)</f>
        <v/>
      </c>
      <c r="L75" s="2918">
        <f t="shared" si="355"/>
        <v>0.5</v>
      </c>
      <c r="M75" s="2918">
        <f t="shared" si="355"/>
        <v>-1</v>
      </c>
      <c r="N75" s="2918">
        <f t="shared" si="355"/>
        <v>0.5</v>
      </c>
      <c r="O75" s="2918" t="str">
        <f t="shared" si="355"/>
        <v/>
      </c>
      <c r="P75" s="2918">
        <f t="shared" si="355"/>
        <v>0</v>
      </c>
      <c r="S75" s="3838"/>
      <c r="T75" s="3839"/>
      <c r="U75" s="3839"/>
      <c r="V75" s="3839"/>
      <c r="W75" s="3840"/>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5"/>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4276</v>
      </c>
      <c r="D76" s="3836"/>
      <c r="E76" s="3836"/>
      <c r="F76" s="3836"/>
      <c r="G76" s="8"/>
      <c r="H76" s="109" t="s">
        <v>1107</v>
      </c>
      <c r="I76" s="36"/>
      <c r="J76" s="1"/>
      <c r="K76" s="2921" t="str">
        <f t="shared" ref="K76:P76" si="356">IF(OR(K58=0,K67=0),"",K58/K67)</f>
        <v/>
      </c>
      <c r="L76" s="2922">
        <f t="shared" si="356"/>
        <v>0.33333333333333331</v>
      </c>
      <c r="M76" s="2922">
        <f t="shared" si="356"/>
        <v>0.54166666666666663</v>
      </c>
      <c r="N76" s="2922">
        <f t="shared" si="356"/>
        <v>0.5</v>
      </c>
      <c r="O76" s="2922" t="str">
        <f t="shared" si="356"/>
        <v/>
      </c>
      <c r="P76" s="2923">
        <f t="shared" si="356"/>
        <v>0.47916666666666669</v>
      </c>
      <c r="S76" s="3838"/>
      <c r="T76" s="3839"/>
      <c r="U76" s="3839"/>
      <c r="V76" s="3839"/>
      <c r="W76" s="3840"/>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5"/>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36"/>
      <c r="E77" s="3836"/>
      <c r="F77" s="3836"/>
      <c r="G77" s="8"/>
      <c r="H77" s="109" t="s">
        <v>6816</v>
      </c>
      <c r="I77" s="36"/>
      <c r="J77" s="1"/>
      <c r="K77" s="2914" t="str">
        <f>IF(OR(K58=0,P76="",K67=0),"",P76*K67)</f>
        <v/>
      </c>
      <c r="L77" s="2914">
        <f>IF(OR(L58=0,P76="",L67=0),"",P76*L67)</f>
        <v>5.75</v>
      </c>
      <c r="M77" s="2914">
        <f>IF(OR(M58=0,P76="",M67=0),"",P76*M67)</f>
        <v>11.5</v>
      </c>
      <c r="N77" s="2914">
        <f>IF(OR(N58=0,P76="",N67=0),"",P76*N67)</f>
        <v>5.75</v>
      </c>
      <c r="O77" s="2914" t="str">
        <f>IF(OR(O58=0,P76="",O67=0),"",P76*O67)</f>
        <v/>
      </c>
      <c r="P77" s="2915">
        <f>IF(OR(P76="",P67=0),"",P76*P67)</f>
        <v>23</v>
      </c>
      <c r="S77" s="3850"/>
      <c r="T77" s="3851"/>
      <c r="U77" s="3851"/>
      <c r="V77" s="3851"/>
      <c r="W77" s="3852"/>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5"/>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36"/>
      <c r="E78" s="3836"/>
      <c r="F78" s="3836"/>
      <c r="G78" s="1579"/>
      <c r="H78" s="2916" t="s">
        <v>6817</v>
      </c>
      <c r="I78" s="2917"/>
      <c r="J78" s="1"/>
      <c r="K78" s="2918" t="str">
        <f t="shared" ref="K78:P78" si="357">IF(OR(K77="",K58=0),"", K58-K77)</f>
        <v/>
      </c>
      <c r="L78" s="2918">
        <f t="shared" si="357"/>
        <v>-1.75</v>
      </c>
      <c r="M78" s="2918">
        <f t="shared" si="357"/>
        <v>1.5</v>
      </c>
      <c r="N78" s="2918">
        <f t="shared" si="357"/>
        <v>0.25</v>
      </c>
      <c r="O78" s="2918" t="str">
        <f t="shared" si="357"/>
        <v/>
      </c>
      <c r="P78" s="2918">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5"/>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4276</v>
      </c>
      <c r="D79" s="2924"/>
      <c r="E79" s="2924"/>
      <c r="F79" s="8"/>
      <c r="G79" s="8"/>
      <c r="H79" s="109" t="s">
        <v>111</v>
      </c>
      <c r="I79" s="36"/>
      <c r="J79" s="1"/>
      <c r="K79" s="2921" t="str">
        <f t="shared" ref="K79:P79" si="358">IF(OR(K59=0,K67=0),"",K59/K67)</f>
        <v/>
      </c>
      <c r="L79" s="2922">
        <f t="shared" si="358"/>
        <v>0.5</v>
      </c>
      <c r="M79" s="2922">
        <f t="shared" si="358"/>
        <v>0.375</v>
      </c>
      <c r="N79" s="2922">
        <f t="shared" si="358"/>
        <v>0.33333333333333331</v>
      </c>
      <c r="O79" s="2922" t="str">
        <f t="shared" si="358"/>
        <v/>
      </c>
      <c r="P79" s="2923">
        <f t="shared" si="358"/>
        <v>0.39583333333333331</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5"/>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4"/>
      <c r="E80" s="2924"/>
      <c r="F80" s="8"/>
      <c r="G80" s="8"/>
      <c r="H80" s="109" t="s">
        <v>6816</v>
      </c>
      <c r="I80" s="36"/>
      <c r="J80" s="1"/>
      <c r="K80" s="2914" t="str">
        <f>IF(OR(K59=0,P79="",K67=0),"",P79*K67)</f>
        <v/>
      </c>
      <c r="L80" s="2914">
        <f>IF(OR(L59=0,P79="",L67=0),"",P79*L67)</f>
        <v>4.75</v>
      </c>
      <c r="M80" s="2914">
        <f>IF(OR(M59=0,P79="",M67=0),"",P79*M67)</f>
        <v>9.5</v>
      </c>
      <c r="N80" s="2914">
        <f>IF(OR(N59=0,P79="",N67=0),"",P79*N67)</f>
        <v>4.75</v>
      </c>
      <c r="O80" s="2914" t="str">
        <f>IF(OR(O59=0,P79="",O67=0),"",P79*O67)</f>
        <v/>
      </c>
      <c r="P80" s="2915">
        <f>IF(OR(P79="",P67=0),"",P79*P67)</f>
        <v>19</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5"/>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4"/>
      <c r="E81" s="2924"/>
      <c r="F81" s="8"/>
      <c r="G81" s="1579"/>
      <c r="H81" s="2916" t="s">
        <v>6817</v>
      </c>
      <c r="I81" s="2917"/>
      <c r="J81" s="1"/>
      <c r="K81" s="2918" t="str">
        <f t="shared" ref="K81:P81" si="359">IF(OR(K80="",K59=0),"", K59-K80)</f>
        <v/>
      </c>
      <c r="L81" s="2918">
        <f t="shared" si="359"/>
        <v>1.25</v>
      </c>
      <c r="M81" s="2918">
        <f t="shared" si="359"/>
        <v>-0.5</v>
      </c>
      <c r="N81" s="2918">
        <f t="shared" si="359"/>
        <v>-0.75</v>
      </c>
      <c r="O81" s="2918" t="str">
        <f t="shared" si="359"/>
        <v/>
      </c>
      <c r="P81" s="2918">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5"/>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4276</v>
      </c>
      <c r="D82" s="2924"/>
      <c r="E82" s="2924"/>
      <c r="F82" s="8"/>
      <c r="G82" s="8"/>
      <c r="H82" s="109" t="s">
        <v>3834</v>
      </c>
      <c r="I82" s="36"/>
      <c r="J82" s="1"/>
      <c r="K82" s="2921" t="str">
        <f t="shared" ref="K82:P82" si="360">IF(OR(K60=0,K67=0),"",K60/K67)</f>
        <v/>
      </c>
      <c r="L82" s="2922" t="str">
        <f t="shared" si="360"/>
        <v/>
      </c>
      <c r="M82" s="2922" t="str">
        <f t="shared" si="360"/>
        <v/>
      </c>
      <c r="N82" s="2922" t="str">
        <f t="shared" si="360"/>
        <v/>
      </c>
      <c r="O82" s="2922" t="str">
        <f t="shared" si="360"/>
        <v/>
      </c>
      <c r="P82" s="2923"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5"/>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6816</v>
      </c>
      <c r="I83" s="36"/>
      <c r="J83" s="1"/>
      <c r="K83" s="2914" t="str">
        <f>IF(OR(K60=0,P82="",K67=0),"",P82*K67)</f>
        <v/>
      </c>
      <c r="L83" s="2914" t="str">
        <f>IF(OR(L60=0,P82="",L67=0),"",P82*L67)</f>
        <v/>
      </c>
      <c r="M83" s="2914" t="str">
        <f>IF(OR(M60=0,P82="",M67=0),"",P82*M67)</f>
        <v/>
      </c>
      <c r="N83" s="2914" t="str">
        <f>IF(OR(N60=0,P82="",N67=0),"",P82*N67)</f>
        <v/>
      </c>
      <c r="O83" s="2914" t="str">
        <f>IF(OR(O60=0,P82="",O67=0),"",P82*O67)</f>
        <v/>
      </c>
      <c r="P83" s="2915"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5"/>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6" t="s">
        <v>6817</v>
      </c>
      <c r="I84" s="2917"/>
      <c r="J84" s="1"/>
      <c r="K84" s="2918" t="str">
        <f t="shared" ref="K84:P84" si="361">IF(OR(K83="",K60=0),"", K60-K83)</f>
        <v/>
      </c>
      <c r="L84" s="2918" t="str">
        <f t="shared" si="361"/>
        <v/>
      </c>
      <c r="M84" s="2918" t="str">
        <f t="shared" si="361"/>
        <v/>
      </c>
      <c r="N84" s="2918" t="str">
        <f t="shared" si="361"/>
        <v/>
      </c>
      <c r="O84" s="2918" t="str">
        <f t="shared" si="361"/>
        <v/>
      </c>
      <c r="P84" s="2918"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5"/>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4276</v>
      </c>
      <c r="D85" s="8"/>
      <c r="E85" s="8"/>
      <c r="F85" s="8"/>
      <c r="G85" s="8"/>
      <c r="H85" s="109" t="s">
        <v>3835</v>
      </c>
      <c r="I85" s="36"/>
      <c r="J85" s="1"/>
      <c r="K85" s="2921" t="str">
        <f t="shared" ref="K85:P85" si="362">IF(OR(K61=0,K67=0),"",K61/K67)</f>
        <v/>
      </c>
      <c r="L85" s="2922" t="str">
        <f t="shared" si="362"/>
        <v/>
      </c>
      <c r="M85" s="2922" t="str">
        <f t="shared" si="362"/>
        <v/>
      </c>
      <c r="N85" s="2922" t="str">
        <f t="shared" si="362"/>
        <v/>
      </c>
      <c r="O85" s="2922" t="str">
        <f t="shared" si="362"/>
        <v/>
      </c>
      <c r="P85" s="2923"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5"/>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6816</v>
      </c>
      <c r="I86" s="36"/>
      <c r="J86" s="1"/>
      <c r="K86" s="2914" t="str">
        <f>IF(OR(K61=0,P85="",K67=0),"",P85*K67)</f>
        <v/>
      </c>
      <c r="L86" s="2914" t="str">
        <f>IF(OR(L61=0,P85="",L67=0),"",P85*L67)</f>
        <v/>
      </c>
      <c r="M86" s="2914" t="str">
        <f>IF(OR(M61=0,P85="",M67=0),"",P85*M67)</f>
        <v/>
      </c>
      <c r="N86" s="2914" t="str">
        <f>IF(OR(N61=0,P85="",N67=0),"",P85*N67)</f>
        <v/>
      </c>
      <c r="O86" s="2914" t="str">
        <f>IF(OR(O61=0,P85="",O67=0),"",P85*O67)</f>
        <v/>
      </c>
      <c r="P86" s="2915"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5"/>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6" t="s">
        <v>6817</v>
      </c>
      <c r="I87" s="2917"/>
      <c r="J87" s="1"/>
      <c r="K87" s="2918" t="str">
        <f t="shared" ref="K87:P87" si="363">IF(OR(K86="",K61=0),"", K61-K86)</f>
        <v/>
      </c>
      <c r="L87" s="2918" t="str">
        <f t="shared" si="363"/>
        <v/>
      </c>
      <c r="M87" s="2918" t="str">
        <f t="shared" si="363"/>
        <v/>
      </c>
      <c r="N87" s="2918" t="str">
        <f t="shared" si="363"/>
        <v/>
      </c>
      <c r="O87" s="2918" t="str">
        <f t="shared" si="363"/>
        <v/>
      </c>
      <c r="P87" s="2918"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5"/>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4276</v>
      </c>
      <c r="D88" s="8"/>
      <c r="E88" s="8"/>
      <c r="F88" s="8"/>
      <c r="G88" s="8"/>
      <c r="H88" s="102" t="s">
        <v>3836</v>
      </c>
      <c r="I88" s="52"/>
      <c r="J88" s="1"/>
      <c r="K88" s="2921" t="str">
        <f t="shared" ref="K88:P88" si="364">IF(OR(K62=0,K67=0),"",K62/K67)</f>
        <v/>
      </c>
      <c r="L88" s="2922" t="str">
        <f t="shared" si="364"/>
        <v/>
      </c>
      <c r="M88" s="2922" t="str">
        <f t="shared" si="364"/>
        <v/>
      </c>
      <c r="N88" s="2922" t="str">
        <f t="shared" si="364"/>
        <v/>
      </c>
      <c r="O88" s="2922" t="str">
        <f t="shared" si="364"/>
        <v/>
      </c>
      <c r="P88" s="2923"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5"/>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5"/>
      <c r="E89" s="2925"/>
      <c r="F89" s="8"/>
      <c r="G89" s="8"/>
      <c r="H89" s="109" t="s">
        <v>6816</v>
      </c>
      <c r="I89" s="36"/>
      <c r="J89" s="1"/>
      <c r="K89" s="2914" t="str">
        <f>IF(OR(K62=0,P88="",K67=0),"",P88*K67)</f>
        <v/>
      </c>
      <c r="L89" s="2914" t="str">
        <f>IF(OR(L62=0,P88="",L67=0),"",P88*L67)</f>
        <v/>
      </c>
      <c r="M89" s="2914" t="str">
        <f>IF(OR(M62=0,P88="",M67=0),"",P88*M67)</f>
        <v/>
      </c>
      <c r="N89" s="2914" t="str">
        <f>IF(OR(N62=0,P88="",N67=0),"",P88*N67)</f>
        <v/>
      </c>
      <c r="O89" s="2914" t="str">
        <f>IF(OR(O62=0,P88="",O67=0),"",P88*O67)</f>
        <v/>
      </c>
      <c r="P89" s="2915"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5"/>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4"/>
      <c r="E90" s="2924"/>
      <c r="F90" s="8"/>
      <c r="G90" s="1579"/>
      <c r="H90" s="2916" t="s">
        <v>6817</v>
      </c>
      <c r="I90" s="2917"/>
      <c r="J90" s="1"/>
      <c r="K90" s="2926" t="str">
        <f t="shared" ref="K90:P90" si="365">IF(OR(K89="",K62=0),"", K62-K89)</f>
        <v/>
      </c>
      <c r="L90" s="2926" t="str">
        <f t="shared" si="365"/>
        <v/>
      </c>
      <c r="M90" s="2926" t="str">
        <f t="shared" si="365"/>
        <v/>
      </c>
      <c r="N90" s="2926" t="str">
        <f t="shared" si="365"/>
        <v/>
      </c>
      <c r="O90" s="2926" t="str">
        <f t="shared" si="365"/>
        <v/>
      </c>
      <c r="P90" s="2926"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5"/>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3832</v>
      </c>
      <c r="I93" s="36"/>
      <c r="J93" s="82"/>
      <c r="K93" s="1209">
        <f>CP49</f>
        <v>0</v>
      </c>
      <c r="L93" s="1210">
        <f>CQ49</f>
        <v>0</v>
      </c>
      <c r="M93" s="1210">
        <f>CR49</f>
        <v>0</v>
      </c>
      <c r="N93" s="1210">
        <f>CS49</f>
        <v>0</v>
      </c>
      <c r="O93" s="1211">
        <f>CT49</f>
        <v>0</v>
      </c>
      <c r="P93" s="835">
        <f t="shared" ref="P93:P100" si="366">SUM(K93:O93)</f>
        <v>0</v>
      </c>
      <c r="S93" s="3847"/>
      <c r="T93" s="3848"/>
      <c r="U93" s="3848"/>
      <c r="V93" s="3848"/>
      <c r="W93" s="3849"/>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2395</v>
      </c>
      <c r="D94" s="1"/>
      <c r="E94" s="109"/>
      <c r="F94" s="1"/>
      <c r="G94" s="82"/>
      <c r="H94" s="109" t="s">
        <v>3833</v>
      </c>
      <c r="I94" s="36"/>
      <c r="J94" s="82"/>
      <c r="K94" s="1212">
        <f>CK49</f>
        <v>0</v>
      </c>
      <c r="L94" s="1213">
        <f>CL49</f>
        <v>0</v>
      </c>
      <c r="M94" s="1213">
        <f>CM49</f>
        <v>0</v>
      </c>
      <c r="N94" s="1213">
        <f>CN49</f>
        <v>0</v>
      </c>
      <c r="O94" s="1214">
        <f>CO49</f>
        <v>0</v>
      </c>
      <c r="P94" s="1178">
        <f t="shared" si="366"/>
        <v>0</v>
      </c>
      <c r="S94" s="3838"/>
      <c r="T94" s="3839"/>
      <c r="U94" s="3839"/>
      <c r="V94" s="3839"/>
      <c r="W94" s="3840"/>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8"/>
      <c r="T95" s="3839"/>
      <c r="U95" s="3839"/>
      <c r="V95" s="3839"/>
      <c r="W95" s="3840"/>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8"/>
      <c r="T96" s="3839"/>
      <c r="U96" s="3839"/>
      <c r="V96" s="3839"/>
      <c r="W96" s="3840"/>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3834</v>
      </c>
      <c r="I97" s="52"/>
      <c r="J97" s="982"/>
      <c r="K97" s="1212">
        <f>BV49</f>
        <v>0</v>
      </c>
      <c r="L97" s="1213">
        <f>BW49</f>
        <v>0</v>
      </c>
      <c r="M97" s="1213">
        <f>BX49</f>
        <v>0</v>
      </c>
      <c r="N97" s="1213">
        <f>BY49</f>
        <v>0</v>
      </c>
      <c r="O97" s="1214">
        <f>BZ49</f>
        <v>0</v>
      </c>
      <c r="P97" s="1178">
        <f t="shared" si="366"/>
        <v>0</v>
      </c>
      <c r="S97" s="3838"/>
      <c r="T97" s="3839"/>
      <c r="U97" s="3839"/>
      <c r="V97" s="3839"/>
      <c r="W97" s="3840"/>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3835</v>
      </c>
      <c r="I98" s="36"/>
      <c r="J98" s="82"/>
      <c r="K98" s="1212">
        <f>BQ49</f>
        <v>0</v>
      </c>
      <c r="L98" s="1213">
        <f>BR49</f>
        <v>0</v>
      </c>
      <c r="M98" s="1213">
        <f>BS49</f>
        <v>0</v>
      </c>
      <c r="N98" s="1213">
        <f>BT49</f>
        <v>0</v>
      </c>
      <c r="O98" s="1214">
        <f>BU49</f>
        <v>0</v>
      </c>
      <c r="P98" s="1178">
        <f t="shared" si="366"/>
        <v>0</v>
      </c>
      <c r="S98" s="3838"/>
      <c r="T98" s="3839"/>
      <c r="U98" s="3839"/>
      <c r="V98" s="3839"/>
      <c r="W98" s="3840"/>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3836</v>
      </c>
      <c r="I99" s="36"/>
      <c r="J99" s="82"/>
      <c r="K99" s="1215">
        <f>BL49</f>
        <v>0</v>
      </c>
      <c r="L99" s="1216">
        <f>BM49</f>
        <v>0</v>
      </c>
      <c r="M99" s="1216">
        <f>BN49</f>
        <v>0</v>
      </c>
      <c r="N99" s="1216">
        <f>BO49</f>
        <v>0</v>
      </c>
      <c r="O99" s="1217">
        <f>BP49</f>
        <v>0</v>
      </c>
      <c r="P99" s="836">
        <f t="shared" si="366"/>
        <v>0</v>
      </c>
      <c r="S99" s="3838"/>
      <c r="T99" s="3839"/>
      <c r="U99" s="3839"/>
      <c r="V99" s="3839"/>
      <c r="W99" s="3840"/>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50"/>
      <c r="T100" s="3851"/>
      <c r="U100" s="3851"/>
      <c r="V100" s="3851"/>
      <c r="W100" s="3852"/>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4058</v>
      </c>
      <c r="H102" s="89"/>
      <c r="L102" s="3844" t="str">
        <f>$L$53</f>
        <v>Income Averaging</v>
      </c>
      <c r="M102" s="3845"/>
      <c r="N102" s="3845"/>
      <c r="O102" s="3846"/>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3832</v>
      </c>
      <c r="I104" s="36"/>
      <c r="J104" s="82"/>
      <c r="K104" s="1209">
        <f>DY49</f>
        <v>0</v>
      </c>
      <c r="L104" s="1210">
        <f>DZ49</f>
        <v>0</v>
      </c>
      <c r="M104" s="1210">
        <f>EA49</f>
        <v>0</v>
      </c>
      <c r="N104" s="1210">
        <f>EB49</f>
        <v>0</v>
      </c>
      <c r="O104" s="1211">
        <f>EC49</f>
        <v>0</v>
      </c>
      <c r="P104" s="837">
        <f t="shared" ref="P104:P111" si="367">SUM(K104:O104)</f>
        <v>0</v>
      </c>
      <c r="S104" s="3847"/>
      <c r="T104" s="3848"/>
      <c r="U104" s="3848"/>
      <c r="V104" s="3848"/>
      <c r="W104" s="3849"/>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2395</v>
      </c>
      <c r="D105" s="403"/>
      <c r="E105" s="403"/>
      <c r="F105" s="1"/>
      <c r="G105" s="82"/>
      <c r="H105" s="109" t="s">
        <v>3833</v>
      </c>
      <c r="I105" s="36"/>
      <c r="J105" s="82"/>
      <c r="K105" s="1212">
        <f>DT49</f>
        <v>0</v>
      </c>
      <c r="L105" s="1213">
        <f>DU49</f>
        <v>0</v>
      </c>
      <c r="M105" s="1213">
        <f>DV49</f>
        <v>0</v>
      </c>
      <c r="N105" s="1213">
        <f>DW49</f>
        <v>0</v>
      </c>
      <c r="O105" s="1214">
        <f>DX49</f>
        <v>0</v>
      </c>
      <c r="P105" s="833">
        <f t="shared" si="367"/>
        <v>0</v>
      </c>
      <c r="S105" s="3838"/>
      <c r="T105" s="3839"/>
      <c r="U105" s="3839"/>
      <c r="V105" s="3839"/>
      <c r="W105" s="3840"/>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8"/>
      <c r="T106" s="3839"/>
      <c r="U106" s="3839"/>
      <c r="V106" s="3839"/>
      <c r="W106" s="3840"/>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8"/>
      <c r="T107" s="3839"/>
      <c r="U107" s="3839"/>
      <c r="V107" s="3839"/>
      <c r="W107" s="3840"/>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3834</v>
      </c>
      <c r="I108" s="52"/>
      <c r="J108" s="982"/>
      <c r="K108" s="1212">
        <f>DE49</f>
        <v>0</v>
      </c>
      <c r="L108" s="1213">
        <f>DF49</f>
        <v>0</v>
      </c>
      <c r="M108" s="1213">
        <f>DG49</f>
        <v>0</v>
      </c>
      <c r="N108" s="1213">
        <f>DH49</f>
        <v>0</v>
      </c>
      <c r="O108" s="1214">
        <f>DI49</f>
        <v>0</v>
      </c>
      <c r="P108" s="833">
        <f t="shared" si="367"/>
        <v>0</v>
      </c>
      <c r="S108" s="3838"/>
      <c r="T108" s="3839"/>
      <c r="U108" s="3839"/>
      <c r="V108" s="3839"/>
      <c r="W108" s="3840"/>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3835</v>
      </c>
      <c r="I109" s="36"/>
      <c r="J109" s="82"/>
      <c r="K109" s="1212">
        <f>CZ49</f>
        <v>0</v>
      </c>
      <c r="L109" s="1213">
        <f>DA49</f>
        <v>0</v>
      </c>
      <c r="M109" s="1213">
        <f>DB49</f>
        <v>0</v>
      </c>
      <c r="N109" s="1213">
        <f>DC49</f>
        <v>0</v>
      </c>
      <c r="O109" s="1214">
        <f>DD49</f>
        <v>0</v>
      </c>
      <c r="P109" s="833">
        <f t="shared" si="367"/>
        <v>0</v>
      </c>
      <c r="S109" s="3838"/>
      <c r="T109" s="3839"/>
      <c r="U109" s="3839"/>
      <c r="V109" s="3839"/>
      <c r="W109" s="3840"/>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3836</v>
      </c>
      <c r="I110" s="36"/>
      <c r="J110" s="82"/>
      <c r="K110" s="1215">
        <f>CU49</f>
        <v>0</v>
      </c>
      <c r="L110" s="1216">
        <f>CV49</f>
        <v>0</v>
      </c>
      <c r="M110" s="1216">
        <f>CW49</f>
        <v>0</v>
      </c>
      <c r="N110" s="1216">
        <f>CX49</f>
        <v>0</v>
      </c>
      <c r="O110" s="1217">
        <f>CY49</f>
        <v>0</v>
      </c>
      <c r="P110" s="834">
        <f t="shared" si="367"/>
        <v>0</v>
      </c>
      <c r="S110" s="3838"/>
      <c r="T110" s="3839"/>
      <c r="U110" s="3839"/>
      <c r="V110" s="3839"/>
      <c r="W110" s="3840"/>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50"/>
      <c r="T111" s="3851"/>
      <c r="U111" s="3851"/>
      <c r="V111" s="3851"/>
      <c r="W111" s="3852"/>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41" t="s">
        <v>35</v>
      </c>
      <c r="D113" s="3941"/>
      <c r="E113" s="102" t="s">
        <v>2193</v>
      </c>
      <c r="F113" s="1"/>
      <c r="G113" s="82"/>
      <c r="H113" s="109" t="s">
        <v>1377</v>
      </c>
      <c r="I113" s="36"/>
      <c r="J113" s="82"/>
      <c r="K113" s="1200">
        <f>GG49</f>
        <v>0</v>
      </c>
      <c r="L113" s="1201">
        <f>GH49</f>
        <v>12</v>
      </c>
      <c r="M113" s="1201">
        <f>GI49</f>
        <v>24</v>
      </c>
      <c r="N113" s="1201">
        <f>GJ49</f>
        <v>12</v>
      </c>
      <c r="O113" s="1202">
        <f>GK49</f>
        <v>0</v>
      </c>
      <c r="P113" s="837">
        <f t="shared" ref="P113:P123" si="368">SUM(K113:O113)</f>
        <v>48</v>
      </c>
      <c r="S113" s="3847"/>
      <c r="T113" s="3848"/>
      <c r="U113" s="3848"/>
      <c r="V113" s="3848"/>
      <c r="W113" s="3849"/>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41"/>
      <c r="D114" s="3941"/>
      <c r="E114" s="109"/>
      <c r="F114" s="1"/>
      <c r="G114" s="82"/>
      <c r="H114" s="109" t="s">
        <v>292</v>
      </c>
      <c r="I114" s="36"/>
      <c r="J114" s="82"/>
      <c r="K114" s="1206">
        <f>GL49</f>
        <v>0</v>
      </c>
      <c r="L114" s="1207">
        <f>GM49</f>
        <v>0</v>
      </c>
      <c r="M114" s="1207">
        <f>GN49</f>
        <v>0</v>
      </c>
      <c r="N114" s="1207">
        <f>GO49</f>
        <v>0</v>
      </c>
      <c r="O114" s="1208">
        <f>GP49</f>
        <v>0</v>
      </c>
      <c r="P114" s="834">
        <f t="shared" si="368"/>
        <v>0</v>
      </c>
      <c r="S114" s="3838"/>
      <c r="T114" s="3839"/>
      <c r="U114" s="3839"/>
      <c r="V114" s="3839"/>
      <c r="W114" s="3840"/>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41"/>
      <c r="D115" s="3941"/>
      <c r="E115" s="109"/>
      <c r="F115" s="1"/>
      <c r="G115" s="82"/>
      <c r="H115" s="163" t="s">
        <v>29</v>
      </c>
      <c r="I115" s="86"/>
      <c r="J115" s="82"/>
      <c r="K115" s="1181">
        <f>SUM(K113:K114)+GQ49</f>
        <v>0</v>
      </c>
      <c r="L115" s="1181">
        <f>SUM(L113:L114)+GR49</f>
        <v>12</v>
      </c>
      <c r="M115" s="1181">
        <f>SUM(M113:M114)+GS49</f>
        <v>24</v>
      </c>
      <c r="N115" s="1181">
        <f>SUM(N113:N114)+GT49</f>
        <v>12</v>
      </c>
      <c r="O115" s="1181">
        <f>SUM(O113:O114)+GU49</f>
        <v>0</v>
      </c>
      <c r="P115" s="1181">
        <f t="shared" si="368"/>
        <v>48</v>
      </c>
      <c r="S115" s="3838"/>
      <c r="T115" s="3839"/>
      <c r="U115" s="3839"/>
      <c r="V115" s="3839"/>
      <c r="W115" s="3840"/>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41"/>
      <c r="D116" s="3941"/>
      <c r="E116" s="102" t="s">
        <v>2044</v>
      </c>
      <c r="F116" s="1"/>
      <c r="G116" s="82"/>
      <c r="H116" s="109" t="s">
        <v>1377</v>
      </c>
      <c r="I116" s="36"/>
      <c r="J116" s="82"/>
      <c r="K116" s="1200">
        <f>GV49</f>
        <v>0</v>
      </c>
      <c r="L116" s="1201">
        <f>GW49</f>
        <v>0</v>
      </c>
      <c r="M116" s="1201">
        <f>GX49</f>
        <v>0</v>
      </c>
      <c r="N116" s="1201">
        <f>GY49</f>
        <v>0</v>
      </c>
      <c r="O116" s="1202">
        <f>GZ49</f>
        <v>0</v>
      </c>
      <c r="P116" s="837">
        <f t="shared" si="368"/>
        <v>0</v>
      </c>
      <c r="S116" s="3838"/>
      <c r="T116" s="3839"/>
      <c r="U116" s="3839"/>
      <c r="V116" s="3839"/>
      <c r="W116" s="3840"/>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41"/>
      <c r="D117" s="3941"/>
      <c r="E117" s="109"/>
      <c r="F117" s="1"/>
      <c r="G117" s="82"/>
      <c r="H117" s="109" t="s">
        <v>292</v>
      </c>
      <c r="I117" s="36"/>
      <c r="J117" s="82"/>
      <c r="K117" s="1206">
        <f>HA49</f>
        <v>0</v>
      </c>
      <c r="L117" s="1207">
        <f>HB49</f>
        <v>0</v>
      </c>
      <c r="M117" s="1207">
        <f>HC49</f>
        <v>0</v>
      </c>
      <c r="N117" s="1207">
        <f>HD49</f>
        <v>0</v>
      </c>
      <c r="O117" s="1208">
        <f>HE49</f>
        <v>0</v>
      </c>
      <c r="P117" s="834">
        <f t="shared" si="368"/>
        <v>0</v>
      </c>
      <c r="S117" s="3838"/>
      <c r="T117" s="3839"/>
      <c r="U117" s="3839"/>
      <c r="V117" s="3839"/>
      <c r="W117" s="3840"/>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41"/>
      <c r="D118" s="3941"/>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8"/>
      <c r="T118" s="3839"/>
      <c r="U118" s="3839"/>
      <c r="V118" s="3839"/>
      <c r="W118" s="3840"/>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84" t="s">
        <v>1368</v>
      </c>
      <c r="F119" s="3884"/>
      <c r="G119" s="82"/>
      <c r="H119" s="109" t="s">
        <v>1377</v>
      </c>
      <c r="I119" s="36"/>
      <c r="J119" s="82"/>
      <c r="K119" s="1200">
        <f>HK49</f>
        <v>0</v>
      </c>
      <c r="L119" s="1201">
        <f>HL49</f>
        <v>0</v>
      </c>
      <c r="M119" s="1201">
        <f>HM49</f>
        <v>0</v>
      </c>
      <c r="N119" s="1201">
        <f>HN49</f>
        <v>0</v>
      </c>
      <c r="O119" s="1202">
        <f>HO49</f>
        <v>0</v>
      </c>
      <c r="P119" s="837">
        <f t="shared" si="368"/>
        <v>0</v>
      </c>
      <c r="S119" s="3838"/>
      <c r="T119" s="3839"/>
      <c r="U119" s="3839"/>
      <c r="V119" s="3839"/>
      <c r="W119" s="3840"/>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84"/>
      <c r="F120" s="3884"/>
      <c r="G120" s="82"/>
      <c r="H120" s="109" t="s">
        <v>292</v>
      </c>
      <c r="I120" s="36"/>
      <c r="J120" s="82"/>
      <c r="K120" s="1206">
        <f>HP49</f>
        <v>0</v>
      </c>
      <c r="L120" s="1207">
        <f>HQ49</f>
        <v>0</v>
      </c>
      <c r="M120" s="1207">
        <f>HR49</f>
        <v>0</v>
      </c>
      <c r="N120" s="1207">
        <f>HS49</f>
        <v>0</v>
      </c>
      <c r="O120" s="1208">
        <f>HT49</f>
        <v>0</v>
      </c>
      <c r="P120" s="834">
        <f t="shared" si="368"/>
        <v>0</v>
      </c>
      <c r="S120" s="3838"/>
      <c r="T120" s="3839"/>
      <c r="U120" s="3839"/>
      <c r="V120" s="3839"/>
      <c r="W120" s="3840"/>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8"/>
      <c r="T121" s="3839"/>
      <c r="U121" s="3839"/>
      <c r="V121" s="3839"/>
      <c r="W121" s="3840"/>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7"/>
      <c r="L122" s="2927"/>
      <c r="M122" s="2927"/>
      <c r="N122" s="2927"/>
      <c r="O122" s="2927"/>
      <c r="P122" s="539">
        <f t="shared" si="368"/>
        <v>0</v>
      </c>
      <c r="S122" s="3838"/>
      <c r="T122" s="3839"/>
      <c r="U122" s="3839"/>
      <c r="V122" s="3839"/>
      <c r="W122" s="3840"/>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40" t="str">
        <f>IF(AND('Part IV-A-Uses of Funds'!$T$185="Yes",'Part IX Scoring Criteria'!$O$330&gt;0,P123&lt;1),"SHOW HISTORIC UNITS HERE &gt;&gt;&gt;&gt;","")</f>
        <v/>
      </c>
      <c r="B123" s="3940"/>
      <c r="C123" s="3940"/>
      <c r="D123" s="3940"/>
      <c r="E123" s="462" t="s">
        <v>3141</v>
      </c>
      <c r="F123" s="1"/>
      <c r="G123" s="170"/>
      <c r="H123" s="110"/>
      <c r="I123" s="82"/>
      <c r="J123" s="82"/>
      <c r="K123" s="2928"/>
      <c r="L123" s="2928"/>
      <c r="M123" s="2928"/>
      <c r="N123" s="2928"/>
      <c r="O123" s="2928"/>
      <c r="P123" s="540">
        <f t="shared" si="368"/>
        <v>0</v>
      </c>
      <c r="S123" s="3838"/>
      <c r="T123" s="3839"/>
      <c r="U123" s="3839"/>
      <c r="V123" s="3839"/>
      <c r="W123" s="3840"/>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8"/>
      <c r="T124" s="3839"/>
      <c r="U124" s="3839"/>
      <c r="V124" s="3839"/>
      <c r="W124" s="3840"/>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3118</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50"/>
      <c r="T125" s="3851"/>
      <c r="U125" s="3851"/>
      <c r="V125" s="3851"/>
      <c r="W125" s="3852"/>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57" t="s">
        <v>6821</v>
      </c>
      <c r="D127" s="3857"/>
      <c r="E127" s="978" t="s">
        <v>36</v>
      </c>
      <c r="F127" s="866"/>
      <c r="G127" s="979"/>
      <c r="H127" s="1504"/>
      <c r="I127" s="980"/>
      <c r="J127" s="981"/>
      <c r="K127" s="1221">
        <f t="shared" ref="K127:P127" si="369">SUM(K128:K135)</f>
        <v>0</v>
      </c>
      <c r="L127" s="1222">
        <f t="shared" si="369"/>
        <v>12</v>
      </c>
      <c r="M127" s="1222">
        <f t="shared" si="369"/>
        <v>24</v>
      </c>
      <c r="N127" s="1222">
        <f t="shared" si="369"/>
        <v>12</v>
      </c>
      <c r="O127" s="1223">
        <f t="shared" si="369"/>
        <v>0</v>
      </c>
      <c r="P127" s="1184">
        <f t="shared" si="369"/>
        <v>48</v>
      </c>
      <c r="S127" s="3847"/>
      <c r="T127" s="3848"/>
      <c r="U127" s="3848"/>
      <c r="V127" s="3848"/>
      <c r="W127" s="3849"/>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58"/>
      <c r="D128" s="3858"/>
      <c r="E128" s="102"/>
      <c r="F128" s="5"/>
      <c r="G128" s="150"/>
      <c r="H128" s="1501" t="s">
        <v>6599</v>
      </c>
      <c r="I128" s="783"/>
      <c r="J128" s="982"/>
      <c r="K128" s="1203">
        <f>JS49</f>
        <v>0</v>
      </c>
      <c r="L128" s="1204">
        <f>JT49</f>
        <v>12</v>
      </c>
      <c r="M128" s="1204">
        <f>JU49</f>
        <v>24</v>
      </c>
      <c r="N128" s="1204">
        <f>JV49</f>
        <v>12</v>
      </c>
      <c r="O128" s="1205">
        <f>JW49</f>
        <v>0</v>
      </c>
      <c r="P128" s="833">
        <f t="shared" ref="P128:P143" si="370">SUM(K128:O128)</f>
        <v>48</v>
      </c>
      <c r="S128" s="3838"/>
      <c r="T128" s="3839"/>
      <c r="U128" s="3839"/>
      <c r="V128" s="3839"/>
      <c r="W128" s="3840"/>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58"/>
      <c r="D129" s="3858"/>
      <c r="E129" s="102"/>
      <c r="F129" s="5"/>
      <c r="G129" s="150"/>
      <c r="H129" s="1505" t="s">
        <v>3118</v>
      </c>
      <c r="I129" s="94"/>
      <c r="J129" s="982"/>
      <c r="K129" s="1760">
        <f>KC49</f>
        <v>0</v>
      </c>
      <c r="L129" s="1761">
        <f>KD49</f>
        <v>0</v>
      </c>
      <c r="M129" s="1761">
        <f>KE49</f>
        <v>0</v>
      </c>
      <c r="N129" s="1761">
        <f>KF49</f>
        <v>0</v>
      </c>
      <c r="O129" s="1762">
        <f>KG49</f>
        <v>0</v>
      </c>
      <c r="P129" s="1772">
        <f t="shared" si="370"/>
        <v>0</v>
      </c>
      <c r="S129" s="3838"/>
      <c r="T129" s="3839"/>
      <c r="U129" s="3839"/>
      <c r="V129" s="3839"/>
      <c r="W129" s="3840"/>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58"/>
      <c r="D130" s="3858"/>
      <c r="E130" s="102"/>
      <c r="F130" s="5"/>
      <c r="G130" s="150"/>
      <c r="H130" s="1501" t="s">
        <v>6808</v>
      </c>
      <c r="I130" s="783"/>
      <c r="J130" s="982"/>
      <c r="K130" s="1203">
        <f>JX49</f>
        <v>0</v>
      </c>
      <c r="L130" s="1204">
        <f>JY49</f>
        <v>0</v>
      </c>
      <c r="M130" s="1204">
        <f>JZ49</f>
        <v>0</v>
      </c>
      <c r="N130" s="1204">
        <f>KA49</f>
        <v>0</v>
      </c>
      <c r="O130" s="1205">
        <f>KB49</f>
        <v>0</v>
      </c>
      <c r="P130" s="833">
        <f t="shared" ref="P130:P135" si="371">SUM(K130:O130)</f>
        <v>0</v>
      </c>
      <c r="S130" s="3838"/>
      <c r="T130" s="3839"/>
      <c r="U130" s="3839"/>
      <c r="V130" s="3839"/>
      <c r="W130" s="3840"/>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58"/>
      <c r="D131" s="3858"/>
      <c r="E131" s="102"/>
      <c r="F131" s="5"/>
      <c r="G131" s="150"/>
      <c r="H131" s="1505" t="s">
        <v>3118</v>
      </c>
      <c r="I131" s="94"/>
      <c r="J131" s="982"/>
      <c r="K131" s="1760">
        <f>KH49</f>
        <v>0</v>
      </c>
      <c r="L131" s="1761">
        <f>KI49</f>
        <v>0</v>
      </c>
      <c r="M131" s="1761">
        <f>KJ49</f>
        <v>0</v>
      </c>
      <c r="N131" s="1761">
        <f>KK49</f>
        <v>0</v>
      </c>
      <c r="O131" s="1762">
        <f>KL49</f>
        <v>0</v>
      </c>
      <c r="P131" s="1772">
        <f t="shared" si="371"/>
        <v>0</v>
      </c>
      <c r="S131" s="3838"/>
      <c r="T131" s="3839"/>
      <c r="U131" s="3839"/>
      <c r="V131" s="3839"/>
      <c r="W131" s="3840"/>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58"/>
      <c r="D132" s="3858"/>
      <c r="E132" s="102"/>
      <c r="F132" s="1"/>
      <c r="G132" s="82"/>
      <c r="H132" s="1496" t="s">
        <v>6601</v>
      </c>
      <c r="I132" s="40"/>
      <c r="J132" s="82"/>
      <c r="K132" s="1227">
        <f>KM49</f>
        <v>0</v>
      </c>
      <c r="L132" s="1228">
        <f>KN49</f>
        <v>0</v>
      </c>
      <c r="M132" s="1228">
        <f>KO49</f>
        <v>0</v>
      </c>
      <c r="N132" s="1228">
        <f>KP49</f>
        <v>0</v>
      </c>
      <c r="O132" s="1229">
        <f>KQ49</f>
        <v>0</v>
      </c>
      <c r="P132" s="543">
        <f t="shared" si="371"/>
        <v>0</v>
      </c>
      <c r="S132" s="3838"/>
      <c r="T132" s="3839"/>
      <c r="U132" s="3839"/>
      <c r="V132" s="3839"/>
      <c r="W132" s="3840"/>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58"/>
      <c r="D133" s="3858"/>
      <c r="E133" s="102"/>
      <c r="F133" s="1"/>
      <c r="G133" s="82"/>
      <c r="H133" s="1506" t="s">
        <v>3118</v>
      </c>
      <c r="I133" s="780"/>
      <c r="J133" s="82"/>
      <c r="K133" s="1768">
        <f>KW49</f>
        <v>0</v>
      </c>
      <c r="L133" s="1769">
        <f>KX49</f>
        <v>0</v>
      </c>
      <c r="M133" s="1769">
        <f>KY49</f>
        <v>0</v>
      </c>
      <c r="N133" s="1769">
        <f>KZ49</f>
        <v>0</v>
      </c>
      <c r="O133" s="1770">
        <f>LA49</f>
        <v>0</v>
      </c>
      <c r="P133" s="1771">
        <f t="shared" si="371"/>
        <v>0</v>
      </c>
      <c r="S133" s="3838"/>
      <c r="T133" s="3839"/>
      <c r="U133" s="3839"/>
      <c r="V133" s="3839"/>
      <c r="W133" s="3840"/>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58"/>
      <c r="D134" s="3858"/>
      <c r="E134" s="102"/>
      <c r="F134" s="1"/>
      <c r="G134" s="82"/>
      <c r="H134" s="1496" t="s">
        <v>6815</v>
      </c>
      <c r="I134" s="40"/>
      <c r="J134" s="82"/>
      <c r="K134" s="1227">
        <f>KR49</f>
        <v>0</v>
      </c>
      <c r="L134" s="1228">
        <f>KS49</f>
        <v>0</v>
      </c>
      <c r="M134" s="1228">
        <f>KT49</f>
        <v>0</v>
      </c>
      <c r="N134" s="1228">
        <f>KU49</f>
        <v>0</v>
      </c>
      <c r="O134" s="1229">
        <f>KV49</f>
        <v>0</v>
      </c>
      <c r="P134" s="543">
        <f t="shared" si="371"/>
        <v>0</v>
      </c>
      <c r="S134" s="3838"/>
      <c r="T134" s="3839"/>
      <c r="U134" s="3839"/>
      <c r="V134" s="3839"/>
      <c r="W134" s="3840"/>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58"/>
      <c r="D135" s="3858"/>
      <c r="E135" s="102"/>
      <c r="F135" s="1"/>
      <c r="G135" s="82"/>
      <c r="H135" s="1506" t="s">
        <v>3118</v>
      </c>
      <c r="I135" s="780"/>
      <c r="J135" s="82"/>
      <c r="K135" s="1768">
        <f>LB49</f>
        <v>0</v>
      </c>
      <c r="L135" s="1769">
        <f>LC49</f>
        <v>0</v>
      </c>
      <c r="M135" s="1769">
        <f>LD49</f>
        <v>0</v>
      </c>
      <c r="N135" s="1769">
        <f>LE49</f>
        <v>0</v>
      </c>
      <c r="O135" s="1770">
        <f>LF49</f>
        <v>0</v>
      </c>
      <c r="P135" s="1771">
        <f t="shared" si="371"/>
        <v>0</v>
      </c>
      <c r="S135" s="3838"/>
      <c r="T135" s="3839"/>
      <c r="U135" s="3839"/>
      <c r="V135" s="3839"/>
      <c r="W135" s="3840"/>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58"/>
      <c r="D136" s="3858"/>
      <c r="E136" s="102" t="s">
        <v>6810</v>
      </c>
      <c r="F136" s="1"/>
      <c r="G136" s="82"/>
      <c r="H136" s="1496"/>
      <c r="I136" s="40"/>
      <c r="J136" s="82"/>
      <c r="K136" s="1200">
        <f>IE49</f>
        <v>0</v>
      </c>
      <c r="L136" s="1201">
        <f>IF49</f>
        <v>0</v>
      </c>
      <c r="M136" s="1201">
        <f>IG49</f>
        <v>0</v>
      </c>
      <c r="N136" s="1201">
        <f>IH49</f>
        <v>0</v>
      </c>
      <c r="O136" s="1202">
        <f>II49</f>
        <v>0</v>
      </c>
      <c r="P136" s="1756">
        <f t="shared" si="370"/>
        <v>0</v>
      </c>
      <c r="S136" s="3838"/>
      <c r="T136" s="3839"/>
      <c r="U136" s="3839"/>
      <c r="V136" s="3839"/>
      <c r="W136" s="3840"/>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58"/>
      <c r="D137" s="3858"/>
      <c r="E137" s="102"/>
      <c r="F137" s="1"/>
      <c r="G137" s="82"/>
      <c r="H137" s="1506" t="s">
        <v>3118</v>
      </c>
      <c r="I137" s="780"/>
      <c r="J137" s="82"/>
      <c r="K137" s="1760">
        <f>IJ49</f>
        <v>0</v>
      </c>
      <c r="L137" s="1761">
        <f>IK49</f>
        <v>0</v>
      </c>
      <c r="M137" s="1761">
        <f>IL49</f>
        <v>0</v>
      </c>
      <c r="N137" s="1761">
        <f>IM49</f>
        <v>0</v>
      </c>
      <c r="O137" s="1762">
        <f>IN49</f>
        <v>0</v>
      </c>
      <c r="P137" s="1763">
        <f t="shared" si="370"/>
        <v>0</v>
      </c>
      <c r="S137" s="3838"/>
      <c r="T137" s="3839"/>
      <c r="U137" s="3839"/>
      <c r="V137" s="3839"/>
      <c r="W137" s="3840"/>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58"/>
      <c r="D138" s="3858"/>
      <c r="E138" s="102" t="s">
        <v>6811</v>
      </c>
      <c r="F138" s="1"/>
      <c r="G138" s="82"/>
      <c r="H138" s="1496"/>
      <c r="I138" s="40"/>
      <c r="J138" s="82"/>
      <c r="K138" s="1227">
        <f>JI49</f>
        <v>0</v>
      </c>
      <c r="L138" s="1228">
        <f>JJ49</f>
        <v>0</v>
      </c>
      <c r="M138" s="1228">
        <f>JK49</f>
        <v>0</v>
      </c>
      <c r="N138" s="1228">
        <f>JL49</f>
        <v>0</v>
      </c>
      <c r="O138" s="1229">
        <f>JM49</f>
        <v>0</v>
      </c>
      <c r="P138" s="1757">
        <f t="shared" si="370"/>
        <v>0</v>
      </c>
      <c r="S138" s="3838"/>
      <c r="T138" s="3839"/>
      <c r="U138" s="3839"/>
      <c r="V138" s="3839"/>
      <c r="W138" s="3840"/>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58"/>
      <c r="D139" s="3858"/>
      <c r="E139" s="102"/>
      <c r="F139" s="1"/>
      <c r="G139" s="82"/>
      <c r="H139" s="1506" t="s">
        <v>3118</v>
      </c>
      <c r="I139" s="780"/>
      <c r="J139" s="82"/>
      <c r="K139" s="1760">
        <f>JN49</f>
        <v>0</v>
      </c>
      <c r="L139" s="1761">
        <f>JO49</f>
        <v>0</v>
      </c>
      <c r="M139" s="1761">
        <f>JP49</f>
        <v>0</v>
      </c>
      <c r="N139" s="1761">
        <f>JQ49</f>
        <v>0</v>
      </c>
      <c r="O139" s="1762">
        <f>JR49</f>
        <v>0</v>
      </c>
      <c r="P139" s="1763">
        <f t="shared" si="370"/>
        <v>0</v>
      </c>
      <c r="S139" s="3838"/>
      <c r="T139" s="3839"/>
      <c r="U139" s="3839"/>
      <c r="V139" s="3839"/>
      <c r="W139" s="3840"/>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58"/>
      <c r="D140" s="3858"/>
      <c r="E140" s="109" t="s">
        <v>6595</v>
      </c>
      <c r="F140" s="1"/>
      <c r="G140" s="82"/>
      <c r="H140" s="1496"/>
      <c r="I140" s="40"/>
      <c r="J140" s="82"/>
      <c r="K140" s="1227">
        <f>IY49</f>
        <v>0</v>
      </c>
      <c r="L140" s="1228">
        <f>IZ49</f>
        <v>0</v>
      </c>
      <c r="M140" s="1228">
        <f>JA49</f>
        <v>0</v>
      </c>
      <c r="N140" s="1228">
        <f>JB49</f>
        <v>0</v>
      </c>
      <c r="O140" s="1229">
        <f>JC49</f>
        <v>0</v>
      </c>
      <c r="P140" s="1757">
        <f t="shared" si="370"/>
        <v>0</v>
      </c>
      <c r="S140" s="3838"/>
      <c r="T140" s="3839"/>
      <c r="U140" s="3839"/>
      <c r="V140" s="3839"/>
      <c r="W140" s="3840"/>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58"/>
      <c r="D141" s="3858"/>
      <c r="E141" s="109"/>
      <c r="F141" s="1"/>
      <c r="G141" s="82"/>
      <c r="H141" s="1506" t="s">
        <v>3118</v>
      </c>
      <c r="I141" s="780"/>
      <c r="J141" s="82"/>
      <c r="K141" s="1768">
        <f>JD49</f>
        <v>0</v>
      </c>
      <c r="L141" s="1769">
        <f>JE49</f>
        <v>0</v>
      </c>
      <c r="M141" s="1769">
        <f>JF49</f>
        <v>0</v>
      </c>
      <c r="N141" s="1769">
        <f>JG49</f>
        <v>0</v>
      </c>
      <c r="O141" s="1770">
        <f>JH49</f>
        <v>0</v>
      </c>
      <c r="P141" s="1763">
        <f t="shared" si="370"/>
        <v>0</v>
      </c>
      <c r="S141" s="3838"/>
      <c r="T141" s="3839"/>
      <c r="U141" s="3839"/>
      <c r="V141" s="3839"/>
      <c r="W141" s="3840"/>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58"/>
      <c r="D142" s="3858"/>
      <c r="E142" s="89" t="s">
        <v>537</v>
      </c>
      <c r="F142" s="1"/>
      <c r="G142" s="82"/>
      <c r="H142" s="1496"/>
      <c r="I142" s="40"/>
      <c r="J142" s="82"/>
      <c r="K142" s="1227">
        <f>IO49</f>
        <v>0</v>
      </c>
      <c r="L142" s="1228">
        <f>IP49</f>
        <v>0</v>
      </c>
      <c r="M142" s="1228">
        <f>IQ49</f>
        <v>0</v>
      </c>
      <c r="N142" s="1228">
        <f>IR49</f>
        <v>0</v>
      </c>
      <c r="O142" s="1229">
        <f>IS49</f>
        <v>0</v>
      </c>
      <c r="P142" s="1757">
        <f t="shared" si="370"/>
        <v>0</v>
      </c>
      <c r="S142" s="3838"/>
      <c r="T142" s="3839"/>
      <c r="U142" s="3839"/>
      <c r="V142" s="3839"/>
      <c r="W142" s="3840"/>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3118</v>
      </c>
      <c r="I143" s="780"/>
      <c r="J143" s="82"/>
      <c r="K143" s="1764">
        <f>IT49</f>
        <v>0</v>
      </c>
      <c r="L143" s="1765">
        <f>IU49</f>
        <v>0</v>
      </c>
      <c r="M143" s="1765">
        <f>IV49</f>
        <v>0</v>
      </c>
      <c r="N143" s="1765">
        <f>IW49</f>
        <v>0</v>
      </c>
      <c r="O143" s="1766">
        <f>IX49</f>
        <v>0</v>
      </c>
      <c r="P143" s="1767">
        <f t="shared" si="370"/>
        <v>0</v>
      </c>
      <c r="S143" s="3850"/>
      <c r="T143" s="3851"/>
      <c r="U143" s="3851"/>
      <c r="V143" s="3851"/>
      <c r="W143" s="3852"/>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4058</v>
      </c>
      <c r="H145" s="89"/>
      <c r="L145" s="3844" t="str">
        <f>$L$53</f>
        <v>Income Averaging</v>
      </c>
      <c r="M145" s="3845"/>
      <c r="N145" s="3845"/>
      <c r="O145" s="3846"/>
      <c r="P145" s="82"/>
      <c r="S145" s="3883" t="str">
        <f>B145</f>
        <v>UNIT SUMMARY (Continued)</v>
      </c>
      <c r="T145" s="3883"/>
      <c r="U145" s="3883"/>
      <c r="V145" s="3883"/>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57" t="s">
        <v>6822</v>
      </c>
      <c r="D147" s="3857"/>
      <c r="E147" s="978" t="s">
        <v>3113</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47"/>
      <c r="T147" s="3848"/>
      <c r="U147" s="3848"/>
      <c r="V147" s="3848"/>
      <c r="W147" s="3849"/>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58"/>
      <c r="D148" s="3858"/>
      <c r="E148" s="102"/>
      <c r="F148" s="465"/>
      <c r="G148" s="150"/>
      <c r="H148" s="1505" t="s">
        <v>3118</v>
      </c>
      <c r="I148" s="94"/>
      <c r="J148" s="982"/>
      <c r="K148" s="1760">
        <f t="shared" si="372"/>
        <v>0</v>
      </c>
      <c r="L148" s="1761">
        <f t="shared" si="372"/>
        <v>0</v>
      </c>
      <c r="M148" s="1761">
        <f t="shared" si="372"/>
        <v>0</v>
      </c>
      <c r="N148" s="1761">
        <f t="shared" si="372"/>
        <v>0</v>
      </c>
      <c r="O148" s="1762">
        <f t="shared" si="372"/>
        <v>0</v>
      </c>
      <c r="P148" s="1763">
        <f t="shared" si="373"/>
        <v>0</v>
      </c>
      <c r="S148" s="3838"/>
      <c r="T148" s="3839"/>
      <c r="U148" s="3839"/>
      <c r="V148" s="3839"/>
      <c r="W148" s="3840"/>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58"/>
      <c r="D149" s="3858"/>
      <c r="E149" s="102" t="s">
        <v>3114</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8"/>
      <c r="T149" s="3839"/>
      <c r="U149" s="3839"/>
      <c r="V149" s="3839"/>
      <c r="W149" s="3840"/>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58"/>
      <c r="D150" s="3858"/>
      <c r="E150" s="102"/>
      <c r="F150" s="465"/>
      <c r="G150" s="150"/>
      <c r="H150" s="1505" t="s">
        <v>3118</v>
      </c>
      <c r="I150" s="94"/>
      <c r="J150" s="982"/>
      <c r="K150" s="1760">
        <f t="shared" si="374"/>
        <v>0</v>
      </c>
      <c r="L150" s="1761">
        <f t="shared" si="374"/>
        <v>0</v>
      </c>
      <c r="M150" s="1761">
        <f t="shared" si="374"/>
        <v>0</v>
      </c>
      <c r="N150" s="1761">
        <f t="shared" si="374"/>
        <v>0</v>
      </c>
      <c r="O150" s="1762">
        <f t="shared" si="374"/>
        <v>0</v>
      </c>
      <c r="P150" s="1763">
        <f t="shared" si="373"/>
        <v>0</v>
      </c>
      <c r="S150" s="3838"/>
      <c r="T150" s="3839"/>
      <c r="U150" s="3839"/>
      <c r="V150" s="3839"/>
      <c r="W150" s="3840"/>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58"/>
      <c r="D151" s="3858"/>
      <c r="E151" s="102" t="s">
        <v>3115</v>
      </c>
      <c r="F151" s="465"/>
      <c r="G151" s="150"/>
      <c r="H151" s="1501"/>
      <c r="I151" s="783"/>
      <c r="J151" s="982"/>
      <c r="K151" s="1236">
        <f>K128+K132</f>
        <v>0</v>
      </c>
      <c r="L151" s="1237">
        <f t="shared" ref="L151:O151" si="375">L128+L132</f>
        <v>12</v>
      </c>
      <c r="M151" s="1237">
        <f t="shared" si="375"/>
        <v>24</v>
      </c>
      <c r="N151" s="1237">
        <f t="shared" si="375"/>
        <v>12</v>
      </c>
      <c r="O151" s="1238">
        <f t="shared" si="375"/>
        <v>0</v>
      </c>
      <c r="P151" s="1757">
        <f t="shared" si="373"/>
        <v>48</v>
      </c>
      <c r="S151" s="3838"/>
      <c r="T151" s="3839"/>
      <c r="U151" s="3839"/>
      <c r="V151" s="3839"/>
      <c r="W151" s="3840"/>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58"/>
      <c r="D152" s="3858"/>
      <c r="E152" s="102"/>
      <c r="F152" s="465"/>
      <c r="G152" s="150"/>
      <c r="H152" s="1505" t="s">
        <v>3118</v>
      </c>
      <c r="I152" s="94"/>
      <c r="J152" s="982"/>
      <c r="K152" s="1760">
        <f>K129+K133</f>
        <v>0</v>
      </c>
      <c r="L152" s="1761">
        <f t="shared" ref="L152:O152" si="376">L129+L133</f>
        <v>0</v>
      </c>
      <c r="M152" s="1761">
        <f t="shared" si="376"/>
        <v>0</v>
      </c>
      <c r="N152" s="1761">
        <f t="shared" si="376"/>
        <v>0</v>
      </c>
      <c r="O152" s="1762">
        <f t="shared" si="376"/>
        <v>0</v>
      </c>
      <c r="P152" s="1763">
        <f t="shared" si="373"/>
        <v>0</v>
      </c>
      <c r="S152" s="3838"/>
      <c r="T152" s="3839"/>
      <c r="U152" s="3839"/>
      <c r="V152" s="3839"/>
      <c r="W152" s="3840"/>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58"/>
      <c r="D153" s="3858"/>
      <c r="E153" s="102" t="s">
        <v>3116</v>
      </c>
      <c r="F153" s="465"/>
      <c r="G153" s="150"/>
      <c r="H153" s="1501"/>
      <c r="I153" s="783"/>
      <c r="J153" s="982"/>
      <c r="K153" s="1236">
        <f>K130+K134</f>
        <v>0</v>
      </c>
      <c r="L153" s="1237">
        <f t="shared" ref="L153:O153" si="377">L130+L134</f>
        <v>0</v>
      </c>
      <c r="M153" s="1237">
        <f t="shared" si="377"/>
        <v>0</v>
      </c>
      <c r="N153" s="1237">
        <f t="shared" si="377"/>
        <v>0</v>
      </c>
      <c r="O153" s="1238">
        <f t="shared" si="377"/>
        <v>0</v>
      </c>
      <c r="P153" s="1757">
        <f t="shared" si="373"/>
        <v>0</v>
      </c>
      <c r="S153" s="3838"/>
      <c r="T153" s="3839"/>
      <c r="U153" s="3839"/>
      <c r="V153" s="3839"/>
      <c r="W153" s="3840"/>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3118</v>
      </c>
      <c r="I154" s="780"/>
      <c r="J154" s="82"/>
      <c r="K154" s="1764">
        <f>K131+K135</f>
        <v>0</v>
      </c>
      <c r="L154" s="1765">
        <f t="shared" ref="L154:O154" si="378">L131+L135</f>
        <v>0</v>
      </c>
      <c r="M154" s="1765">
        <f t="shared" si="378"/>
        <v>0</v>
      </c>
      <c r="N154" s="1765">
        <f t="shared" si="378"/>
        <v>0</v>
      </c>
      <c r="O154" s="1766">
        <f t="shared" si="378"/>
        <v>0</v>
      </c>
      <c r="P154" s="1767">
        <f t="shared" si="373"/>
        <v>0</v>
      </c>
      <c r="Q154" s="3843" t="s">
        <v>4077</v>
      </c>
      <c r="S154" s="3850"/>
      <c r="T154" s="3851"/>
      <c r="U154" s="3851"/>
      <c r="V154" s="3851"/>
      <c r="W154" s="3852"/>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43"/>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6824</v>
      </c>
      <c r="C156" s="1"/>
      <c r="D156" s="1"/>
      <c r="E156" s="1"/>
      <c r="F156" s="1"/>
      <c r="G156" s="82"/>
      <c r="H156" s="40"/>
      <c r="I156" s="40"/>
      <c r="J156" s="82"/>
      <c r="K156" s="546"/>
      <c r="L156" s="546"/>
      <c r="M156" s="546"/>
      <c r="N156" s="546"/>
      <c r="O156" s="546"/>
      <c r="P156" s="546"/>
      <c r="Q156" s="3843"/>
      <c r="S156" s="3477" t="str">
        <f>B156</f>
        <v>UNIT SQUARE FOOTAGE</v>
      </c>
      <c r="T156" s="3477"/>
      <c r="U156" s="3477"/>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2043</v>
      </c>
      <c r="D157" s="1"/>
      <c r="E157" s="1"/>
      <c r="F157" s="1"/>
      <c r="G157" s="82"/>
      <c r="H157" s="89" t="s">
        <v>3832</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47"/>
      <c r="T157" s="3848"/>
      <c r="U157" s="3848"/>
      <c r="V157" s="3848"/>
      <c r="W157" s="3849"/>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3833</v>
      </c>
      <c r="I158" s="40"/>
      <c r="J158" s="82"/>
      <c r="K158" s="1239">
        <f>EN49</f>
        <v>0</v>
      </c>
      <c r="L158" s="1240">
        <f>EO49</f>
        <v>1660</v>
      </c>
      <c r="M158" s="1240">
        <f>EP49</f>
        <v>2166</v>
      </c>
      <c r="N158" s="1240">
        <f>EQ49</f>
        <v>2602</v>
      </c>
      <c r="O158" s="1241">
        <f>ER49</f>
        <v>0</v>
      </c>
      <c r="P158" s="1176">
        <f t="shared" si="379"/>
        <v>6428</v>
      </c>
      <c r="Q158" s="1361">
        <f t="shared" si="380"/>
        <v>1071.3333333333333</v>
      </c>
      <c r="S158" s="3838"/>
      <c r="T158" s="3839"/>
      <c r="U158" s="3839"/>
      <c r="V158" s="3839"/>
      <c r="W158" s="3840"/>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3320</v>
      </c>
      <c r="M159" s="1240">
        <f>EU49</f>
        <v>14079</v>
      </c>
      <c r="N159" s="1240">
        <f>EV49</f>
        <v>7806</v>
      </c>
      <c r="O159" s="1241">
        <f>EW49</f>
        <v>0</v>
      </c>
      <c r="P159" s="1176">
        <f t="shared" si="379"/>
        <v>25205</v>
      </c>
      <c r="Q159" s="1361">
        <f t="shared" si="380"/>
        <v>1095.8695652173913</v>
      </c>
      <c r="S159" s="3838"/>
      <c r="T159" s="3839"/>
      <c r="U159" s="3839"/>
      <c r="V159" s="3839"/>
      <c r="W159" s="3840"/>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4980</v>
      </c>
      <c r="M160" s="1308">
        <f>EZ49</f>
        <v>9747</v>
      </c>
      <c r="N160" s="1308">
        <f>FA49</f>
        <v>5204</v>
      </c>
      <c r="O160" s="1309">
        <f>FB49</f>
        <v>0</v>
      </c>
      <c r="P160" s="1310">
        <f t="shared" si="379"/>
        <v>19931</v>
      </c>
      <c r="Q160" s="1361">
        <f t="shared" si="380"/>
        <v>1049</v>
      </c>
      <c r="S160" s="3838"/>
      <c r="T160" s="3839"/>
      <c r="U160" s="3839"/>
      <c r="V160" s="3839"/>
      <c r="W160" s="3840"/>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3834</v>
      </c>
      <c r="I161" s="783"/>
      <c r="J161" s="982"/>
      <c r="K161" s="1239">
        <f>FC49</f>
        <v>0</v>
      </c>
      <c r="L161" s="1240">
        <f>FD49</f>
        <v>0</v>
      </c>
      <c r="M161" s="1240">
        <f>FE49</f>
        <v>0</v>
      </c>
      <c r="N161" s="1240">
        <f>FF49</f>
        <v>0</v>
      </c>
      <c r="O161" s="1241">
        <f>FG49</f>
        <v>0</v>
      </c>
      <c r="P161" s="1176">
        <f t="shared" si="379"/>
        <v>0</v>
      </c>
      <c r="Q161" s="1361" t="str">
        <f t="shared" si="380"/>
        <v/>
      </c>
      <c r="S161" s="3838"/>
      <c r="T161" s="3839"/>
      <c r="U161" s="3839"/>
      <c r="V161" s="3839"/>
      <c r="W161" s="3840"/>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3835</v>
      </c>
      <c r="I162" s="40"/>
      <c r="J162" s="82"/>
      <c r="K162" s="1239">
        <f>FH49</f>
        <v>0</v>
      </c>
      <c r="L162" s="1240">
        <f>FI49</f>
        <v>0</v>
      </c>
      <c r="M162" s="1240">
        <f>FJ49</f>
        <v>0</v>
      </c>
      <c r="N162" s="1240">
        <f>FK49</f>
        <v>0</v>
      </c>
      <c r="O162" s="1241">
        <f>FL49</f>
        <v>0</v>
      </c>
      <c r="P162" s="1176">
        <f t="shared" si="379"/>
        <v>0</v>
      </c>
      <c r="Q162" s="1361" t="str">
        <f t="shared" si="380"/>
        <v/>
      </c>
      <c r="S162" s="3838"/>
      <c r="T162" s="3839"/>
      <c r="U162" s="3839"/>
      <c r="V162" s="3839"/>
      <c r="W162" s="3840"/>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3836</v>
      </c>
      <c r="I163" s="55"/>
      <c r="J163" s="82"/>
      <c r="K163" s="1215">
        <f>FM49</f>
        <v>0</v>
      </c>
      <c r="L163" s="1216">
        <f>FN49</f>
        <v>0</v>
      </c>
      <c r="M163" s="1216">
        <f>FO49</f>
        <v>0</v>
      </c>
      <c r="N163" s="1216">
        <f>FP49</f>
        <v>0</v>
      </c>
      <c r="O163" s="1217">
        <f>FQ49</f>
        <v>0</v>
      </c>
      <c r="P163" s="1177">
        <f t="shared" si="379"/>
        <v>0</v>
      </c>
      <c r="Q163" s="1361" t="str">
        <f t="shared" si="380"/>
        <v/>
      </c>
      <c r="S163" s="3838"/>
      <c r="T163" s="3839"/>
      <c r="U163" s="3839"/>
      <c r="V163" s="3839"/>
      <c r="W163" s="3840"/>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3917</v>
      </c>
      <c r="I164" s="780"/>
      <c r="J164" s="1186"/>
      <c r="K164" s="1759">
        <f>SUM(K157:K163)</f>
        <v>0</v>
      </c>
      <c r="L164" s="1759">
        <f>SUM(L157:L163)</f>
        <v>9960</v>
      </c>
      <c r="M164" s="1759">
        <f>SUM(M157:M163)</f>
        <v>25992</v>
      </c>
      <c r="N164" s="1759">
        <f>SUM(N157:N163)</f>
        <v>15612</v>
      </c>
      <c r="O164" s="1759">
        <f>SUM(O157:O163)</f>
        <v>0</v>
      </c>
      <c r="P164" s="1759">
        <f>SUM(K164:O164)</f>
        <v>51564</v>
      </c>
      <c r="S164" s="3838"/>
      <c r="T164" s="3839"/>
      <c r="U164" s="3839"/>
      <c r="V164" s="3839"/>
      <c r="W164" s="3840"/>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38"/>
      <c r="T165" s="3839"/>
      <c r="U165" s="3839"/>
      <c r="V165" s="3839"/>
      <c r="W165" s="3840"/>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9960</v>
      </c>
      <c r="M166" s="1758">
        <f>SUM(M164:M165)</f>
        <v>25992</v>
      </c>
      <c r="N166" s="1758">
        <f>SUM(N164:N165)</f>
        <v>15612</v>
      </c>
      <c r="O166" s="1758">
        <f>SUM(O164:O165)</f>
        <v>0</v>
      </c>
      <c r="P166" s="1758">
        <f>SUM(K166:O166)</f>
        <v>51564</v>
      </c>
      <c r="S166" s="3838"/>
      <c r="T166" s="3839"/>
      <c r="U166" s="3839"/>
      <c r="V166" s="3839"/>
      <c r="W166" s="3840"/>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2394</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8"/>
      <c r="T167" s="3839"/>
      <c r="U167" s="3839"/>
      <c r="V167" s="3839"/>
      <c r="W167" s="3840"/>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9960</v>
      </c>
      <c r="M168" s="1182">
        <f>SUM(M166:M167)</f>
        <v>25992</v>
      </c>
      <c r="N168" s="1182">
        <f>SUM(N166:N167)</f>
        <v>15612</v>
      </c>
      <c r="O168" s="1182">
        <f>SUM(O166:O167)</f>
        <v>0</v>
      </c>
      <c r="P168" s="1182">
        <f>SUM(K168:O168)</f>
        <v>51564</v>
      </c>
      <c r="S168" s="3850"/>
      <c r="T168" s="3851"/>
      <c r="U168" s="3851"/>
      <c r="V168" s="3851"/>
      <c r="W168" s="3852"/>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5"/>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4074</v>
      </c>
      <c r="D171" s="1"/>
      <c r="E171" s="1"/>
      <c r="F171" s="1"/>
      <c r="G171" s="1"/>
      <c r="H171" s="1"/>
      <c r="I171" s="1"/>
      <c r="J171" s="1"/>
      <c r="K171" s="1360" t="str">
        <f>IF(OR(K67="",K67=0),"",K168/K67)</f>
        <v/>
      </c>
      <c r="L171" s="1360">
        <f>IF(OR(L67="",L67=0),"",L168/L67)</f>
        <v>830</v>
      </c>
      <c r="M171" s="1360">
        <f>IF(OR(M67="",M67=0),"",M168/M67)</f>
        <v>1083</v>
      </c>
      <c r="N171" s="1360">
        <f>IF(OR(N67="",N67=0),"",N168/N67)</f>
        <v>1301</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5"/>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5"/>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5"/>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1761</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80">
        <f>'Part VII-Pro Forma'!B10*M50</f>
        <v>7310.4000000000005</v>
      </c>
      <c r="I176" s="3881"/>
      <c r="J176" s="3882"/>
      <c r="K176" s="109"/>
      <c r="L176" s="1496" t="s">
        <v>2578</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1"/>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1"/>
    </row>
    <row r="178" spans="1:493" ht="15.6" customHeight="1">
      <c r="B178" s="795" t="s">
        <v>1390</v>
      </c>
      <c r="C178" s="89"/>
      <c r="D178" s="89"/>
      <c r="E178" s="89"/>
      <c r="F178" s="89"/>
      <c r="G178" s="89"/>
      <c r="H178" s="89"/>
      <c r="I178" s="89"/>
      <c r="J178" s="795"/>
      <c r="K178" s="89"/>
      <c r="L178" s="797"/>
      <c r="M178" s="89"/>
      <c r="N178" s="89"/>
      <c r="O178" s="89"/>
      <c r="P178" s="89"/>
      <c r="Q178" s="110"/>
      <c r="S178" s="2651" t="str">
        <f>B178</f>
        <v>Other Income (OI) by Year:</v>
      </c>
      <c r="NP178" s="2851"/>
    </row>
    <row r="179" spans="1:493" ht="15.6" customHeight="1">
      <c r="B179" s="798" t="s">
        <v>2184</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1"/>
    </row>
    <row r="180" spans="1:493" ht="15.6" customHeight="1">
      <c r="B180" s="109" t="s">
        <v>978</v>
      </c>
      <c r="C180" s="109"/>
      <c r="D180" s="109"/>
      <c r="E180" s="109"/>
      <c r="F180" s="109"/>
      <c r="H180" s="2929"/>
      <c r="I180" s="2929"/>
      <c r="J180" s="2929"/>
      <c r="K180" s="2929"/>
      <c r="L180" s="2929"/>
      <c r="M180" s="2929"/>
      <c r="N180" s="2929"/>
      <c r="O180" s="2929"/>
      <c r="P180" s="2929"/>
      <c r="Q180" s="2929"/>
      <c r="R180" s="768"/>
      <c r="S180" s="3847"/>
      <c r="T180" s="3848"/>
      <c r="U180" s="3848"/>
      <c r="V180" s="3848"/>
      <c r="W180" s="3849"/>
    </row>
    <row r="181" spans="1:493" ht="15.6" customHeight="1">
      <c r="B181" s="109" t="s">
        <v>711</v>
      </c>
      <c r="C181" s="3877"/>
      <c r="D181" s="3878"/>
      <c r="E181" s="3878"/>
      <c r="F181" s="3879"/>
      <c r="H181" s="2930"/>
      <c r="I181" s="2930"/>
      <c r="J181" s="2930"/>
      <c r="K181" s="2930"/>
      <c r="L181" s="2931"/>
      <c r="M181" s="2930"/>
      <c r="N181" s="2930"/>
      <c r="O181" s="2930"/>
      <c r="P181" s="2930"/>
      <c r="Q181" s="2930"/>
      <c r="R181" s="768"/>
      <c r="S181" s="3838"/>
      <c r="T181" s="3839"/>
      <c r="U181" s="3839"/>
      <c r="V181" s="3839"/>
      <c r="W181" s="3840"/>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50"/>
      <c r="T182" s="3851"/>
      <c r="U182" s="3851"/>
      <c r="V182" s="3851"/>
      <c r="W182" s="3852"/>
      <c r="NP182" s="2851"/>
    </row>
    <row r="183" spans="1:493" ht="15.6" customHeight="1">
      <c r="B183" s="802" t="s">
        <v>3312</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9"/>
      <c r="I184" s="2929"/>
      <c r="J184" s="2929"/>
      <c r="K184" s="2929"/>
      <c r="L184" s="2929"/>
      <c r="M184" s="2929"/>
      <c r="N184" s="2929"/>
      <c r="O184" s="2929"/>
      <c r="P184" s="2929"/>
      <c r="Q184" s="2929"/>
      <c r="R184" s="768"/>
      <c r="S184" s="3847"/>
      <c r="T184" s="3848"/>
      <c r="U184" s="3848"/>
      <c r="V184" s="3848"/>
      <c r="W184" s="3849"/>
    </row>
    <row r="185" spans="1:493" ht="15.6" customHeight="1">
      <c r="B185" s="109" t="s">
        <v>711</v>
      </c>
      <c r="C185" s="3877"/>
      <c r="D185" s="3878"/>
      <c r="E185" s="3878"/>
      <c r="F185" s="3879"/>
      <c r="H185" s="2930"/>
      <c r="I185" s="2930"/>
      <c r="J185" s="2930"/>
      <c r="K185" s="2930"/>
      <c r="L185" s="2931"/>
      <c r="M185" s="2930"/>
      <c r="N185" s="2930"/>
      <c r="O185" s="2930"/>
      <c r="P185" s="2930"/>
      <c r="Q185" s="2930"/>
      <c r="R185" s="768"/>
      <c r="S185" s="3838"/>
      <c r="T185" s="3839"/>
      <c r="U185" s="3839"/>
      <c r="V185" s="3839"/>
      <c r="W185" s="3840"/>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50"/>
      <c r="T186" s="3851"/>
      <c r="U186" s="3851"/>
      <c r="V186" s="3851"/>
      <c r="W186" s="3852"/>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2184</v>
      </c>
      <c r="C188" s="89"/>
      <c r="D188" s="89"/>
      <c r="E188" s="89"/>
      <c r="F188" s="89"/>
      <c r="H188" s="799">
        <v>11</v>
      </c>
      <c r="I188" s="799">
        <v>12</v>
      </c>
      <c r="J188" s="799">
        <v>13</v>
      </c>
      <c r="K188" s="799">
        <v>14</v>
      </c>
      <c r="L188" s="799">
        <v>15</v>
      </c>
      <c r="M188" s="799">
        <v>16</v>
      </c>
      <c r="N188" s="799">
        <v>17</v>
      </c>
      <c r="O188" s="799">
        <v>18</v>
      </c>
      <c r="P188" s="799">
        <v>19</v>
      </c>
      <c r="Q188" s="799">
        <v>20</v>
      </c>
      <c r="S188" s="137" t="s">
        <v>2498</v>
      </c>
      <c r="T188" s="93" t="str">
        <f>B188</f>
        <v>Included in Mgt Fee:</v>
      </c>
    </row>
    <row r="189" spans="1:493" ht="15.6" customHeight="1">
      <c r="A189" s="82"/>
      <c r="B189" s="109" t="s">
        <v>978</v>
      </c>
      <c r="C189" s="109"/>
      <c r="D189" s="109"/>
      <c r="E189" s="109"/>
      <c r="F189" s="109"/>
      <c r="H189" s="2929"/>
      <c r="I189" s="2929"/>
      <c r="J189" s="2929"/>
      <c r="K189" s="2929"/>
      <c r="L189" s="2932"/>
      <c r="M189" s="2929"/>
      <c r="N189" s="2929"/>
      <c r="O189" s="2929"/>
      <c r="P189" s="2929"/>
      <c r="Q189" s="2929"/>
      <c r="R189" s="768"/>
      <c r="S189" s="3847"/>
      <c r="T189" s="3848"/>
      <c r="U189" s="3848"/>
      <c r="V189" s="3848"/>
      <c r="W189" s="3849"/>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77"/>
      <c r="D190" s="3878"/>
      <c r="E190" s="3878"/>
      <c r="F190" s="3879"/>
      <c r="H190" s="2930"/>
      <c r="I190" s="2930"/>
      <c r="J190" s="2930"/>
      <c r="K190" s="2930"/>
      <c r="L190" s="2931"/>
      <c r="M190" s="2930"/>
      <c r="N190" s="2930"/>
      <c r="O190" s="2930"/>
      <c r="P190" s="2930"/>
      <c r="Q190" s="2930"/>
      <c r="R190" s="768"/>
      <c r="S190" s="3838"/>
      <c r="T190" s="3839"/>
      <c r="U190" s="3839"/>
      <c r="V190" s="3839"/>
      <c r="W190" s="3840"/>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50"/>
      <c r="T191" s="3851"/>
      <c r="U191" s="3851"/>
      <c r="V191" s="3851"/>
      <c r="W191" s="3852"/>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3312</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9"/>
      <c r="I193" s="2929"/>
      <c r="J193" s="2929"/>
      <c r="K193" s="2929"/>
      <c r="L193" s="2932"/>
      <c r="M193" s="2929"/>
      <c r="N193" s="2929"/>
      <c r="O193" s="2929"/>
      <c r="P193" s="2929"/>
      <c r="Q193" s="2929"/>
      <c r="R193" s="768"/>
      <c r="S193" s="3847"/>
      <c r="T193" s="3848"/>
      <c r="U193" s="3848"/>
      <c r="V193" s="3848"/>
      <c r="W193" s="3849"/>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77"/>
      <c r="D194" s="3878"/>
      <c r="E194" s="3878"/>
      <c r="F194" s="3879"/>
      <c r="H194" s="2930"/>
      <c r="I194" s="2930"/>
      <c r="J194" s="2930"/>
      <c r="K194" s="2930"/>
      <c r="L194" s="2931"/>
      <c r="M194" s="2930"/>
      <c r="N194" s="2930"/>
      <c r="O194" s="2930"/>
      <c r="P194" s="2930"/>
      <c r="Q194" s="2930"/>
      <c r="R194" s="768"/>
      <c r="S194" s="3838"/>
      <c r="T194" s="3839"/>
      <c r="U194" s="3839"/>
      <c r="V194" s="3839"/>
      <c r="W194" s="3840"/>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50"/>
      <c r="T195" s="3851"/>
      <c r="U195" s="3851"/>
      <c r="V195" s="3851"/>
      <c r="W195" s="3852"/>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2184</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2499</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9"/>
      <c r="I198" s="2929"/>
      <c r="J198" s="2929"/>
      <c r="K198" s="2929"/>
      <c r="L198" s="2932"/>
      <c r="M198" s="2929"/>
      <c r="N198" s="2929"/>
      <c r="O198" s="2929"/>
      <c r="P198" s="2929"/>
      <c r="Q198" s="2929"/>
      <c r="R198" s="768"/>
      <c r="S198" s="3847"/>
      <c r="T198" s="3848"/>
      <c r="U198" s="3848"/>
      <c r="V198" s="3848"/>
      <c r="W198" s="3849"/>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77"/>
      <c r="D199" s="3878"/>
      <c r="E199" s="3878"/>
      <c r="F199" s="3879"/>
      <c r="H199" s="2930"/>
      <c r="I199" s="2930"/>
      <c r="J199" s="2930"/>
      <c r="K199" s="2930"/>
      <c r="L199" s="2931"/>
      <c r="M199" s="2930"/>
      <c r="N199" s="2930"/>
      <c r="O199" s="2930"/>
      <c r="P199" s="2930"/>
      <c r="Q199" s="2930"/>
      <c r="R199" s="768"/>
      <c r="S199" s="3838"/>
      <c r="T199" s="3839"/>
      <c r="U199" s="3839"/>
      <c r="V199" s="3839"/>
      <c r="W199" s="3840"/>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50"/>
      <c r="T200" s="3851"/>
      <c r="U200" s="3851"/>
      <c r="V200" s="3851"/>
      <c r="W200" s="3852"/>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3312</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9"/>
      <c r="I202" s="2929"/>
      <c r="J202" s="2929"/>
      <c r="K202" s="2929"/>
      <c r="L202" s="2932"/>
      <c r="M202" s="2929"/>
      <c r="N202" s="2929"/>
      <c r="O202" s="2929"/>
      <c r="P202" s="2929"/>
      <c r="Q202" s="2929"/>
      <c r="R202" s="768"/>
      <c r="S202" s="3847"/>
      <c r="T202" s="3848"/>
      <c r="U202" s="3848"/>
      <c r="V202" s="3848"/>
      <c r="W202" s="3849"/>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77"/>
      <c r="D203" s="3878"/>
      <c r="E203" s="3878"/>
      <c r="F203" s="3879"/>
      <c r="H203" s="2930"/>
      <c r="I203" s="2930"/>
      <c r="J203" s="2930"/>
      <c r="K203" s="2930"/>
      <c r="L203" s="2931"/>
      <c r="M203" s="2930"/>
      <c r="N203" s="2930"/>
      <c r="O203" s="2930"/>
      <c r="P203" s="2930"/>
      <c r="Q203" s="2930"/>
      <c r="R203" s="768"/>
      <c r="S203" s="3838"/>
      <c r="T203" s="3839"/>
      <c r="U203" s="3839"/>
      <c r="V203" s="3839"/>
      <c r="W203" s="3840"/>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50"/>
      <c r="T204" s="3851"/>
      <c r="U204" s="3851"/>
      <c r="V204" s="3851"/>
      <c r="W204" s="3852"/>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2184</v>
      </c>
      <c r="C206" s="89"/>
      <c r="D206" s="89"/>
      <c r="E206" s="89"/>
      <c r="F206" s="89"/>
      <c r="H206" s="799">
        <v>31</v>
      </c>
      <c r="I206" s="799">
        <v>32</v>
      </c>
      <c r="J206" s="799">
        <v>33</v>
      </c>
      <c r="K206" s="799">
        <v>34</v>
      </c>
      <c r="L206" s="799">
        <v>35</v>
      </c>
      <c r="M206" s="89"/>
      <c r="N206" s="89"/>
      <c r="O206" s="89"/>
      <c r="P206" s="89"/>
      <c r="Q206" s="89"/>
      <c r="S206" s="137" t="s">
        <v>2499</v>
      </c>
      <c r="T206" s="93" t="str">
        <f>B206</f>
        <v>Included in Mgt Fee:</v>
      </c>
    </row>
    <row r="207" spans="1:493" ht="15.6" customHeight="1">
      <c r="B207" s="109" t="s">
        <v>978</v>
      </c>
      <c r="C207" s="109"/>
      <c r="D207" s="109"/>
      <c r="E207" s="109"/>
      <c r="F207" s="109"/>
      <c r="H207" s="2929"/>
      <c r="I207" s="2929"/>
      <c r="J207" s="2929"/>
      <c r="K207" s="2929"/>
      <c r="L207" s="2932"/>
      <c r="M207" s="89"/>
      <c r="N207" s="89"/>
      <c r="O207" s="89"/>
      <c r="P207" s="89"/>
      <c r="Q207" s="89"/>
      <c r="R207" s="8"/>
      <c r="S207" s="3847"/>
      <c r="T207" s="3848"/>
      <c r="U207" s="3848"/>
      <c r="V207" s="3848"/>
      <c r="W207" s="3849"/>
    </row>
    <row r="208" spans="1:493" ht="15.6" customHeight="1">
      <c r="B208" s="109" t="s">
        <v>711</v>
      </c>
      <c r="C208" s="3877"/>
      <c r="D208" s="3878"/>
      <c r="E208" s="3878"/>
      <c r="F208" s="3879"/>
      <c r="H208" s="2930"/>
      <c r="I208" s="2930"/>
      <c r="J208" s="2930"/>
      <c r="K208" s="2930"/>
      <c r="L208" s="2931"/>
      <c r="M208" s="89"/>
      <c r="N208" s="89"/>
      <c r="O208" s="89"/>
      <c r="P208" s="89"/>
      <c r="Q208" s="89"/>
      <c r="R208" s="8"/>
      <c r="S208" s="3838"/>
      <c r="T208" s="3839"/>
      <c r="U208" s="3839"/>
      <c r="V208" s="3839"/>
      <c r="W208" s="3840"/>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50"/>
      <c r="T209" s="3851"/>
      <c r="U209" s="3851"/>
      <c r="V209" s="3851"/>
      <c r="W209" s="3852"/>
    </row>
    <row r="210" spans="1:493" ht="15.6" customHeight="1">
      <c r="B210" s="802" t="s">
        <v>3312</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9"/>
      <c r="I211" s="2929"/>
      <c r="J211" s="2929"/>
      <c r="K211" s="2929"/>
      <c r="L211" s="2932"/>
      <c r="M211" s="89"/>
      <c r="N211" s="89"/>
      <c r="O211" s="89"/>
      <c r="P211" s="89"/>
      <c r="Q211" s="89"/>
      <c r="R211" s="8"/>
      <c r="S211" s="3847"/>
      <c r="T211" s="3848"/>
      <c r="U211" s="3848"/>
      <c r="V211" s="3848"/>
      <c r="W211" s="3849"/>
    </row>
    <row r="212" spans="1:493" ht="15.6" customHeight="1">
      <c r="B212" s="109" t="s">
        <v>711</v>
      </c>
      <c r="C212" s="3877"/>
      <c r="D212" s="3878"/>
      <c r="E212" s="3878"/>
      <c r="F212" s="3879"/>
      <c r="H212" s="2930"/>
      <c r="I212" s="2930"/>
      <c r="J212" s="2930"/>
      <c r="K212" s="2930"/>
      <c r="L212" s="2931"/>
      <c r="M212" s="89"/>
      <c r="N212" s="89"/>
      <c r="O212" s="89"/>
      <c r="P212" s="89"/>
      <c r="Q212" s="89"/>
      <c r="R212" s="8"/>
      <c r="S212" s="3838"/>
      <c r="T212" s="3839"/>
      <c r="U212" s="3839"/>
      <c r="V212" s="3839"/>
      <c r="W212" s="3840"/>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50"/>
      <c r="T213" s="3851"/>
      <c r="U213" s="3851"/>
      <c r="V213" s="3851"/>
      <c r="W213" s="3852"/>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5"/>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1761</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5"/>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31206</v>
      </c>
      <c r="R217" s="1"/>
      <c r="S217" s="3847"/>
      <c r="T217" s="3848"/>
      <c r="U217" s="3848"/>
      <c r="V217" s="3848"/>
      <c r="W217" s="3849"/>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5"/>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2102</v>
      </c>
      <c r="C218" s="1"/>
      <c r="D218" s="1"/>
      <c r="E218" s="1"/>
      <c r="F218" s="3905">
        <v>22848</v>
      </c>
      <c r="G218" s="3906"/>
      <c r="H218" s="1"/>
      <c r="I218" s="1" t="s">
        <v>1329</v>
      </c>
      <c r="K218" s="1"/>
      <c r="L218" s="3905"/>
      <c r="M218" s="3906"/>
      <c r="N218" s="1"/>
      <c r="O218" s="384">
        <f>+Q217/(P67*0.93)</f>
        <v>699.05913978494618</v>
      </c>
      <c r="P218" s="66" t="s">
        <v>2587</v>
      </c>
      <c r="Q218" s="1"/>
      <c r="R218" s="768"/>
      <c r="S218" s="3838"/>
      <c r="T218" s="3839"/>
      <c r="U218" s="3839"/>
      <c r="V218" s="3839"/>
      <c r="W218" s="3840"/>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5"/>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99">
        <v>18000</v>
      </c>
      <c r="G219" s="3900"/>
      <c r="H219" s="1"/>
      <c r="I219" s="1" t="s">
        <v>1330</v>
      </c>
      <c r="K219" s="1"/>
      <c r="L219" s="3901"/>
      <c r="M219" s="3902"/>
      <c r="N219" s="1"/>
      <c r="O219" s="384">
        <f>+Q217/(P67*0.93)/12</f>
        <v>58.25492831541218</v>
      </c>
      <c r="P219" s="66" t="s">
        <v>2588</v>
      </c>
      <c r="Q219" s="1"/>
      <c r="R219" s="768"/>
      <c r="S219" s="3838"/>
      <c r="T219" s="3839"/>
      <c r="U219" s="3839"/>
      <c r="V219" s="3839"/>
      <c r="W219" s="3840"/>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5"/>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99"/>
      <c r="G220" s="3900"/>
      <c r="H220" s="1"/>
      <c r="I220" s="1"/>
      <c r="K220" s="121" t="s">
        <v>183</v>
      </c>
      <c r="L220" s="3907">
        <f>SUM(L218:M219)</f>
        <v>0</v>
      </c>
      <c r="M220" s="3908"/>
      <c r="N220" s="1"/>
      <c r="O220" s="36" t="s">
        <v>3356</v>
      </c>
      <c r="P220" s="848"/>
      <c r="Q220" s="848"/>
      <c r="R220" s="768"/>
      <c r="S220" s="3838"/>
      <c r="T220" s="3839"/>
      <c r="U220" s="3839"/>
      <c r="V220" s="3839"/>
      <c r="W220" s="3840"/>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5"/>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4224</v>
      </c>
      <c r="F221" s="3899"/>
      <c r="G221" s="3900"/>
      <c r="H221" s="1"/>
      <c r="I221" s="1"/>
      <c r="K221" s="1"/>
      <c r="L221" s="1"/>
      <c r="M221" s="1"/>
      <c r="N221" s="1"/>
      <c r="R221" s="768"/>
      <c r="S221" s="3838"/>
      <c r="T221" s="3839"/>
      <c r="U221" s="3839"/>
      <c r="V221" s="3839"/>
      <c r="W221" s="3840"/>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1"/>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4225</v>
      </c>
      <c r="F222" s="3899"/>
      <c r="G222" s="3900"/>
      <c r="H222" s="1"/>
      <c r="I222" s="1"/>
      <c r="K222" s="1"/>
      <c r="L222" s="1"/>
      <c r="M222" s="1"/>
      <c r="N222" s="1"/>
      <c r="R222" s="768"/>
      <c r="S222" s="3838"/>
      <c r="T222" s="3839"/>
      <c r="U222" s="3839"/>
      <c r="V222" s="3839"/>
      <c r="W222" s="3840"/>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1"/>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7" t="s">
        <v>46</v>
      </c>
      <c r="C223" s="3888"/>
      <c r="D223" s="3888"/>
      <c r="E223" s="3889"/>
      <c r="F223" s="3901"/>
      <c r="G223" s="3902"/>
      <c r="H223" s="1"/>
      <c r="I223" s="10" t="s">
        <v>1244</v>
      </c>
      <c r="K223" s="1"/>
      <c r="L223" s="1"/>
      <c r="M223" s="1"/>
      <c r="N223" s="1"/>
      <c r="R223" s="768"/>
      <c r="S223" s="3838"/>
      <c r="T223" s="3839"/>
      <c r="U223" s="3839"/>
      <c r="V223" s="3839"/>
      <c r="W223" s="3840"/>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1"/>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907">
        <f>SUM(F218:G223)</f>
        <v>40848</v>
      </c>
      <c r="G224" s="3908"/>
      <c r="H224" s="1"/>
      <c r="I224" s="1" t="s">
        <v>1536</v>
      </c>
      <c r="K224" s="1"/>
      <c r="L224" s="3890">
        <v>2640</v>
      </c>
      <c r="M224" s="3891"/>
      <c r="N224" s="1"/>
      <c r="R224" s="1"/>
      <c r="S224" s="3838"/>
      <c r="T224" s="3839"/>
      <c r="U224" s="3839"/>
      <c r="V224" s="3839"/>
      <c r="W224" s="3840"/>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1"/>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1958</v>
      </c>
      <c r="K225" s="1"/>
      <c r="L225" s="3892">
        <v>4880</v>
      </c>
      <c r="M225" s="3893"/>
      <c r="N225" s="3923" t="str">
        <f>IF(Q227="","",IF(Q225&lt;Q227, "WARNING! OE below required minimum.",""))</f>
        <v/>
      </c>
      <c r="O225" s="10" t="s">
        <v>2092</v>
      </c>
      <c r="P225" s="5"/>
      <c r="Q225" s="393">
        <f>F224+F233+F244+L220+L228+L237+L244+Q217</f>
        <v>190922</v>
      </c>
      <c r="R225" s="5"/>
      <c r="S225" s="3838"/>
      <c r="T225" s="3839"/>
      <c r="U225" s="3839"/>
      <c r="V225" s="3839"/>
      <c r="W225" s="3840"/>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1"/>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92">
        <v>540</v>
      </c>
      <c r="M226" s="3893"/>
      <c r="N226" s="3923"/>
      <c r="O226" s="66" t="s">
        <v>2589</v>
      </c>
      <c r="P226" s="384">
        <f>+Q225/P67</f>
        <v>3977.5416666666665</v>
      </c>
      <c r="R226" s="769"/>
      <c r="S226" s="3838"/>
      <c r="T226" s="3839"/>
      <c r="U226" s="3839"/>
      <c r="V226" s="3839"/>
      <c r="W226" s="3840"/>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1" t="s">
        <v>6760</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905">
        <v>1800</v>
      </c>
      <c r="G227" s="3906"/>
      <c r="H227" s="1"/>
      <c r="I227" s="3896" t="s">
        <v>6990</v>
      </c>
      <c r="J227" s="3897"/>
      <c r="K227" s="3898"/>
      <c r="L227" s="3903">
        <v>240</v>
      </c>
      <c r="M227" s="3904"/>
      <c r="N227" s="3923"/>
      <c r="P227" s="849" t="s">
        <v>3357</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180000</v>
      </c>
      <c r="R227" s="1"/>
      <c r="S227" s="3838"/>
      <c r="T227" s="3839"/>
      <c r="U227" s="3839"/>
      <c r="V227" s="3839"/>
      <c r="W227" s="3840"/>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1"/>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99">
        <v>3180</v>
      </c>
      <c r="G228" s="3900"/>
      <c r="H228" s="1"/>
      <c r="I228" s="10"/>
      <c r="K228" s="11" t="s">
        <v>183</v>
      </c>
      <c r="L228" s="3909">
        <f>SUM(L224:L227)</f>
        <v>8300</v>
      </c>
      <c r="M228" s="3910"/>
      <c r="N228" s="3923"/>
      <c r="R228" s="1"/>
      <c r="S228" s="3838"/>
      <c r="T228" s="3839"/>
      <c r="U228" s="3839"/>
      <c r="V228" s="3839"/>
      <c r="W228" s="3840"/>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1"/>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99">
        <v>2000</v>
      </c>
      <c r="G229" s="3900"/>
      <c r="H229" s="1"/>
      <c r="N229" s="1"/>
      <c r="R229" s="2657"/>
      <c r="S229" s="3838"/>
      <c r="T229" s="3839"/>
      <c r="U229" s="3839"/>
      <c r="V229" s="3839"/>
      <c r="W229" s="3840"/>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1"/>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2238</v>
      </c>
      <c r="C230" s="1"/>
      <c r="D230" s="9"/>
      <c r="E230" s="1"/>
      <c r="F230" s="3899">
        <v>9612</v>
      </c>
      <c r="G230" s="3900"/>
      <c r="H230" s="1"/>
      <c r="L230" s="1"/>
      <c r="M230" s="1"/>
      <c r="N230" s="1"/>
      <c r="R230" s="2657"/>
      <c r="S230" s="3838"/>
      <c r="T230" s="3839"/>
      <c r="U230" s="3839"/>
      <c r="V230" s="3839"/>
      <c r="W230" s="3840"/>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1" t="s">
        <v>6761</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99">
        <v>1920</v>
      </c>
      <c r="G231" s="3900"/>
      <c r="H231" s="1"/>
      <c r="I231" s="10" t="s">
        <v>1326</v>
      </c>
      <c r="K231" s="2636" t="s">
        <v>4067</v>
      </c>
      <c r="O231" s="1395" t="s">
        <v>3207</v>
      </c>
      <c r="P231" s="10"/>
      <c r="Q231" s="2933">
        <f>Q240</f>
        <v>12000</v>
      </c>
      <c r="S231" s="3838"/>
      <c r="T231" s="3839"/>
      <c r="U231" s="3839"/>
      <c r="V231" s="3839"/>
      <c r="W231" s="3840"/>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1"/>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7" t="s">
        <v>6899</v>
      </c>
      <c r="C232" s="3888"/>
      <c r="D232" s="3888"/>
      <c r="E232" s="3889"/>
      <c r="F232" s="3901">
        <v>500</v>
      </c>
      <c r="G232" s="3902"/>
      <c r="H232" s="1"/>
      <c r="I232" s="1" t="s">
        <v>1319</v>
      </c>
      <c r="K232" s="438">
        <f>L232/12/P67</f>
        <v>9.1666666666666661</v>
      </c>
      <c r="L232" s="3890">
        <v>5280</v>
      </c>
      <c r="M232" s="3891"/>
      <c r="N232" s="3914" t="str">
        <f>IF(Q231&lt;Q240, "WARNING! RR proposed is below the DCA required minimum.","")</f>
        <v/>
      </c>
      <c r="O232" s="871" t="s">
        <v>4066</v>
      </c>
      <c r="P232" s="866"/>
      <c r="Q232" s="872">
        <f>Q231/P240</f>
        <v>250</v>
      </c>
      <c r="R232" s="768"/>
      <c r="S232" s="3838"/>
      <c r="T232" s="3839"/>
      <c r="U232" s="3839"/>
      <c r="V232" s="3839"/>
      <c r="W232" s="3840"/>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1"/>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907">
        <f>SUM(F227:G232)</f>
        <v>19012</v>
      </c>
      <c r="G233" s="3908"/>
      <c r="H233" s="1"/>
      <c r="I233" s="1" t="s">
        <v>1320</v>
      </c>
      <c r="K233" s="438">
        <f>L233/12/P67</f>
        <v>0</v>
      </c>
      <c r="L233" s="3892"/>
      <c r="M233" s="3893"/>
      <c r="N233" s="3915"/>
      <c r="O233" s="3916" t="s">
        <v>3364</v>
      </c>
      <c r="P233" s="3917"/>
      <c r="Q233" s="3918"/>
      <c r="S233" s="3838"/>
      <c r="T233" s="3839"/>
      <c r="U233" s="3839"/>
      <c r="V233" s="3839"/>
      <c r="W233" s="3840"/>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1"/>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4124</v>
      </c>
      <c r="K234" s="438">
        <f>L234/12/P67</f>
        <v>6.666666666666667</v>
      </c>
      <c r="L234" s="3892">
        <f>1824+2016</f>
        <v>3840</v>
      </c>
      <c r="M234" s="3893"/>
      <c r="N234" s="3915"/>
      <c r="O234" s="865" t="s">
        <v>2562</v>
      </c>
      <c r="P234" s="765" t="s">
        <v>3421</v>
      </c>
      <c r="Q234" s="867" t="s">
        <v>3175</v>
      </c>
      <c r="R234" s="5"/>
      <c r="S234" s="3838"/>
      <c r="T234" s="3839"/>
      <c r="U234" s="3839"/>
      <c r="V234" s="3839"/>
      <c r="W234" s="3840"/>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1" t="s">
        <v>6694</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92">
        <v>7400</v>
      </c>
      <c r="M235" s="3893"/>
      <c r="N235" s="3915"/>
      <c r="O235" s="568" t="s">
        <v>36</v>
      </c>
      <c r="P235" s="569"/>
      <c r="Q235" s="570"/>
      <c r="R235" s="769"/>
      <c r="S235" s="3838"/>
      <c r="T235" s="3839"/>
      <c r="U235" s="3839"/>
      <c r="V235" s="3839"/>
      <c r="W235" s="3840"/>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1"/>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19"/>
      <c r="G236" s="3920"/>
      <c r="H236" s="1"/>
      <c r="I236" s="3896" t="s">
        <v>46</v>
      </c>
      <c r="J236" s="3897"/>
      <c r="K236" s="3898"/>
      <c r="L236" s="3903"/>
      <c r="M236" s="3904"/>
      <c r="N236" s="3915"/>
      <c r="O236" s="464" t="s">
        <v>3173</v>
      </c>
      <c r="P236" s="770" t="str">
        <f>CONCATENATE(SUM(MF49:MJ49)," units x $",'DCA Underwriting Assumptions'!$Q$68," =")</f>
        <v>0 units x $350 =</v>
      </c>
      <c r="Q236" s="571">
        <f>SUM(MF49:MJ49)*'DCA Underwriting Assumptions'!$Q$68</f>
        <v>0</v>
      </c>
      <c r="R236" s="2934"/>
      <c r="S236" s="3838"/>
      <c r="T236" s="3839"/>
      <c r="U236" s="3839"/>
      <c r="V236" s="3839"/>
      <c r="W236" s="3840"/>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1"/>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21">
        <v>3120</v>
      </c>
      <c r="G237" s="3922"/>
      <c r="H237" s="1"/>
      <c r="I237" s="1"/>
      <c r="K237" s="11" t="s">
        <v>183</v>
      </c>
      <c r="L237" s="3909">
        <f>SUM(L232:L236)</f>
        <v>16520</v>
      </c>
      <c r="M237" s="3910"/>
      <c r="N237" s="3915"/>
      <c r="O237" s="464" t="s">
        <v>3172</v>
      </c>
      <c r="P237" s="770" t="str">
        <f>CONCATENATE(SUM(MK49:MO49)," units x $",'DCA Underwriting Assumptions'!$Q$69," =")</f>
        <v>48 units x $250 =</v>
      </c>
      <c r="Q237" s="571">
        <f>SUM(MK49:MO49)*'DCA Underwriting Assumptions'!$Q$69</f>
        <v>12000</v>
      </c>
      <c r="S237" s="3838"/>
      <c r="T237" s="3839"/>
      <c r="U237" s="3839"/>
      <c r="V237" s="3839"/>
      <c r="W237" s="3840"/>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1"/>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21">
        <v>6400</v>
      </c>
      <c r="G238" s="3922"/>
      <c r="H238" s="1"/>
      <c r="K238" s="1"/>
      <c r="L238" s="1"/>
      <c r="N238" s="3915"/>
      <c r="O238" s="572" t="s">
        <v>6836</v>
      </c>
      <c r="P238" s="770" t="str">
        <f>CONCATENATE(SUM(MP49:MT49)," units x $",'DCA Underwriting Assumptions'!$Q$70," =")</f>
        <v>0 units x $420 =</v>
      </c>
      <c r="Q238" s="571">
        <f>SUM(MP49:MT49)*'DCA Underwriting Assumptions'!$Q$70</f>
        <v>0</v>
      </c>
      <c r="R238" s="765"/>
      <c r="S238" s="3838"/>
      <c r="T238" s="3839"/>
      <c r="U238" s="3839"/>
      <c r="V238" s="3839"/>
      <c r="W238" s="3840"/>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1"/>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99">
        <v>2240</v>
      </c>
      <c r="G239" s="3900"/>
      <c r="H239" s="1"/>
      <c r="O239" s="572" t="s">
        <v>3171</v>
      </c>
      <c r="P239" s="770" t="str">
        <f>CONCATENATE(P125," units x $",'DCA Underwriting Assumptions'!$Q$70," =")</f>
        <v>0 units x $420 =</v>
      </c>
      <c r="Q239" s="571">
        <f>P125*'DCA Underwriting Assumptions'!$Q$70</f>
        <v>0</v>
      </c>
      <c r="R239" s="569"/>
      <c r="S239" s="3838"/>
      <c r="T239" s="3839"/>
      <c r="U239" s="3839"/>
      <c r="V239" s="3839"/>
      <c r="W239" s="3840"/>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1" t="s">
        <v>6762</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99">
        <v>6000</v>
      </c>
      <c r="G240" s="3900"/>
      <c r="H240" s="1"/>
      <c r="I240" s="10" t="s">
        <v>1327</v>
      </c>
      <c r="O240" s="868" t="s">
        <v>2565</v>
      </c>
      <c r="P240" s="869">
        <f>SUM(MF49:MJ49)+SUM(MK49:MO49)+SUM(MP49:MT49)+P125</f>
        <v>48</v>
      </c>
      <c r="Q240" s="870">
        <f>SUM(Q236:Q239)</f>
        <v>12000</v>
      </c>
      <c r="R240" s="770"/>
      <c r="S240" s="3838"/>
      <c r="T240" s="3839"/>
      <c r="U240" s="3839"/>
      <c r="V240" s="3839"/>
      <c r="W240" s="3840"/>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1"/>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99"/>
      <c r="G241" s="3900"/>
      <c r="H241" s="1"/>
      <c r="I241" s="93" t="s">
        <v>4125</v>
      </c>
      <c r="K241" s="1"/>
      <c r="L241" s="3890">
        <v>32016</v>
      </c>
      <c r="M241" s="3891"/>
      <c r="R241" s="770"/>
      <c r="S241" s="3838"/>
      <c r="T241" s="3839"/>
      <c r="U241" s="3839"/>
      <c r="V241" s="3839"/>
      <c r="W241" s="3840"/>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1"/>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99">
        <v>5760</v>
      </c>
      <c r="G242" s="3900"/>
      <c r="H242" s="1"/>
      <c r="I242" s="1" t="s">
        <v>139</v>
      </c>
      <c r="K242" s="1"/>
      <c r="L242" s="3892">
        <v>19500</v>
      </c>
      <c r="M242" s="3893"/>
      <c r="R242" s="770"/>
      <c r="S242" s="3838"/>
      <c r="T242" s="3839"/>
      <c r="U242" s="3839"/>
      <c r="V242" s="3839"/>
      <c r="W242" s="3840"/>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1"/>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7" t="s">
        <v>46</v>
      </c>
      <c r="C243" s="3888"/>
      <c r="D243" s="3888"/>
      <c r="E243" s="3889"/>
      <c r="F243" s="3901"/>
      <c r="G243" s="3902"/>
      <c r="H243" s="1"/>
      <c r="I243" s="3896" t="s">
        <v>46</v>
      </c>
      <c r="J243" s="3897"/>
      <c r="K243" s="3898"/>
      <c r="L243" s="3894"/>
      <c r="M243" s="3895"/>
      <c r="N243" s="1"/>
      <c r="R243" s="770"/>
      <c r="S243" s="3838"/>
      <c r="T243" s="3839"/>
      <c r="U243" s="3839"/>
      <c r="V243" s="3839"/>
      <c r="W243" s="3840"/>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1" t="s">
        <v>6763</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12">
        <f>SUM(F236:G243)</f>
        <v>23520</v>
      </c>
      <c r="G244" s="3913"/>
      <c r="H244" s="1"/>
      <c r="K244" s="11" t="s">
        <v>183</v>
      </c>
      <c r="L244" s="3909">
        <f>SUM(L240:L243)</f>
        <v>51516</v>
      </c>
      <c r="M244" s="3911"/>
      <c r="N244" s="1"/>
      <c r="O244" s="10" t="s">
        <v>2093</v>
      </c>
      <c r="P244" s="1"/>
      <c r="Q244" s="393">
        <f>Q225+Q231</f>
        <v>202922</v>
      </c>
      <c r="R244" s="770"/>
      <c r="S244" s="3850"/>
      <c r="T244" s="3851"/>
      <c r="U244" s="3851"/>
      <c r="V244" s="3851"/>
      <c r="W244" s="3852"/>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1"/>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1"/>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1"/>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1"/>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4056</v>
      </c>
      <c r="C248" s="11"/>
      <c r="D248" s="1"/>
      <c r="E248" s="1"/>
      <c r="H248" s="12"/>
      <c r="I248" s="1306" t="s">
        <v>4057</v>
      </c>
      <c r="K248" s="3841"/>
      <c r="L248" s="3842"/>
      <c r="M248" s="1359" t="s">
        <v>4094</v>
      </c>
      <c r="N248" s="2935"/>
      <c r="O248" s="10" t="s">
        <v>4059</v>
      </c>
      <c r="P248" s="1"/>
      <c r="Q248" s="2936">
        <f>K248*N248</f>
        <v>0</v>
      </c>
      <c r="R248" s="768"/>
      <c r="S248" s="3926"/>
      <c r="T248" s="3927"/>
      <c r="U248" s="3927"/>
      <c r="V248" s="3927"/>
      <c r="W248" s="3928"/>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1"/>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1"/>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4095</v>
      </c>
      <c r="C250" s="11"/>
      <c r="D250" s="1"/>
      <c r="E250" s="1"/>
      <c r="F250" s="12"/>
      <c r="G250" s="12"/>
      <c r="H250" s="1"/>
      <c r="I250" s="1"/>
      <c r="J250" s="2842" t="s">
        <v>1691</v>
      </c>
      <c r="K250" s="1306" t="s">
        <v>4097</v>
      </c>
      <c r="L250" s="2842" t="s">
        <v>1691</v>
      </c>
      <c r="M250" s="72" t="s">
        <v>4098</v>
      </c>
      <c r="N250" s="2935"/>
      <c r="O250" s="445" t="s">
        <v>4096</v>
      </c>
      <c r="P250" s="1"/>
      <c r="Q250" s="2937"/>
      <c r="R250" s="768"/>
      <c r="S250" s="3926"/>
      <c r="T250" s="3927"/>
      <c r="U250" s="3927"/>
      <c r="V250" s="3927"/>
      <c r="W250" s="3928"/>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1" t="s">
        <v>6764</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1"/>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3527</v>
      </c>
      <c r="B252" s="13" t="s">
        <v>543</v>
      </c>
      <c r="N252" s="13" t="s">
        <v>4055</v>
      </c>
      <c r="O252" s="13"/>
      <c r="NP252" s="2851"/>
    </row>
    <row r="253" spans="1:493" ht="408.75" customHeight="1">
      <c r="A253" s="3588" t="s">
        <v>6975</v>
      </c>
      <c r="B253" s="3588"/>
      <c r="C253" s="3588"/>
      <c r="D253" s="3588"/>
      <c r="E253" s="3588"/>
      <c r="F253" s="3588"/>
      <c r="G253" s="3588"/>
      <c r="H253" s="3588"/>
      <c r="I253" s="3588"/>
      <c r="J253" s="3588"/>
      <c r="K253" s="3588"/>
      <c r="L253" s="3588"/>
      <c r="M253" s="3588"/>
      <c r="N253" s="3587"/>
      <c r="O253" s="3587"/>
      <c r="P253" s="3587"/>
      <c r="Q253" s="3587"/>
      <c r="R253" s="3924" t="s">
        <v>3526</v>
      </c>
      <c r="S253" s="3131"/>
      <c r="T253" s="3131"/>
      <c r="U253" s="3131"/>
      <c r="NP253" s="2851"/>
    </row>
    <row r="254" spans="1:493" ht="11.25" customHeight="1">
      <c r="NP254" s="2851"/>
    </row>
    <row r="255" spans="1:493" ht="12" customHeight="1">
      <c r="NP255" s="2851"/>
    </row>
    <row r="256" spans="1:493" ht="12" customHeight="1">
      <c r="NP256" s="2851"/>
    </row>
    <row r="257" spans="1:493" ht="14.1" customHeight="1">
      <c r="NP257" s="2851"/>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5"/>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5"/>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5"/>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5"/>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5"/>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1"/>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5"/>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1"/>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1"/>
    </row>
    <row r="266" spans="1:493" ht="14.1" customHeight="1">
      <c r="NP266" s="2851"/>
    </row>
    <row r="267" spans="1:493" ht="14.1" customHeight="1">
      <c r="NP267" s="2851"/>
    </row>
    <row r="268" spans="1:493" ht="14.1" customHeight="1">
      <c r="NP268" s="2851"/>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1"/>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1"/>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1"/>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5"/>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5"/>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5"/>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1"/>
    </row>
    <row r="276" spans="1:493" ht="14.1" customHeight="1">
      <c r="NP276" s="2851"/>
    </row>
    <row r="277" spans="1:493" ht="14.1" customHeight="1">
      <c r="NP277" s="2851"/>
    </row>
    <row r="278" spans="1:493" ht="14.1" customHeight="1">
      <c r="NP278" s="2851"/>
    </row>
    <row r="279" spans="1:493" ht="14.1" customHeight="1">
      <c r="NP279" s="2851"/>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5"/>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5"/>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1"/>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5"/>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5"/>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5"/>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1"/>
    </row>
    <row r="288" spans="1:493" ht="14.1" customHeight="1">
      <c r="NP288" s="2851"/>
    </row>
    <row r="289" spans="380:380" ht="14.1" customHeight="1">
      <c r="NP289" s="2851"/>
    </row>
    <row r="290" spans="380:380" ht="14.1" customHeight="1">
      <c r="NP290" s="2851"/>
    </row>
    <row r="291" spans="380:380" ht="14.1" customHeight="1">
      <c r="NP291" s="2851"/>
    </row>
    <row r="292" spans="380:380" ht="14.1" customHeight="1"/>
    <row r="293" spans="380:380" ht="14.1" customHeight="1"/>
    <row r="294" spans="380:380" ht="14.1" customHeight="1"/>
    <row r="295" spans="380:380" ht="14.1" customHeight="1"/>
    <row r="296" spans="380:380" ht="14.1" customHeight="1"/>
  </sheetData>
  <sheetProtection algorithmName="SHA-512" hashValue="b3a13ww3gIQ73W14uUG0TPundXFz8nBNzm7XwqUIYcgO/shme73iFBfL55XYminXP8uiSuf0yQUY9bY8Mdp8qw==" saltValue="ErvsFthNSMS7oJM/DvjZEA=="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1" stopIfTrue="1">
      <formula>AND($B11="PHA", $H11&gt;0)</formula>
    </cfRule>
  </conditionalFormatting>
  <conditionalFormatting sqref="U126 U101:U103 U112 U91:U92">
    <cfRule type="cellIs" dxfId="72" priority="32" stopIfTrue="1" operator="greaterThan">
      <formula>0</formula>
    </cfRule>
  </conditionalFormatting>
  <conditionalFormatting sqref="A11:A48">
    <cfRule type="cellIs" dxfId="71" priority="33" stopIfTrue="1" operator="equal">
      <formula>1</formula>
    </cfRule>
  </conditionalFormatting>
  <conditionalFormatting sqref="J11:J48">
    <cfRule type="expression" priority="30" stopIfTrue="1">
      <formula>AND($B11="PHA", $H11&gt;0)</formula>
    </cfRule>
  </conditionalFormatting>
  <conditionalFormatting sqref="P176">
    <cfRule type="cellIs" dxfId="70" priority="29" operator="greaterThan">
      <formula>0.02</formula>
    </cfRule>
  </conditionalFormatting>
  <conditionalFormatting sqref="Q11:Q23 Q27:Q48">
    <cfRule type="expression" dxfId="69" priority="27">
      <formula>AND($P$11="New Construction",$Q$11="Yes")</formula>
    </cfRule>
  </conditionalFormatting>
  <conditionalFormatting sqref="K56:P67 K156:P168 K93:P131 K136:P154">
    <cfRule type="cellIs" dxfId="68" priority="23" operator="equal">
      <formula>0</formula>
    </cfRule>
  </conditionalFormatting>
  <conditionalFormatting sqref="B50:C50">
    <cfRule type="cellIs" dxfId="67" priority="18" operator="greaterThan">
      <formula>60.0000001</formula>
    </cfRule>
  </conditionalFormatting>
  <conditionalFormatting sqref="L53:O53">
    <cfRule type="containsText" dxfId="66" priority="17" operator="containsText" text="&lt;&lt; Select LIHTC Election &gt;&gt;">
      <formula>NOT(ISERROR(SEARCH("&lt;&lt; Select LIHTC Election &gt;&gt;",L53)))</formula>
    </cfRule>
  </conditionalFormatting>
  <conditionalFormatting sqref="U155">
    <cfRule type="cellIs" dxfId="65" priority="15" stopIfTrue="1" operator="greaterThan">
      <formula>0</formula>
    </cfRule>
  </conditionalFormatting>
  <conditionalFormatting sqref="K155:P155">
    <cfRule type="cellIs" dxfId="64" priority="14" operator="equal">
      <formula>0</formula>
    </cfRule>
  </conditionalFormatting>
  <conditionalFormatting sqref="L102:O102">
    <cfRule type="cellIs" dxfId="63" priority="8" operator="equal">
      <formula>"&lt;&lt; Select LIHTC Election &gt;&gt;"</formula>
    </cfRule>
    <cfRule type="containsText" dxfId="62" priority="12" operator="containsText" text="&lt;&lt; Select Election or Income Averaging &gt;&gt;">
      <formula>NOT(ISERROR(SEARCH("&lt;&lt; Select Election or Income Averaging &gt;&gt;",L102)))</formula>
    </cfRule>
  </conditionalFormatting>
  <conditionalFormatting sqref="L145:O145">
    <cfRule type="cellIs" dxfId="61" priority="7" operator="equal">
      <formula>"&lt;&lt; Select LIHTC Election &gt;&gt;"</formula>
    </cfRule>
    <cfRule type="containsText" dxfId="60" priority="10" operator="containsText" text="&lt;&lt; Select Election or Income Averaging &gt;&gt;">
      <formula>NOT(ISERROR(SEARCH("&lt;&lt; Select Election or Income Averaging &gt;&gt;",L145)))</formula>
    </cfRule>
  </conditionalFormatting>
  <conditionalFormatting sqref="K132:P133">
    <cfRule type="cellIs" dxfId="59" priority="6" operator="equal">
      <formula>0</formula>
    </cfRule>
  </conditionalFormatting>
  <conditionalFormatting sqref="A6:A10">
    <cfRule type="cellIs" dxfId="58" priority="5" operator="equal">
      <formula>"Finish Row!"</formula>
    </cfRule>
  </conditionalFormatting>
  <conditionalFormatting sqref="U69">
    <cfRule type="cellIs" dxfId="57" priority="4" stopIfTrue="1" operator="greaterThan">
      <formula>0</formula>
    </cfRule>
  </conditionalFormatting>
  <conditionalFormatting sqref="K130:P131">
    <cfRule type="cellIs" dxfId="56" priority="3" operator="equal">
      <formula>0</formula>
    </cfRule>
  </conditionalFormatting>
  <conditionalFormatting sqref="K134:P135">
    <cfRule type="cellIs" dxfId="55" priority="2" operator="equal">
      <formula>0</formula>
    </cfRule>
  </conditionalFormatting>
  <conditionalFormatting sqref="Q24:Q26">
    <cfRule type="expression" dxfId="54" priority="1">
      <formula>AND($P$11="New Construction",$Q$11="Yes")</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5" bestFit="1" customWidth="1"/>
    <col min="27" max="27" width="8.85546875" style="1788"/>
    <col min="28" max="16384" width="8.85546875" style="8"/>
  </cols>
  <sheetData>
    <row r="1" spans="1:27" s="2805" customFormat="1" hidden="1">
      <c r="B1" s="2805" t="s">
        <v>6765</v>
      </c>
      <c r="C1" s="2805" t="s">
        <v>6766</v>
      </c>
      <c r="D1" s="2805" t="s">
        <v>6767</v>
      </c>
      <c r="E1" s="2805" t="s">
        <v>6768</v>
      </c>
      <c r="F1" s="2805" t="s">
        <v>6769</v>
      </c>
      <c r="G1" s="2805" t="s">
        <v>6770</v>
      </c>
      <c r="H1" s="2805" t="s">
        <v>6771</v>
      </c>
      <c r="I1" s="2805" t="s">
        <v>6772</v>
      </c>
      <c r="J1" s="2805" t="s">
        <v>6773</v>
      </c>
      <c r="K1" s="2805" t="s">
        <v>6774</v>
      </c>
      <c r="AA1" s="1788">
        <v>1</v>
      </c>
    </row>
    <row r="2" spans="1:27" s="16" customFormat="1" ht="14.1" customHeight="1">
      <c r="A2" s="3946" t="str">
        <f>CONCATENATE("PART SEVEN - OPERATING PRO FORMA","  -  ",'Part I-Project Information'!$O$7," ",'Part I-Project Information'!$F$35,", ",'Part I-Project Information'!F39,", ",'Part I-Project Information'!J40," County")</f>
        <v>PART SEVEN - OPERATING PRO FORMA  -  2021-015 The Peaks at Turnberry, Rincon, Effingham County</v>
      </c>
      <c r="B2" s="3947"/>
      <c r="C2" s="3947"/>
      <c r="D2" s="3947"/>
      <c r="E2" s="3947"/>
      <c r="F2" s="3947"/>
      <c r="G2" s="3947"/>
      <c r="H2" s="3947"/>
      <c r="I2" s="3947"/>
      <c r="J2" s="3947"/>
      <c r="K2" s="3948"/>
      <c r="L2" s="10"/>
      <c r="M2" s="10"/>
      <c r="N2" s="3949" t="str">
        <f>A2</f>
        <v>PART SEVEN - OPERATING PRO FORMA  -  2021-015 The Peaks at Turnberry, Rincon, Effingham County</v>
      </c>
      <c r="O2" s="3949"/>
      <c r="P2" s="10"/>
      <c r="Z2" s="2805"/>
      <c r="AA2" s="1787">
        <v>2</v>
      </c>
    </row>
    <row r="3" spans="1:27" ht="13.5" customHeight="1">
      <c r="A3" s="461"/>
      <c r="B3" s="461"/>
      <c r="C3" s="461"/>
      <c r="D3" s="461"/>
      <c r="E3" s="461"/>
      <c r="F3" s="461"/>
      <c r="G3" s="461"/>
      <c r="H3" s="461"/>
      <c r="I3" s="461"/>
      <c r="J3" s="461"/>
      <c r="K3" s="461"/>
      <c r="N3" s="3950" t="s">
        <v>1761</v>
      </c>
      <c r="O3" s="3950"/>
      <c r="AA3" s="1788">
        <v>3</v>
      </c>
    </row>
    <row r="4" spans="1:27" ht="13.5" customHeight="1">
      <c r="A4" s="13" t="s">
        <v>85</v>
      </c>
      <c r="C4" s="3951" t="str">
        <f>'Part I-Project Information'!$B$7</f>
        <v>2021 Core App
May 10 Rev</v>
      </c>
      <c r="D4" s="1010" t="s">
        <v>75</v>
      </c>
      <c r="E4" s="214"/>
      <c r="F4" s="1011" t="s">
        <v>3557</v>
      </c>
      <c r="N4" s="13" t="str">
        <f>A4</f>
        <v>I.  OPERATING ASSUMPTIONS</v>
      </c>
      <c r="O4" s="31"/>
      <c r="AA4" s="1788">
        <v>4</v>
      </c>
    </row>
    <row r="5" spans="1:27" ht="2.4500000000000002" customHeight="1">
      <c r="A5" s="16"/>
      <c r="B5" s="16"/>
      <c r="C5" s="3951"/>
      <c r="H5" s="16"/>
      <c r="I5" s="16"/>
      <c r="AA5" s="1788">
        <v>5</v>
      </c>
    </row>
    <row r="6" spans="1:27" ht="13.5" customHeight="1">
      <c r="A6" s="16" t="s">
        <v>2094</v>
      </c>
      <c r="B6" s="77">
        <v>0.02</v>
      </c>
      <c r="C6" s="3951"/>
      <c r="D6" s="3858" t="s">
        <v>3558</v>
      </c>
      <c r="E6" s="3858"/>
      <c r="F6" s="3858"/>
      <c r="G6" s="2938">
        <f>3600+1800</f>
        <v>5400</v>
      </c>
      <c r="H6" s="95" t="s">
        <v>1819</v>
      </c>
      <c r="K6" s="100">
        <f>IF(($B$15+$B$16+$B$17+$B$18)=0,"",B31/($B$15+$B$16+$B$17+$B$18))</f>
        <v>-1.5573975761910042E-2</v>
      </c>
      <c r="N6" s="3847"/>
      <c r="O6" s="3849"/>
      <c r="AA6" s="1788">
        <v>6</v>
      </c>
    </row>
    <row r="7" spans="1:27">
      <c r="A7" s="16" t="s">
        <v>2095</v>
      </c>
      <c r="B7" s="77">
        <v>0.03</v>
      </c>
      <c r="C7" s="3951"/>
      <c r="D7" s="3858"/>
      <c r="E7" s="3858"/>
      <c r="F7" s="3858"/>
      <c r="G7" s="1012">
        <f>IF(OR('Part III-Sources of Funds'!E6="Yes",'Part III-Sources of Funds'!I6&gt;0),'DCA Underwriting Assumptions'!$Q$101,0)</f>
        <v>0</v>
      </c>
      <c r="H7" s="16"/>
      <c r="I7" s="16"/>
      <c r="J7" s="16"/>
      <c r="K7" s="16"/>
      <c r="N7" s="3838"/>
      <c r="O7" s="3840"/>
      <c r="AA7" s="1788">
        <v>7</v>
      </c>
    </row>
    <row r="8" spans="1:27">
      <c r="A8" s="16" t="s">
        <v>2097</v>
      </c>
      <c r="B8" s="77">
        <v>0.03</v>
      </c>
      <c r="C8" s="3951"/>
      <c r="D8" s="79" t="s">
        <v>259</v>
      </c>
      <c r="G8" s="81"/>
      <c r="H8" s="95" t="s">
        <v>2270</v>
      </c>
      <c r="K8" s="100">
        <f>IF(($B$15+$B$16+$B$17+$B$18)=0,"",-B22/($B$15+$B$16+$B$17+$B$18))</f>
        <v>9.0000275486326817E-2</v>
      </c>
      <c r="N8" s="3838"/>
      <c r="O8" s="3840"/>
      <c r="AA8" s="1788">
        <v>8</v>
      </c>
    </row>
    <row r="9" spans="1:27" ht="13.35" customHeight="1">
      <c r="A9" s="16" t="s">
        <v>2096</v>
      </c>
      <c r="B9" s="2939">
        <v>7.0000000000000007E-2</v>
      </c>
      <c r="C9" s="1297" t="str">
        <f>IF(B9&lt;0.07, "Must be &gt;= 7%!","")</f>
        <v/>
      </c>
      <c r="D9" s="78" t="s">
        <v>2392</v>
      </c>
      <c r="G9" s="2940"/>
      <c r="H9" s="161" t="s">
        <v>1389</v>
      </c>
      <c r="K9" s="2941"/>
      <c r="N9" s="3838"/>
      <c r="O9" s="3840"/>
      <c r="AA9" s="1788">
        <v>9</v>
      </c>
    </row>
    <row r="10" spans="1:27">
      <c r="A10" s="16" t="s">
        <v>1367</v>
      </c>
      <c r="B10" s="77">
        <v>0.02</v>
      </c>
      <c r="D10" s="78" t="s">
        <v>1641</v>
      </c>
      <c r="G10" s="2942" t="s">
        <v>2770</v>
      </c>
      <c r="H10" s="161" t="s">
        <v>2252</v>
      </c>
      <c r="K10" s="2943">
        <v>0.09</v>
      </c>
      <c r="N10" s="3850"/>
      <c r="O10" s="3852"/>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2369</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88" t="s">
        <v>2500</v>
      </c>
      <c r="O14" s="3488"/>
      <c r="AA14" s="1788">
        <v>14</v>
      </c>
    </row>
    <row r="15" spans="1:27" ht="13.35" customHeight="1">
      <c r="A15" s="18" t="s">
        <v>2295</v>
      </c>
      <c r="B15" s="19">
        <f>'Part VI-Revenues &amp; Expenses'!$M$50</f>
        <v>365520</v>
      </c>
      <c r="C15" s="19">
        <f t="shared" ref="C15:K15" si="1">$B$15*(1+$B$6)^(C14-1)</f>
        <v>372830.4</v>
      </c>
      <c r="D15" s="19">
        <f t="shared" si="1"/>
        <v>380287.00799999997</v>
      </c>
      <c r="E15" s="19">
        <f t="shared" si="1"/>
        <v>387892.74815999996</v>
      </c>
      <c r="F15" s="19">
        <f t="shared" si="1"/>
        <v>395650.60312320001</v>
      </c>
      <c r="G15" s="19">
        <f t="shared" si="1"/>
        <v>403563.61518566398</v>
      </c>
      <c r="H15" s="19">
        <f t="shared" si="1"/>
        <v>411634.88748937729</v>
      </c>
      <c r="I15" s="19">
        <f t="shared" si="1"/>
        <v>419867.58523916476</v>
      </c>
      <c r="J15" s="19">
        <f t="shared" si="1"/>
        <v>428264.93694394809</v>
      </c>
      <c r="K15" s="20">
        <f t="shared" si="1"/>
        <v>436830.23568282707</v>
      </c>
      <c r="N15" s="3847"/>
      <c r="O15" s="3849"/>
      <c r="S15" s="3942" t="s">
        <v>3563</v>
      </c>
      <c r="Z15" s="2805" t="s">
        <v>6775</v>
      </c>
      <c r="AA15" s="1788">
        <v>15</v>
      </c>
    </row>
    <row r="16" spans="1:27" ht="13.35" customHeight="1">
      <c r="A16" s="21" t="s">
        <v>977</v>
      </c>
      <c r="B16" s="22">
        <f>MIN(B15*B10,'Part VI-Revenues &amp; Expenses'!$H$176)</f>
        <v>7310.4000000000005</v>
      </c>
      <c r="C16" s="22">
        <f t="shared" ref="C16:K16" si="2">$B$16*(1+$B$6)^(C14-1)</f>
        <v>7456.6080000000011</v>
      </c>
      <c r="D16" s="22">
        <f t="shared" si="2"/>
        <v>7605.7401600000003</v>
      </c>
      <c r="E16" s="22">
        <f t="shared" si="2"/>
        <v>7757.8549632000004</v>
      </c>
      <c r="F16" s="22">
        <f t="shared" si="2"/>
        <v>7913.0120624640003</v>
      </c>
      <c r="G16" s="22">
        <f t="shared" si="2"/>
        <v>8071.272303713281</v>
      </c>
      <c r="H16" s="22">
        <f t="shared" si="2"/>
        <v>8232.6977497875469</v>
      </c>
      <c r="I16" s="22">
        <f t="shared" si="2"/>
        <v>8397.3517047832956</v>
      </c>
      <c r="J16" s="22">
        <f t="shared" si="2"/>
        <v>8565.2987388789625</v>
      </c>
      <c r="K16" s="23">
        <f t="shared" si="2"/>
        <v>8736.6047136565412</v>
      </c>
      <c r="N16" s="3838"/>
      <c r="O16" s="3840"/>
      <c r="S16" s="3943"/>
      <c r="Z16" s="2805" t="s">
        <v>6775</v>
      </c>
      <c r="AA16" s="1788">
        <v>16</v>
      </c>
    </row>
    <row r="17" spans="1:27" ht="13.35" customHeight="1">
      <c r="A17" s="21" t="s">
        <v>2296</v>
      </c>
      <c r="B17" s="22">
        <f t="shared" ref="B17:K17" si="3">-(B15+B16)*$B$9</f>
        <v>-26098.128000000004</v>
      </c>
      <c r="C17" s="22">
        <f t="shared" si="3"/>
        <v>-26620.090560000004</v>
      </c>
      <c r="D17" s="22">
        <f t="shared" si="3"/>
        <v>-27152.492371199998</v>
      </c>
      <c r="E17" s="22">
        <f t="shared" si="3"/>
        <v>-27695.542218623999</v>
      </c>
      <c r="F17" s="22">
        <f t="shared" si="3"/>
        <v>-28249.453062996487</v>
      </c>
      <c r="G17" s="22">
        <f t="shared" si="3"/>
        <v>-28814.442124256409</v>
      </c>
      <c r="H17" s="22">
        <f t="shared" si="3"/>
        <v>-29390.730966741539</v>
      </c>
      <c r="I17" s="22">
        <f t="shared" si="3"/>
        <v>-29978.545586076365</v>
      </c>
      <c r="J17" s="22">
        <f t="shared" si="3"/>
        <v>-30578.116497797899</v>
      </c>
      <c r="K17" s="23">
        <f t="shared" si="3"/>
        <v>-31189.678827753854</v>
      </c>
      <c r="N17" s="3838"/>
      <c r="O17" s="3840"/>
      <c r="Q17" s="3945" t="s">
        <v>3440</v>
      </c>
      <c r="R17" s="3945" t="s">
        <v>3562</v>
      </c>
      <c r="S17" s="3943"/>
      <c r="Z17" s="2805" t="s">
        <v>6775</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8"/>
      <c r="O18" s="3840"/>
      <c r="Q18" s="3945"/>
      <c r="R18" s="3945"/>
      <c r="S18" s="3944"/>
      <c r="Z18" s="2805" t="s">
        <v>6775</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8"/>
      <c r="O19" s="3840"/>
      <c r="Z19" s="2805" t="s">
        <v>6775</v>
      </c>
      <c r="AA19" s="1788">
        <v>19</v>
      </c>
    </row>
    <row r="20" spans="1:27" ht="13.35" customHeight="1">
      <c r="A20" s="409" t="s">
        <v>4016</v>
      </c>
      <c r="B20" s="22">
        <f>SUM(B15:B19)</f>
        <v>346732.272</v>
      </c>
      <c r="C20" s="22">
        <f t="shared" ref="C20:K20" si="4">SUM(C15:C19)</f>
        <v>353666.91744000005</v>
      </c>
      <c r="D20" s="22">
        <f t="shared" si="4"/>
        <v>360740.25578879996</v>
      </c>
      <c r="E20" s="22">
        <f t="shared" si="4"/>
        <v>367955.06090457598</v>
      </c>
      <c r="F20" s="22">
        <f t="shared" si="4"/>
        <v>375314.16212266753</v>
      </c>
      <c r="G20" s="22">
        <f t="shared" si="4"/>
        <v>382820.44536512083</v>
      </c>
      <c r="H20" s="22">
        <f t="shared" si="4"/>
        <v>390476.85427242331</v>
      </c>
      <c r="I20" s="22">
        <f t="shared" si="4"/>
        <v>398286.39135787165</v>
      </c>
      <c r="J20" s="22">
        <f t="shared" si="4"/>
        <v>406252.11918502918</v>
      </c>
      <c r="K20" s="23">
        <f t="shared" si="4"/>
        <v>414377.16156872973</v>
      </c>
      <c r="N20" s="3838"/>
      <c r="O20" s="3840"/>
      <c r="Z20" s="2805" t="s">
        <v>6775</v>
      </c>
      <c r="AA20" s="1787">
        <v>20</v>
      </c>
    </row>
    <row r="21" spans="1:27" ht="13.35" customHeight="1">
      <c r="A21" s="21" t="s">
        <v>585</v>
      </c>
      <c r="B21" s="22">
        <f>-('Part VI-Revenues &amp; Expenses'!$Q$225-'Part VI-Revenues &amp; Expenses'!$Q$217)</f>
        <v>-159716</v>
      </c>
      <c r="C21" s="22">
        <f t="shared" ref="C21:K21" si="5">$B$21*(1+$B$7)^(C14-1)</f>
        <v>-164507.48000000001</v>
      </c>
      <c r="D21" s="22">
        <f t="shared" si="5"/>
        <v>-169442.70439999999</v>
      </c>
      <c r="E21" s="22">
        <f t="shared" si="5"/>
        <v>-174525.98553199999</v>
      </c>
      <c r="F21" s="22">
        <f t="shared" si="5"/>
        <v>-179761.76509795999</v>
      </c>
      <c r="G21" s="22">
        <f t="shared" si="5"/>
        <v>-185154.61805089877</v>
      </c>
      <c r="H21" s="22">
        <f t="shared" si="5"/>
        <v>-190709.25659242575</v>
      </c>
      <c r="I21" s="22">
        <f t="shared" si="5"/>
        <v>-196430.53429019853</v>
      </c>
      <c r="J21" s="22">
        <f t="shared" si="5"/>
        <v>-202323.45031890448</v>
      </c>
      <c r="K21" s="23">
        <f t="shared" si="5"/>
        <v>-208393.15382847161</v>
      </c>
      <c r="N21" s="3838"/>
      <c r="O21" s="3840"/>
      <c r="Q21" s="62">
        <v>1</v>
      </c>
      <c r="R21" s="945">
        <f>-B32</f>
        <v>0</v>
      </c>
      <c r="S21" s="945">
        <f>B33+R21</f>
        <v>35685.248744308105</v>
      </c>
      <c r="Z21" s="2805" t="s">
        <v>6775</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-31206</v>
      </c>
      <c r="C22" s="22">
        <f>IF(AND('Part VII-Pro Forma'!$G$9="Yes",'Part VII-Pro Forma'!$G$10="Yes"),"Choose One!",IF('Part VII-Pro Forma'!$G$9="Yes",ROUND((-$K$9*(1+'Part VII-Pro Forma'!$B$7)^('Part VII-Pro Forma'!C14-1)),),IF('Part VII-Pro Forma'!$G$10="Yes",ROUND((-(SUM(C15:C18)*'Part VII-Pro Forma'!$K$10)),),"Choose mgt fee")))</f>
        <v>-31830</v>
      </c>
      <c r="D22" s="22">
        <f>IF(AND('Part VII-Pro Forma'!$G$9="Yes",'Part VII-Pro Forma'!$G$10="Yes"),"Choose One!",IF('Part VII-Pro Forma'!$G$9="Yes",ROUND((-$K$9*(1+'Part VII-Pro Forma'!$B$7)^('Part VII-Pro Forma'!D14-1)),),IF('Part VII-Pro Forma'!$G$10="Yes",ROUND((-(SUM(D15:D18)*'Part VII-Pro Forma'!$K$10)),),"Choose mgt fee")))</f>
        <v>-32467</v>
      </c>
      <c r="E22" s="22">
        <f>IF(AND('Part VII-Pro Forma'!$G$9="Yes",'Part VII-Pro Forma'!$G$10="Yes"),"Choose One!",IF('Part VII-Pro Forma'!$G$9="Yes",ROUND((-$K$9*(1+'Part VII-Pro Forma'!$B$7)^('Part VII-Pro Forma'!E14-1)),),IF('Part VII-Pro Forma'!$G$10="Yes",ROUND((-(SUM(E15:E18)*'Part VII-Pro Forma'!$K$10)),),"Choose mgt fee")))</f>
        <v>-33116</v>
      </c>
      <c r="F22" s="22">
        <f>IF(AND('Part VII-Pro Forma'!$G$9="Yes",'Part VII-Pro Forma'!$G$10="Yes"),"Choose One!",IF('Part VII-Pro Forma'!$G$9="Yes",ROUND((-$K$9*(1+'Part VII-Pro Forma'!$B$7)^('Part VII-Pro Forma'!F14-1)),),IF('Part VII-Pro Forma'!$G$10="Yes",ROUND((-(SUM(F15:F18)*'Part VII-Pro Forma'!$K$10)),),"Choose mgt fee")))</f>
        <v>-33778</v>
      </c>
      <c r="G22" s="22">
        <f>IF(AND('Part VII-Pro Forma'!$G$9="Yes",'Part VII-Pro Forma'!$G$10="Yes"),"Choose One!",IF('Part VII-Pro Forma'!$G$9="Yes",ROUND((-$K$9*(1+'Part VII-Pro Forma'!$B$7)^('Part VII-Pro Forma'!G14-1)),),IF('Part VII-Pro Forma'!$G$10="Yes",ROUND((-(SUM(G15:G18)*'Part VII-Pro Forma'!$K$10)),),"Choose mgt fee")))</f>
        <v>-34454</v>
      </c>
      <c r="H22" s="22">
        <f>IF(AND('Part VII-Pro Forma'!$G$9="Yes",'Part VII-Pro Forma'!$G$10="Yes"),"Choose One!",IF('Part VII-Pro Forma'!$G$9="Yes",ROUND((-$K$9*(1+'Part VII-Pro Forma'!$B$7)^('Part VII-Pro Forma'!H14-1)),),IF('Part VII-Pro Forma'!$G$10="Yes",ROUND((-(SUM(H15:H18)*'Part VII-Pro Forma'!$K$10)),),"Choose mgt fee")))</f>
        <v>-35143</v>
      </c>
      <c r="I22" s="22">
        <f>IF(AND('Part VII-Pro Forma'!$G$9="Yes",'Part VII-Pro Forma'!$G$10="Yes"),"Choose One!",IF('Part VII-Pro Forma'!$G$9="Yes",ROUND((-$K$9*(1+'Part VII-Pro Forma'!$B$7)^('Part VII-Pro Forma'!I14-1)),),IF('Part VII-Pro Forma'!$G$10="Yes",ROUND((-(SUM(I15:I18)*'Part VII-Pro Forma'!$K$10)),),"Choose mgt fee")))</f>
        <v>-35846</v>
      </c>
      <c r="J22" s="22">
        <f>IF(AND('Part VII-Pro Forma'!$G$9="Yes",'Part VII-Pro Forma'!$G$10="Yes"),"Choose One!",IF('Part VII-Pro Forma'!$G$9="Yes",ROUND((-$K$9*(1+'Part VII-Pro Forma'!$B$7)^('Part VII-Pro Forma'!J14-1)),),IF('Part VII-Pro Forma'!$G$10="Yes",ROUND((-(SUM(J15:J18)*'Part VII-Pro Forma'!$K$10)),),"Choose mgt fee")))</f>
        <v>-36563</v>
      </c>
      <c r="K22" s="23">
        <f>IF(AND('Part VII-Pro Forma'!$G$9="Yes",'Part VII-Pro Forma'!$G$10="Yes"),"Choose One!",IF('Part VII-Pro Forma'!$G$9="Yes",ROUND((-$K$9*(1+'Part VII-Pro Forma'!$B$7)^('Part VII-Pro Forma'!K14-1)),),IF('Part VII-Pro Forma'!$G$10="Yes",ROUND((-(SUM(K15:K18)*'Part VII-Pro Forma'!$K$10)),),"Choose mgt fee")))</f>
        <v>-37294</v>
      </c>
      <c r="N22" s="3838"/>
      <c r="O22" s="3840"/>
      <c r="Q22" s="62">
        <v>2</v>
      </c>
      <c r="R22" s="945">
        <f>-SUM(B32:C32)</f>
        <v>3885</v>
      </c>
      <c r="S22" s="945">
        <f>SUM(B33:C33)+R22</f>
        <v>72529.66292861625</v>
      </c>
      <c r="Z22" s="2805" t="s">
        <v>6775</v>
      </c>
      <c r="AA22" s="1788">
        <v>22</v>
      </c>
    </row>
    <row r="23" spans="1:27" ht="13.35" customHeight="1">
      <c r="A23" s="21" t="s">
        <v>1156</v>
      </c>
      <c r="B23" s="22">
        <f>-('Part VI-Revenues &amp; Expenses'!$Q$231)</f>
        <v>-12000</v>
      </c>
      <c r="C23" s="22">
        <f t="shared" ref="C23:K23" si="6">$B$23*(1+$B$8)^(C14-1)</f>
        <v>-12360</v>
      </c>
      <c r="D23" s="22">
        <f t="shared" si="6"/>
        <v>-12730.8</v>
      </c>
      <c r="E23" s="22">
        <f t="shared" si="6"/>
        <v>-13112.724</v>
      </c>
      <c r="F23" s="22">
        <f t="shared" si="6"/>
        <v>-13506.10572</v>
      </c>
      <c r="G23" s="22">
        <f t="shared" si="6"/>
        <v>-13911.288891599997</v>
      </c>
      <c r="H23" s="22">
        <f t="shared" si="6"/>
        <v>-14328.627558347998</v>
      </c>
      <c r="I23" s="22">
        <f t="shared" si="6"/>
        <v>-14758.48638509844</v>
      </c>
      <c r="J23" s="22">
        <f t="shared" si="6"/>
        <v>-15201.240976651392</v>
      </c>
      <c r="K23" s="23">
        <f t="shared" si="6"/>
        <v>-15657.278205950934</v>
      </c>
      <c r="N23" s="3838"/>
      <c r="O23" s="3840"/>
      <c r="Q23" s="62">
        <v>3</v>
      </c>
      <c r="R23" s="945">
        <f>-SUM(B32:D32)</f>
        <v>3885</v>
      </c>
      <c r="S23" s="945">
        <f>SUM(B33:D33)+R23</f>
        <v>110504.39106172434</v>
      </c>
      <c r="Z23" s="2805" t="s">
        <v>6775</v>
      </c>
      <c r="AA23" s="1788">
        <v>23</v>
      </c>
    </row>
    <row r="24" spans="1:27" ht="13.35" customHeight="1">
      <c r="A24" s="409" t="s">
        <v>4015</v>
      </c>
      <c r="B24" s="2944">
        <f>IF(B14&lt;=+'Part VI-Revenues &amp; Expenses'!$N$248,-'Part VI-Revenues &amp; Expenses'!$K$248,0)</f>
        <v>0</v>
      </c>
      <c r="C24" s="2944">
        <f>IF(C14&lt;=+'Part VI-Revenues &amp; Expenses'!$N$248,-'Part VI-Revenues &amp; Expenses'!$K$248,0)</f>
        <v>0</v>
      </c>
      <c r="D24" s="2944">
        <f>IF(D14&lt;=+'Part VI-Revenues &amp; Expenses'!$N$248,-'Part VI-Revenues &amp; Expenses'!$K$248,0)</f>
        <v>0</v>
      </c>
      <c r="E24" s="2944">
        <f>IF(E14&lt;=+'Part VI-Revenues &amp; Expenses'!$N$248,-'Part VI-Revenues &amp; Expenses'!$K$248,0)</f>
        <v>0</v>
      </c>
      <c r="F24" s="2944">
        <f>IF(F14&lt;=+'Part VI-Revenues &amp; Expenses'!$N$248,-'Part VI-Revenues &amp; Expenses'!$K$248,0)</f>
        <v>0</v>
      </c>
      <c r="G24" s="2944">
        <f>IF(G14&lt;=+'Part VI-Revenues &amp; Expenses'!$N$248,-'Part VI-Revenues &amp; Expenses'!$K$248,0)</f>
        <v>0</v>
      </c>
      <c r="H24" s="2944">
        <f>IF(H14&lt;=+'Part VI-Revenues &amp; Expenses'!$N$248,-'Part VI-Revenues &amp; Expenses'!$K$248,0)</f>
        <v>0</v>
      </c>
      <c r="I24" s="2944">
        <f>IF(I14&lt;=+'Part VI-Revenues &amp; Expenses'!$N$248,-'Part VI-Revenues &amp; Expenses'!$K$248,0)</f>
        <v>0</v>
      </c>
      <c r="J24" s="2944">
        <f>IF(J14&lt;=+'Part VI-Revenues &amp; Expenses'!$N$248,-'Part VI-Revenues &amp; Expenses'!$K$248,0)</f>
        <v>0</v>
      </c>
      <c r="K24" s="2944">
        <f>IF(K14&lt;=+'Part VI-Revenues &amp; Expenses'!$N$248,-'Part VI-Revenues &amp; Expenses'!$K$248,0)</f>
        <v>0</v>
      </c>
      <c r="N24" s="3838"/>
      <c r="O24" s="3840"/>
      <c r="Q24" s="847">
        <v>4</v>
      </c>
      <c r="R24" s="945">
        <f>-SUM(B32:E32)</f>
        <v>3885</v>
      </c>
      <c r="S24" s="945">
        <f>SUM(B33:E33)+R24</f>
        <v>149579.71917860844</v>
      </c>
      <c r="Z24" s="2805" t="s">
        <v>6775</v>
      </c>
      <c r="AA24" s="1788">
        <v>24</v>
      </c>
    </row>
    <row r="25" spans="1:27" ht="13.35" customHeight="1">
      <c r="A25" s="21" t="s">
        <v>1157</v>
      </c>
      <c r="B25" s="22">
        <f>SUM(B20:B24)</f>
        <v>143810.272</v>
      </c>
      <c r="C25" s="22">
        <f t="shared" ref="C25:J25" si="7">SUM(C20:C24)</f>
        <v>144969.43744000004</v>
      </c>
      <c r="D25" s="22">
        <f t="shared" si="7"/>
        <v>146099.75138879998</v>
      </c>
      <c r="E25" s="22">
        <f t="shared" si="7"/>
        <v>147200.351372576</v>
      </c>
      <c r="F25" s="22">
        <f t="shared" si="7"/>
        <v>148268.29130470756</v>
      </c>
      <c r="G25" s="22">
        <f t="shared" si="7"/>
        <v>149300.53842262205</v>
      </c>
      <c r="H25" s="22">
        <f t="shared" si="7"/>
        <v>150295.97012164956</v>
      </c>
      <c r="I25" s="22">
        <f t="shared" si="7"/>
        <v>151251.37068257469</v>
      </c>
      <c r="J25" s="22">
        <f t="shared" si="7"/>
        <v>152164.4278894733</v>
      </c>
      <c r="K25" s="1299">
        <f>SUM(K20:K24)</f>
        <v>153032.7295343072</v>
      </c>
      <c r="N25" s="3838"/>
      <c r="O25" s="3840"/>
      <c r="Q25" s="847">
        <v>5</v>
      </c>
      <c r="R25" s="945">
        <f>-SUM(B32:F32)</f>
        <v>3885</v>
      </c>
      <c r="S25" s="945">
        <f>SUM(B33:F33)+R25</f>
        <v>189722.98722762411</v>
      </c>
      <c r="Z25" s="2805" t="s">
        <v>6775</v>
      </c>
      <c r="AA25" s="1787">
        <v>25</v>
      </c>
    </row>
    <row r="26" spans="1:27" ht="13.35" customHeight="1">
      <c r="A26" s="409" t="s">
        <v>1525</v>
      </c>
      <c r="B26" s="2945">
        <f>IF('Part III-Sources of Funds'!$P$40="", 0,-'Part III-Sources of Funds'!$P$40)</f>
        <v>-102725.02325569189</v>
      </c>
      <c r="C26" s="2945">
        <f>IF('Part III-Sources of Funds'!$P$40="", 0,-'Part III-Sources of Funds'!$P$40)</f>
        <v>-102725.02325569189</v>
      </c>
      <c r="D26" s="2945">
        <f>IF('Part III-Sources of Funds'!$P$40="", 0,-'Part III-Sources of Funds'!$P$40)</f>
        <v>-102725.02325569189</v>
      </c>
      <c r="E26" s="2945">
        <f>IF('Part III-Sources of Funds'!$P$40="", 0,-'Part III-Sources of Funds'!$P$40)</f>
        <v>-102725.02325569189</v>
      </c>
      <c r="F26" s="2945">
        <f>IF('Part III-Sources of Funds'!$P$40="", 0,-'Part III-Sources of Funds'!$P$40)</f>
        <v>-102725.02325569189</v>
      </c>
      <c r="G26" s="2945">
        <f>IF('Part III-Sources of Funds'!$P$40="", 0,-'Part III-Sources of Funds'!$P$40)</f>
        <v>-102725.02325569189</v>
      </c>
      <c r="H26" s="2945">
        <f>IF('Part III-Sources of Funds'!$P$40="", 0,-'Part III-Sources of Funds'!$P$40)</f>
        <v>-102725.02325569189</v>
      </c>
      <c r="I26" s="2945">
        <f>IF('Part III-Sources of Funds'!$P$40="", 0,-'Part III-Sources of Funds'!$P$40)</f>
        <v>-102725.02325569189</v>
      </c>
      <c r="J26" s="2945">
        <f>IF('Part III-Sources of Funds'!$P$40="", 0,-'Part III-Sources of Funds'!$P$40)</f>
        <v>-102725.02325569189</v>
      </c>
      <c r="K26" s="2945">
        <f>IF('Part III-Sources of Funds'!$P$40="", 0,-'Part III-Sources of Funds'!$P$40)</f>
        <v>-102725.02325569189</v>
      </c>
      <c r="N26" s="3838"/>
      <c r="O26" s="3840"/>
      <c r="Q26" s="847">
        <v>6</v>
      </c>
      <c r="R26" s="945">
        <f>-SUM(B32:G32)</f>
        <v>3885</v>
      </c>
      <c r="S26" s="945">
        <f>SUM(B33:G33)+R26</f>
        <v>230898.50239455426</v>
      </c>
      <c r="Z26" s="2805" t="s">
        <v>6775</v>
      </c>
      <c r="AA26" s="1788">
        <v>26</v>
      </c>
    </row>
    <row r="27" spans="1:27" ht="13.35" customHeight="1">
      <c r="A27" s="409" t="s">
        <v>1526</v>
      </c>
      <c r="B27" s="2946">
        <f>IF('Part III-Sources of Funds'!$P$41="", 0,-'Part III-Sources of Funds'!$P$41)</f>
        <v>0</v>
      </c>
      <c r="C27" s="2946">
        <f>IF('Part III-Sources of Funds'!$P$41="", 0,-'Part III-Sources of Funds'!$P$41)</f>
        <v>0</v>
      </c>
      <c r="D27" s="2946">
        <f>IF('Part III-Sources of Funds'!$P$41="", 0,-'Part III-Sources of Funds'!$P$41)</f>
        <v>0</v>
      </c>
      <c r="E27" s="2946">
        <f>IF('Part III-Sources of Funds'!$P$41="", 0,-'Part III-Sources of Funds'!$P$41)</f>
        <v>0</v>
      </c>
      <c r="F27" s="2946">
        <f>IF('Part III-Sources of Funds'!$P$41="", 0,-'Part III-Sources of Funds'!$P$41)</f>
        <v>0</v>
      </c>
      <c r="G27" s="2946">
        <f>IF('Part III-Sources of Funds'!$P$41="", 0,-'Part III-Sources of Funds'!$P$41)</f>
        <v>0</v>
      </c>
      <c r="H27" s="2946">
        <f>IF('Part III-Sources of Funds'!$P$41="", 0,-'Part III-Sources of Funds'!$P$41)</f>
        <v>0</v>
      </c>
      <c r="I27" s="2946">
        <f>IF('Part III-Sources of Funds'!$P$41="", 0,-'Part III-Sources of Funds'!$P$41)</f>
        <v>0</v>
      </c>
      <c r="J27" s="2946">
        <f>IF('Part III-Sources of Funds'!$P$41="", 0,-'Part III-Sources of Funds'!$P$41)</f>
        <v>0</v>
      </c>
      <c r="K27" s="2946">
        <f>IF('Part III-Sources of Funds'!$P$41="", 0,-'Part III-Sources of Funds'!$P$41)</f>
        <v>0</v>
      </c>
      <c r="N27" s="3838"/>
      <c r="O27" s="3840"/>
      <c r="Q27" s="847">
        <v>7</v>
      </c>
      <c r="R27" s="945">
        <f>-SUM(B32:H32)</f>
        <v>3885</v>
      </c>
      <c r="S27" s="945">
        <f>SUM(B33:H33)+R27</f>
        <v>273069.4492605119</v>
      </c>
      <c r="Z27" s="2805" t="s">
        <v>6775</v>
      </c>
      <c r="AA27" s="1788">
        <v>27</v>
      </c>
    </row>
    <row r="28" spans="1:27" ht="13.35" customHeight="1">
      <c r="A28" s="409" t="s">
        <v>1527</v>
      </c>
      <c r="B28" s="2946">
        <f>IF('Part III-Sources of Funds'!$P$42="", 0,-'Part III-Sources of Funds'!$P$42)</f>
        <v>0</v>
      </c>
      <c r="C28" s="2946">
        <f>IF('Part III-Sources of Funds'!$P$42="", 0,-'Part III-Sources of Funds'!$P$42)</f>
        <v>0</v>
      </c>
      <c r="D28" s="2946">
        <f>IF('Part III-Sources of Funds'!$P$42="", 0,-'Part III-Sources of Funds'!$P$42)</f>
        <v>0</v>
      </c>
      <c r="E28" s="2946">
        <f>IF('Part III-Sources of Funds'!$P$42="", 0,-'Part III-Sources of Funds'!$P$42)</f>
        <v>0</v>
      </c>
      <c r="F28" s="2946">
        <f>IF('Part III-Sources of Funds'!$P$42="", 0,-'Part III-Sources of Funds'!$P$42)</f>
        <v>0</v>
      </c>
      <c r="G28" s="2946">
        <f>IF('Part III-Sources of Funds'!$P$42="", 0,-'Part III-Sources of Funds'!$P$42)</f>
        <v>0</v>
      </c>
      <c r="H28" s="2946">
        <f>IF('Part III-Sources of Funds'!$P$42="", 0,-'Part III-Sources of Funds'!$P$42)</f>
        <v>0</v>
      </c>
      <c r="I28" s="2946">
        <f>IF('Part III-Sources of Funds'!$P$42="", 0,-'Part III-Sources of Funds'!$P$42)</f>
        <v>0</v>
      </c>
      <c r="J28" s="2946">
        <f>IF('Part III-Sources of Funds'!$P$42="", 0,-'Part III-Sources of Funds'!$P$42)</f>
        <v>0</v>
      </c>
      <c r="K28" s="2946">
        <f>IF('Part III-Sources of Funds'!$P$42="", 0,-'Part III-Sources of Funds'!$P$42)</f>
        <v>0</v>
      </c>
      <c r="N28" s="3838"/>
      <c r="O28" s="3840"/>
      <c r="Q28" s="847">
        <v>8</v>
      </c>
      <c r="R28" s="945">
        <f>-SUM(B32:I32)</f>
        <v>3885</v>
      </c>
      <c r="S28" s="945">
        <f>SUM(B33:I33)+R28</f>
        <v>316195.79668739473</v>
      </c>
      <c r="Z28" s="2805" t="s">
        <v>6775</v>
      </c>
      <c r="AA28" s="1788">
        <v>28</v>
      </c>
    </row>
    <row r="29" spans="1:27" ht="13.35" customHeight="1">
      <c r="A29" s="409" t="s">
        <v>3422</v>
      </c>
      <c r="B29" s="2946">
        <f>IF('Part III-Sources of Funds'!$P$43="", 0,-'Part III-Sources of Funds'!$P$43)</f>
        <v>0</v>
      </c>
      <c r="C29" s="2946">
        <f>IF('Part III-Sources of Funds'!$P$43="", 0,-'Part III-Sources of Funds'!$P$43)</f>
        <v>0</v>
      </c>
      <c r="D29" s="2946">
        <f>IF('Part III-Sources of Funds'!$P$43="", 0,-'Part III-Sources of Funds'!$P$43)</f>
        <v>0</v>
      </c>
      <c r="E29" s="2946">
        <f>IF('Part III-Sources of Funds'!$P$43="", 0,-'Part III-Sources of Funds'!$P$43)</f>
        <v>0</v>
      </c>
      <c r="F29" s="2946">
        <f>IF('Part III-Sources of Funds'!$P$43="", 0,-'Part III-Sources of Funds'!$P$43)</f>
        <v>0</v>
      </c>
      <c r="G29" s="2946">
        <f>IF('Part III-Sources of Funds'!$P$43="", 0,-'Part III-Sources of Funds'!$P$43)</f>
        <v>0</v>
      </c>
      <c r="H29" s="2946">
        <f>IF('Part III-Sources of Funds'!$P$43="", 0,-'Part III-Sources of Funds'!$P$43)</f>
        <v>0</v>
      </c>
      <c r="I29" s="2946">
        <f>IF('Part III-Sources of Funds'!$P$43="", 0,-'Part III-Sources of Funds'!$P$43)</f>
        <v>0</v>
      </c>
      <c r="J29" s="2946">
        <f>IF('Part III-Sources of Funds'!$P$43="", 0,-'Part III-Sources of Funds'!$P$43)</f>
        <v>0</v>
      </c>
      <c r="K29" s="2946">
        <f>IF('Part III-Sources of Funds'!$P$43="", 0,-'Part III-Sources of Funds'!$P$43)</f>
        <v>0</v>
      </c>
      <c r="N29" s="3838"/>
      <c r="O29" s="3840"/>
      <c r="Q29" s="847">
        <v>9</v>
      </c>
      <c r="R29" s="945">
        <f>-SUM(B32:J32)</f>
        <v>3885</v>
      </c>
      <c r="S29" s="945">
        <f>SUM(B33:J33)+R29</f>
        <v>360235.20132117614</v>
      </c>
      <c r="Z29" s="2805" t="s">
        <v>6775</v>
      </c>
      <c r="AA29" s="1788">
        <v>29</v>
      </c>
    </row>
    <row r="30" spans="1:27" ht="13.35" customHeight="1">
      <c r="A30" s="21" t="s">
        <v>733</v>
      </c>
      <c r="B30" s="2947"/>
      <c r="C30" s="2947"/>
      <c r="D30" s="2947"/>
      <c r="E30" s="2947"/>
      <c r="F30" s="2947"/>
      <c r="G30" s="2947"/>
      <c r="H30" s="2947"/>
      <c r="I30" s="2947"/>
      <c r="J30" s="2947"/>
      <c r="K30" s="2947"/>
      <c r="N30" s="3838"/>
      <c r="O30" s="3840"/>
      <c r="Q30" s="847">
        <v>10</v>
      </c>
      <c r="R30" s="945">
        <f>-SUM(B32:K32)</f>
        <v>3885</v>
      </c>
      <c r="S30" s="945">
        <f>SUM(B33:K33)+R30</f>
        <v>405142.90759979142</v>
      </c>
      <c r="Z30" s="2805" t="s">
        <v>6775</v>
      </c>
      <c r="AA30" s="1788">
        <v>30</v>
      </c>
    </row>
    <row r="31" spans="1:27" ht="13.35" customHeight="1">
      <c r="A31" s="409" t="s">
        <v>1121</v>
      </c>
      <c r="B31" s="2948">
        <f>-$G$6</f>
        <v>-5400</v>
      </c>
      <c r="C31" s="2948">
        <f t="shared" ref="C31:K31" si="8">+B31</f>
        <v>-5400</v>
      </c>
      <c r="D31" s="2948">
        <f t="shared" si="8"/>
        <v>-5400</v>
      </c>
      <c r="E31" s="2948">
        <f>+D31</f>
        <v>-5400</v>
      </c>
      <c r="F31" s="2948">
        <f t="shared" si="8"/>
        <v>-5400</v>
      </c>
      <c r="G31" s="2948">
        <f t="shared" si="8"/>
        <v>-5400</v>
      </c>
      <c r="H31" s="2948">
        <f t="shared" si="8"/>
        <v>-5400</v>
      </c>
      <c r="I31" s="2948">
        <f t="shared" si="8"/>
        <v>-5400</v>
      </c>
      <c r="J31" s="2948">
        <f t="shared" si="8"/>
        <v>-5400</v>
      </c>
      <c r="K31" s="2948">
        <f t="shared" si="8"/>
        <v>-5400</v>
      </c>
      <c r="N31" s="3838"/>
      <c r="O31" s="3840"/>
      <c r="Q31" s="847">
        <v>11</v>
      </c>
      <c r="R31" s="945">
        <f>-SUM(B32:K32)-B64</f>
        <v>3885</v>
      </c>
      <c r="S31" s="945">
        <f>SUM(B33:K33)+B65+R31</f>
        <v>553595.66740444058</v>
      </c>
      <c r="Z31" s="2805" t="s">
        <v>6775</v>
      </c>
      <c r="AA31" s="1788">
        <v>31</v>
      </c>
    </row>
    <row r="32" spans="1:27" ht="13.35" customHeight="1">
      <c r="A32" s="409" t="s">
        <v>3511</v>
      </c>
      <c r="B32" s="2949"/>
      <c r="C32" s="2949">
        <f>-3885</f>
        <v>-3885</v>
      </c>
      <c r="D32" s="2949">
        <f>IF('Part III-Sources of Funds'!$P$45="", 0,-'Part III-Sources of Funds'!$P$45)</f>
        <v>0</v>
      </c>
      <c r="E32" s="2949">
        <f>IF('Part III-Sources of Funds'!$P$45="", 0,-'Part III-Sources of Funds'!$P$45)</f>
        <v>0</v>
      </c>
      <c r="F32" s="2949">
        <f>IF('Part III-Sources of Funds'!$P$45="", 0,-'Part III-Sources of Funds'!$P$45)</f>
        <v>0</v>
      </c>
      <c r="G32" s="2949">
        <f>IF('Part III-Sources of Funds'!$P$45="", 0,-'Part III-Sources of Funds'!$P$45)</f>
        <v>0</v>
      </c>
      <c r="H32" s="2949">
        <f>IF('Part III-Sources of Funds'!$P$45="", 0,-'Part III-Sources of Funds'!$P$45)</f>
        <v>0</v>
      </c>
      <c r="I32" s="2949">
        <f>IF('Part III-Sources of Funds'!$P$45="", 0,-'Part III-Sources of Funds'!$P$45)</f>
        <v>0</v>
      </c>
      <c r="J32" s="2949">
        <f>IF('Part III-Sources of Funds'!$P$45="", 0,-'Part III-Sources of Funds'!$P$45)</f>
        <v>0</v>
      </c>
      <c r="K32" s="2949">
        <f>IF('Part III-Sources of Funds'!$P$45="", 0,-'Part III-Sources of Funds'!$P$45)</f>
        <v>0</v>
      </c>
      <c r="N32" s="3838"/>
      <c r="O32" s="3840"/>
      <c r="Q32" s="847">
        <v>12</v>
      </c>
      <c r="R32" s="945">
        <f>-SUM(B32:K32) - SUM(B64:C64)</f>
        <v>3885</v>
      </c>
      <c r="S32" s="945">
        <f>SUM(B33:K33) + SUM(B65:C65)+R32</f>
        <v>702817.56295522803</v>
      </c>
      <c r="Z32" s="2805" t="s">
        <v>6775</v>
      </c>
      <c r="AA32" s="1788">
        <v>32</v>
      </c>
    </row>
    <row r="33" spans="1:27" ht="13.35" customHeight="1">
      <c r="A33" s="21" t="s">
        <v>1122</v>
      </c>
      <c r="B33" s="22">
        <f t="shared" ref="B33:K33" si="9">SUM(B25:B32)</f>
        <v>35685.248744308105</v>
      </c>
      <c r="C33" s="22">
        <f t="shared" si="9"/>
        <v>32959.414184308145</v>
      </c>
      <c r="D33" s="22">
        <f t="shared" si="9"/>
        <v>37974.728133108089</v>
      </c>
      <c r="E33" s="22">
        <f t="shared" si="9"/>
        <v>39075.328116884106</v>
      </c>
      <c r="F33" s="22">
        <f t="shared" si="9"/>
        <v>40143.268049015664</v>
      </c>
      <c r="G33" s="22">
        <f t="shared" si="9"/>
        <v>41175.515166930156</v>
      </c>
      <c r="H33" s="22">
        <f t="shared" si="9"/>
        <v>42170.946865957667</v>
      </c>
      <c r="I33" s="22">
        <f t="shared" si="9"/>
        <v>43126.347426882799</v>
      </c>
      <c r="J33" s="22">
        <f t="shared" si="9"/>
        <v>44039.404633781407</v>
      </c>
      <c r="K33" s="23">
        <f t="shared" si="9"/>
        <v>44907.706278615311</v>
      </c>
      <c r="N33" s="3838"/>
      <c r="O33" s="3840"/>
      <c r="Q33" s="847">
        <v>13</v>
      </c>
      <c r="R33" s="945">
        <f>-SUM(B32:K32) - SUM(B64:D64)</f>
        <v>3885</v>
      </c>
      <c r="S33" s="945">
        <f>SUM(B33:K33) + SUM(B65:D65)+R33</f>
        <v>852754.96538357821</v>
      </c>
      <c r="Z33" s="2805" t="s">
        <v>6775</v>
      </c>
      <c r="AA33" s="1788">
        <v>33</v>
      </c>
    </row>
    <row r="34" spans="1:27" ht="13.35" customHeight="1">
      <c r="A34" s="21" t="str">
        <f>IF('Part III-Sources of Funds'!$E$40 = "Neither", "", "DCR Mortgage A")</f>
        <v>DCR Mortgage A</v>
      </c>
      <c r="B34" s="24">
        <f t="shared" ref="B34:K34" si="10">IF(B26=0,"",-B25/B26)</f>
        <v>1.3999536572704705</v>
      </c>
      <c r="C34" s="24">
        <f t="shared" si="10"/>
        <v>1.4112378157282863</v>
      </c>
      <c r="D34" s="24">
        <f t="shared" si="10"/>
        <v>1.4222411128118653</v>
      </c>
      <c r="E34" s="24">
        <f t="shared" si="10"/>
        <v>1.4329551525744704</v>
      </c>
      <c r="F34" s="24">
        <f t="shared" si="10"/>
        <v>1.4433512556687804</v>
      </c>
      <c r="G34" s="24">
        <f t="shared" si="10"/>
        <v>1.4533998989807915</v>
      </c>
      <c r="H34" s="24">
        <f t="shared" si="10"/>
        <v>1.4630901542611412</v>
      </c>
      <c r="I34" s="24">
        <f t="shared" si="10"/>
        <v>1.4723907173629576</v>
      </c>
      <c r="J34" s="24">
        <f t="shared" si="10"/>
        <v>1.4812790794967479</v>
      </c>
      <c r="K34" s="25">
        <f t="shared" si="10"/>
        <v>1.4897317584771421</v>
      </c>
      <c r="N34" s="3838"/>
      <c r="O34" s="3840"/>
      <c r="Q34" s="847">
        <v>14</v>
      </c>
      <c r="R34" s="945">
        <f>-SUM(B32:K32) - SUM(B64:E64)</f>
        <v>3885</v>
      </c>
      <c r="S34" s="945">
        <f>SUM(B33:K33) + SUM(B65:E65)+R34</f>
        <v>1003351.3962960385</v>
      </c>
      <c r="Z34" s="2805" t="s">
        <v>6775</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8"/>
      <c r="O35" s="3840"/>
      <c r="Q35" s="847">
        <v>15</v>
      </c>
      <c r="R35" s="945">
        <f>-SUM(B32:K32) - SUM(B64:F64)</f>
        <v>3885</v>
      </c>
      <c r="S35" s="945">
        <f>SUM(B33:K33) + SUM(B65:F65)+R35</f>
        <v>1154545.4084753576</v>
      </c>
      <c r="Z35" s="2805" t="s">
        <v>6775</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8"/>
      <c r="O36" s="3840"/>
      <c r="Q36" s="62">
        <v>16</v>
      </c>
      <c r="R36" s="945">
        <f>-SUM(B32:K32) - SUM(B64:G64)</f>
        <v>3885</v>
      </c>
      <c r="S36" s="945">
        <f>SUM(B33:K33) + SUM(B65:G65)+R36</f>
        <v>1306274.4623263306</v>
      </c>
      <c r="Z36" s="2805" t="s">
        <v>6775</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8"/>
      <c r="O37" s="3840"/>
      <c r="Q37" s="62">
        <v>17</v>
      </c>
      <c r="R37" s="945">
        <f>-SUM(B32:K32) - SUM(B64:H64)</f>
        <v>3885</v>
      </c>
      <c r="S37" s="945">
        <f>SUM(B33:K33) + SUM(B65:H65)+R37</f>
        <v>1458470.7979252334</v>
      </c>
      <c r="Z37" s="2805" t="s">
        <v>6775</v>
      </c>
      <c r="AA37" s="1788">
        <v>37</v>
      </c>
    </row>
    <row r="38" spans="1:27" ht="13.35" customHeight="1">
      <c r="A38" s="409" t="s">
        <v>3345</v>
      </c>
      <c r="B38" s="24">
        <f t="shared" ref="B38:K38" si="14">IF(AND(B26=0,B27=0,B28=0,B29=0),"",-B25/(B26+B27+B28+B29))</f>
        <v>1.3999536572704705</v>
      </c>
      <c r="C38" s="24">
        <f t="shared" si="14"/>
        <v>1.4112378157282863</v>
      </c>
      <c r="D38" s="24">
        <f t="shared" si="14"/>
        <v>1.4222411128118653</v>
      </c>
      <c r="E38" s="24">
        <f t="shared" si="14"/>
        <v>1.4329551525744704</v>
      </c>
      <c r="F38" s="24">
        <f t="shared" si="14"/>
        <v>1.4433512556687804</v>
      </c>
      <c r="G38" s="24">
        <f t="shared" si="14"/>
        <v>1.4533998989807915</v>
      </c>
      <c r="H38" s="24">
        <f t="shared" si="14"/>
        <v>1.4630901542611412</v>
      </c>
      <c r="I38" s="24">
        <f t="shared" si="14"/>
        <v>1.4723907173629576</v>
      </c>
      <c r="J38" s="24">
        <f t="shared" si="14"/>
        <v>1.4812790794967479</v>
      </c>
      <c r="K38" s="25">
        <f t="shared" si="14"/>
        <v>1.4897317584771421</v>
      </c>
      <c r="N38" s="3838"/>
      <c r="O38" s="3840"/>
      <c r="Q38" s="62">
        <v>18</v>
      </c>
      <c r="R38" s="945">
        <f>-SUM(B32:K32) - SUM(B64:I64)</f>
        <v>3885</v>
      </c>
      <c r="S38" s="945">
        <f>SUM(B33:K33) + SUM(B65:I65)+R38</f>
        <v>1611063.3025271511</v>
      </c>
      <c r="Z38" s="2805" t="s">
        <v>6775</v>
      </c>
      <c r="AA38" s="1788">
        <v>38</v>
      </c>
    </row>
    <row r="39" spans="1:27" ht="13.35" customHeight="1">
      <c r="A39" s="21" t="s">
        <v>740</v>
      </c>
      <c r="B39" s="263">
        <f t="shared" ref="B39:K39" si="15">IF(OR(B22="Choose mgt fee",B22="Choose One!"),"",(B15+B16+B17+B18+B19) / -(B21+B22+B23))</f>
        <v>1.7086972925557604</v>
      </c>
      <c r="C39" s="263">
        <f t="shared" si="15"/>
        <v>1.6946391371855569</v>
      </c>
      <c r="D39" s="263">
        <f t="shared" si="15"/>
        <v>1.6806718601281856</v>
      </c>
      <c r="E39" s="263">
        <f t="shared" si="15"/>
        <v>1.6668050329917798</v>
      </c>
      <c r="F39" s="263">
        <f t="shared" si="15"/>
        <v>1.6530323179653224</v>
      </c>
      <c r="G39" s="263">
        <f t="shared" si="15"/>
        <v>1.6393482267847312</v>
      </c>
      <c r="H39" s="263">
        <f t="shared" si="15"/>
        <v>1.6257615823718141</v>
      </c>
      <c r="I39" s="263">
        <f t="shared" si="15"/>
        <v>1.6122669177394877</v>
      </c>
      <c r="J39" s="263">
        <f t="shared" si="15"/>
        <v>1.5988657975268663</v>
      </c>
      <c r="K39" s="264">
        <f t="shared" si="15"/>
        <v>1.585559555805462</v>
      </c>
      <c r="N39" s="3838"/>
      <c r="O39" s="3840"/>
      <c r="Q39" s="847">
        <v>19</v>
      </c>
      <c r="R39" s="945">
        <f>-SUM(B32:K32) - SUM(B64:J64)</f>
        <v>3885</v>
      </c>
      <c r="S39" s="945">
        <f>SUM(B33:K33) + SUM(B65:J65)+R39</f>
        <v>1763977.3733808752</v>
      </c>
      <c r="Z39" s="2805" t="s">
        <v>6775</v>
      </c>
      <c r="AA39" s="1788">
        <v>39</v>
      </c>
    </row>
    <row r="40" spans="1:27" ht="13.35" customHeight="1">
      <c r="A40" s="409" t="s">
        <v>2494</v>
      </c>
      <c r="B40" s="2950">
        <f>IF('Part III-Sources of Funds'!$I$40="","",-FV('Part III-Sources of Funds'!$K$40/12,12,B26/12,'Part III-Sources of Funds'!$I$40))</f>
        <v>735541.38241832866</v>
      </c>
      <c r="C40" s="2950">
        <f>IF('Part III-Sources of Funds'!$I$40="","",-FV('Part III-Sources of Funds'!$K$40/12,12,C26/12,B40))</f>
        <v>669866.93687732087</v>
      </c>
      <c r="D40" s="2950">
        <f>IF('Part III-Sources of Funds'!$I$40="","",-FV('Part III-Sources of Funds'!$K$40/12,12,D26/12,C40))</f>
        <v>600660.39574533771</v>
      </c>
      <c r="E40" s="2950">
        <f>IF('Part III-Sources of Funds'!$I$40="","",-FV('Part III-Sources of Funds'!$K$40/12,12,E26/12,D40))</f>
        <v>527731.79625739483</v>
      </c>
      <c r="F40" s="2950">
        <f>IF('Part III-Sources of Funds'!$I$40="","",-FV('Part III-Sources of Funds'!$K$40/12,12,F26/12,E40))</f>
        <v>450880.95909259887</v>
      </c>
      <c r="G40" s="2950">
        <f>IF('Part III-Sources of Funds'!$I$40="","",-FV('Part III-Sources of Funds'!$K$40/12,12,G26/12,F40))</f>
        <v>369896.9389084953</v>
      </c>
      <c r="H40" s="2950">
        <f>IF('Part III-Sources of Funds'!$I$40="","",-FV('Part III-Sources of Funds'!$K$40/12,12,H26/12,G40))</f>
        <v>284557.44532411575</v>
      </c>
      <c r="I40" s="2950">
        <f>IF('Part III-Sources of Funds'!$I$40="","",-FV('Part III-Sources of Funds'!$K$40/12,12,I26/12,H40))</f>
        <v>194628.2327624021</v>
      </c>
      <c r="J40" s="2950">
        <f>IF('Part III-Sources of Funds'!$I$40="","",-FV('Part III-Sources of Funds'!$K$40/12,12,J26/12,I40))</f>
        <v>99862.457477204473</v>
      </c>
      <c r="K40" s="2950">
        <f>IF('Part III-Sources of Funds'!$I$40="","",-FV('Part III-Sources of Funds'!$K$40/12,12,K26/12,J40))</f>
        <v>-2.176966518163681E-8</v>
      </c>
      <c r="N40" s="3838"/>
      <c r="O40" s="3840"/>
      <c r="Q40" s="847">
        <v>20</v>
      </c>
      <c r="R40" s="945">
        <f>-SUM(B32:K32) - SUM(B64:K64)</f>
        <v>3885</v>
      </c>
      <c r="S40" s="945">
        <f>SUM(B33:K33) + SUM(B65:K65)+R40</f>
        <v>1917134.7756962352</v>
      </c>
      <c r="Z40" s="2805" t="s">
        <v>6775</v>
      </c>
      <c r="AA40" s="1788">
        <v>40</v>
      </c>
    </row>
    <row r="41" spans="1:27" ht="13.35" customHeight="1">
      <c r="A41" s="409" t="s">
        <v>2495</v>
      </c>
      <c r="B41" s="2946" t="str">
        <f>IF('Part III-Sources of Funds'!$I$41="","",-FV('Part III-Sources of Funds'!$K$41/12,12,B27/12,'Part III-Sources of Funds'!$I$41))</f>
        <v/>
      </c>
      <c r="C41" s="2946" t="str">
        <f>IF('Part III-Sources of Funds'!$I$41="","",-FV('Part III-Sources of Funds'!$K$41/12,12,C27/12,B41))</f>
        <v/>
      </c>
      <c r="D41" s="2946" t="str">
        <f>IF('Part III-Sources of Funds'!$I$41="","",-FV('Part III-Sources of Funds'!$K$41/12,12,D27/12,C41))</f>
        <v/>
      </c>
      <c r="E41" s="2946" t="str">
        <f>IF('Part III-Sources of Funds'!$I$41="","",-FV('Part III-Sources of Funds'!$K$41/12,12,E27/12,D41))</f>
        <v/>
      </c>
      <c r="F41" s="2946" t="str">
        <f>IF('Part III-Sources of Funds'!$I$41="","",-FV('Part III-Sources of Funds'!$K$41/12,12,F27/12,E41))</f>
        <v/>
      </c>
      <c r="G41" s="2946" t="str">
        <f>IF('Part III-Sources of Funds'!$I$41="","",-FV('Part III-Sources of Funds'!$K$41/12,12,G27/12,F41))</f>
        <v/>
      </c>
      <c r="H41" s="2946" t="str">
        <f>IF('Part III-Sources of Funds'!$I$41="","",-FV('Part III-Sources of Funds'!$K$41/12,12,H27/12,G41))</f>
        <v/>
      </c>
      <c r="I41" s="2946" t="str">
        <f>IF('Part III-Sources of Funds'!$I$41="","",-FV('Part III-Sources of Funds'!$K$41/12,12,I27/12,H41))</f>
        <v/>
      </c>
      <c r="J41" s="2946" t="str">
        <f>IF('Part III-Sources of Funds'!$I$41="","",-FV('Part III-Sources of Funds'!$K$41/12,12,J27/12,I41))</f>
        <v/>
      </c>
      <c r="K41" s="2946" t="str">
        <f>IF('Part III-Sources of Funds'!$I$41="","",-FV('Part III-Sources of Funds'!$K$41/12,12,K27/12,J41))</f>
        <v/>
      </c>
      <c r="N41" s="3838"/>
      <c r="O41" s="3840"/>
      <c r="Z41" s="2805" t="s">
        <v>6775</v>
      </c>
      <c r="AA41" s="1788">
        <v>41</v>
      </c>
    </row>
    <row r="42" spans="1:27" ht="13.35" customHeight="1">
      <c r="A42" s="409" t="s">
        <v>2496</v>
      </c>
      <c r="B42" s="2946" t="str">
        <f>IF('Part III-Sources of Funds'!$I$42="","",-FV('Part III-Sources of Funds'!$K$42/12,12,B28/12,'Part III-Sources of Funds'!$I$42))</f>
        <v/>
      </c>
      <c r="C42" s="2946" t="str">
        <f>IF('Part III-Sources of Funds'!$I$42="","",-FV('Part III-Sources of Funds'!$K$42/12,12,C28/12,B42))</f>
        <v/>
      </c>
      <c r="D42" s="2946" t="str">
        <f>IF('Part III-Sources of Funds'!$I$42="","",-FV('Part III-Sources of Funds'!$K$42/12,12,D28/12,C42))</f>
        <v/>
      </c>
      <c r="E42" s="2946" t="str">
        <f>IF('Part III-Sources of Funds'!$I$42="","",-FV('Part III-Sources of Funds'!$K$42/12,12,E28/12,D42))</f>
        <v/>
      </c>
      <c r="F42" s="2946" t="str">
        <f>IF('Part III-Sources of Funds'!$I$42="","",-FV('Part III-Sources of Funds'!$K$42/12,12,F28/12,E42))</f>
        <v/>
      </c>
      <c r="G42" s="2946" t="str">
        <f>IF('Part III-Sources of Funds'!$I$42="","",-FV('Part III-Sources of Funds'!$K$42/12,12,G28/12,F42))</f>
        <v/>
      </c>
      <c r="H42" s="2946" t="str">
        <f>IF('Part III-Sources of Funds'!$I$42="","",-FV('Part III-Sources of Funds'!$K$42/12,12,H28/12,G42))</f>
        <v/>
      </c>
      <c r="I42" s="2946" t="str">
        <f>IF('Part III-Sources of Funds'!$I$42="","",-FV('Part III-Sources of Funds'!$K$42/12,12,I28/12,H42))</f>
        <v/>
      </c>
      <c r="J42" s="2946" t="str">
        <f>IF('Part III-Sources of Funds'!$I$42="","",-FV('Part III-Sources of Funds'!$K$42/12,12,J28/12,I42))</f>
        <v/>
      </c>
      <c r="K42" s="2946" t="str">
        <f>IF('Part III-Sources of Funds'!$I$42="","",-FV('Part III-Sources of Funds'!$K$42/12,12,K28/12,J42))</f>
        <v/>
      </c>
      <c r="N42" s="3838"/>
      <c r="O42" s="3840"/>
      <c r="Z42" s="2805" t="s">
        <v>6775</v>
      </c>
      <c r="AA42" s="1788">
        <v>42</v>
      </c>
    </row>
    <row r="43" spans="1:27" ht="13.35" customHeight="1">
      <c r="A43" s="21" t="s">
        <v>752</v>
      </c>
      <c r="B43" s="2946" t="str">
        <f>IF('Part III-Sources of Funds'!$I$43="","",-FV('Part III-Sources of Funds'!$K$43/12,12,B29/12,'Part III-Sources of Funds'!$I$43))</f>
        <v/>
      </c>
      <c r="C43" s="2946" t="str">
        <f>IF('Part III-Sources of Funds'!$I$43="","",-FV('Part III-Sources of Funds'!$K$43/12,12,C29/12,B43))</f>
        <v/>
      </c>
      <c r="D43" s="2946" t="str">
        <f>IF('Part III-Sources of Funds'!$I$43="","",-FV('Part III-Sources of Funds'!$K$43/12,12,D29/12,C43))</f>
        <v/>
      </c>
      <c r="E43" s="2946" t="str">
        <f>IF('Part III-Sources of Funds'!$I$43="","",-FV('Part III-Sources of Funds'!$K$43/12,12,E29/12,D43))</f>
        <v/>
      </c>
      <c r="F43" s="2946" t="str">
        <f>IF('Part III-Sources of Funds'!$I$43="","",-FV('Part III-Sources of Funds'!$K$43/12,12,F29/12,E43))</f>
        <v/>
      </c>
      <c r="G43" s="2946" t="str">
        <f>IF('Part III-Sources of Funds'!$I$43="","",-FV('Part III-Sources of Funds'!$K$43/12,12,G29/12,F43))</f>
        <v/>
      </c>
      <c r="H43" s="2946" t="str">
        <f>IF('Part III-Sources of Funds'!$I$43="","",-FV('Part III-Sources of Funds'!$K$43/12,12,H29/12,G43))</f>
        <v/>
      </c>
      <c r="I43" s="2946" t="str">
        <f>IF('Part III-Sources of Funds'!$I$43="","",-FV('Part III-Sources of Funds'!$K$43/12,12,I29/12,H43))</f>
        <v/>
      </c>
      <c r="J43" s="2946" t="str">
        <f>IF('Part III-Sources of Funds'!$I$43="","",-FV('Part III-Sources of Funds'!$K$43/12,12,J29/12,I43))</f>
        <v/>
      </c>
      <c r="K43" s="2946" t="str">
        <f>IF('Part III-Sources of Funds'!$I$43="","",-FV('Part III-Sources of Funds'!$K$43/12,12,K29/12,J43))</f>
        <v/>
      </c>
      <c r="N43" s="3838"/>
      <c r="O43" s="3840"/>
      <c r="Z43" s="2805" t="s">
        <v>6775</v>
      </c>
      <c r="AA43" s="1787">
        <v>43</v>
      </c>
    </row>
    <row r="44" spans="1:27" ht="13.35" customHeight="1">
      <c r="A44" s="409" t="s">
        <v>3512</v>
      </c>
      <c r="B44" s="2949">
        <f>IF('Part III-Sources of Funds'!$I$45="","",-FV('Part III-Sources of Funds'!$K$45/12,12,B32/12,'Part III-Sources of Funds'!$I$45))</f>
        <v>3885</v>
      </c>
      <c r="C44" s="2949">
        <f>B44+C32</f>
        <v>0</v>
      </c>
      <c r="D44" s="2949"/>
      <c r="E44" s="2949"/>
      <c r="F44" s="2949"/>
      <c r="G44" s="2949"/>
      <c r="H44" s="2949"/>
      <c r="I44" s="2949"/>
      <c r="J44" s="2949"/>
      <c r="K44" s="2949"/>
      <c r="N44" s="3850"/>
      <c r="O44" s="3852"/>
      <c r="Z44" s="2805" t="s">
        <v>6775</v>
      </c>
      <c r="AA44" s="1788">
        <v>44</v>
      </c>
    </row>
    <row r="45" spans="1:27" ht="4.3499999999999996" customHeight="1">
      <c r="B45" s="17"/>
      <c r="C45" s="17"/>
      <c r="D45" s="17"/>
      <c r="E45" s="17"/>
      <c r="F45" s="17"/>
      <c r="G45" s="17"/>
      <c r="H45" s="17"/>
      <c r="I45" s="17"/>
      <c r="J45" s="17"/>
      <c r="K45" s="17"/>
      <c r="AA45" s="1788">
        <v>45</v>
      </c>
    </row>
    <row r="46" spans="1:27" ht="14.45" customHeight="1">
      <c r="A46" s="13" t="s">
        <v>2369</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88" t="s">
        <v>2498</v>
      </c>
      <c r="O46" s="3488"/>
      <c r="AA46" s="1788">
        <v>46</v>
      </c>
    </row>
    <row r="47" spans="1:27" ht="13.35" customHeight="1">
      <c r="A47" s="18" t="s">
        <v>2295</v>
      </c>
      <c r="B47" s="19">
        <f t="shared" ref="B47:K47" si="17">$B$15*(1+$B$6)^(B46-1)</f>
        <v>445566.8403964836</v>
      </c>
      <c r="C47" s="19">
        <f t="shared" si="17"/>
        <v>454478.17720441322</v>
      </c>
      <c r="D47" s="19">
        <f t="shared" si="17"/>
        <v>463567.74074850156</v>
      </c>
      <c r="E47" s="19">
        <f t="shared" si="17"/>
        <v>472839.09556347155</v>
      </c>
      <c r="F47" s="19">
        <f t="shared" si="17"/>
        <v>482295.87747474102</v>
      </c>
      <c r="G47" s="19">
        <f t="shared" si="17"/>
        <v>491941.79502423573</v>
      </c>
      <c r="H47" s="19">
        <f t="shared" si="17"/>
        <v>501780.63092472049</v>
      </c>
      <c r="I47" s="19">
        <f t="shared" si="17"/>
        <v>511816.24354321498</v>
      </c>
      <c r="J47" s="19">
        <f t="shared" si="17"/>
        <v>522052.5684140792</v>
      </c>
      <c r="K47" s="20">
        <f t="shared" si="17"/>
        <v>532493.61978236074</v>
      </c>
      <c r="N47" s="3847"/>
      <c r="O47" s="3849"/>
      <c r="Z47" s="2805" t="s">
        <v>6776</v>
      </c>
      <c r="AA47" s="1788">
        <v>47</v>
      </c>
    </row>
    <row r="48" spans="1:27" ht="13.35" customHeight="1">
      <c r="A48" s="21" t="s">
        <v>977</v>
      </c>
      <c r="B48" s="22">
        <f t="shared" ref="B48:K48" si="18">$B$16*(1+$B$6)^(B46-1)</f>
        <v>8911.3368079296724</v>
      </c>
      <c r="C48" s="22">
        <f t="shared" si="18"/>
        <v>9089.5635440882652</v>
      </c>
      <c r="D48" s="22">
        <f t="shared" si="18"/>
        <v>9271.3548149700309</v>
      </c>
      <c r="E48" s="22">
        <f t="shared" si="18"/>
        <v>9456.7819112694324</v>
      </c>
      <c r="F48" s="22">
        <f t="shared" si="18"/>
        <v>9645.9175494948213</v>
      </c>
      <c r="G48" s="22">
        <f t="shared" si="18"/>
        <v>9838.8359004847152</v>
      </c>
      <c r="H48" s="22">
        <f t="shared" si="18"/>
        <v>10035.612618494411</v>
      </c>
      <c r="I48" s="22">
        <f t="shared" si="18"/>
        <v>10236.3248708643</v>
      </c>
      <c r="J48" s="22">
        <f t="shared" si="18"/>
        <v>10441.051368281585</v>
      </c>
      <c r="K48" s="23">
        <f t="shared" si="18"/>
        <v>10649.872395647217</v>
      </c>
      <c r="N48" s="3838"/>
      <c r="O48" s="3840"/>
      <c r="Z48" s="2805" t="s">
        <v>6776</v>
      </c>
      <c r="AA48" s="1787">
        <v>48</v>
      </c>
    </row>
    <row r="49" spans="1:27" ht="13.35" customHeight="1">
      <c r="A49" s="21" t="s">
        <v>2296</v>
      </c>
      <c r="B49" s="22">
        <f t="shared" ref="B49:K49" si="19">-(B47+B48)*$B$9</f>
        <v>-31813.472404308934</v>
      </c>
      <c r="C49" s="22">
        <f t="shared" si="19"/>
        <v>-32449.741852395109</v>
      </c>
      <c r="D49" s="22">
        <f t="shared" si="19"/>
        <v>-33098.736689443016</v>
      </c>
      <c r="E49" s="22">
        <f t="shared" si="19"/>
        <v>-33760.711423231871</v>
      </c>
      <c r="F49" s="22">
        <f t="shared" si="19"/>
        <v>-34435.925651696511</v>
      </c>
      <c r="G49" s="22">
        <f t="shared" si="19"/>
        <v>-35124.644164730431</v>
      </c>
      <c r="H49" s="22">
        <f t="shared" si="19"/>
        <v>-35827.137048025048</v>
      </c>
      <c r="I49" s="22">
        <f t="shared" si="19"/>
        <v>-36543.679788985552</v>
      </c>
      <c r="J49" s="22">
        <f t="shared" si="19"/>
        <v>-37274.553384765255</v>
      </c>
      <c r="K49" s="23">
        <f t="shared" si="19"/>
        <v>-38020.044452460563</v>
      </c>
      <c r="N49" s="3838"/>
      <c r="O49" s="3840"/>
      <c r="Z49" s="2805" t="s">
        <v>6776</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8"/>
      <c r="O50" s="3840"/>
      <c r="Z50" s="2805" t="s">
        <v>6776</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8"/>
      <c r="O51" s="3840"/>
      <c r="Z51" s="2805" t="s">
        <v>6776</v>
      </c>
      <c r="AA51" s="1787">
        <v>51</v>
      </c>
    </row>
    <row r="52" spans="1:27" ht="13.35" customHeight="1">
      <c r="A52" s="409" t="s">
        <v>4016</v>
      </c>
      <c r="B52" s="22">
        <f t="shared" ref="B52:K52" si="20">SUM(B47:B51)</f>
        <v>422664.70480010437</v>
      </c>
      <c r="C52" s="22">
        <f t="shared" si="20"/>
        <v>431117.99889610638</v>
      </c>
      <c r="D52" s="22">
        <f t="shared" si="20"/>
        <v>439740.35887402861</v>
      </c>
      <c r="E52" s="22">
        <f t="shared" si="20"/>
        <v>448535.16605150909</v>
      </c>
      <c r="F52" s="22">
        <f t="shared" si="20"/>
        <v>457505.86937253934</v>
      </c>
      <c r="G52" s="22">
        <f t="shared" si="20"/>
        <v>466655.98675998999</v>
      </c>
      <c r="H52" s="22">
        <f t="shared" si="20"/>
        <v>475989.10649518989</v>
      </c>
      <c r="I52" s="22">
        <f t="shared" si="20"/>
        <v>485508.88862509374</v>
      </c>
      <c r="J52" s="22">
        <f t="shared" si="20"/>
        <v>495219.06639759545</v>
      </c>
      <c r="K52" s="23">
        <f t="shared" si="20"/>
        <v>505123.44772554742</v>
      </c>
      <c r="N52" s="3838"/>
      <c r="O52" s="3840"/>
      <c r="Z52" s="2805" t="s">
        <v>6776</v>
      </c>
      <c r="AA52" s="1788">
        <v>52</v>
      </c>
    </row>
    <row r="53" spans="1:27" ht="13.35" customHeight="1">
      <c r="A53" s="21" t="s">
        <v>585</v>
      </c>
      <c r="B53" s="22">
        <f t="shared" ref="B53:K53" si="21">$B$21*(1+$B$7)^(B46-1)</f>
        <v>-214644.94844332576</v>
      </c>
      <c r="C53" s="22">
        <f t="shared" si="21"/>
        <v>-221084.29689662554</v>
      </c>
      <c r="D53" s="22">
        <f t="shared" si="21"/>
        <v>-227716.82580352426</v>
      </c>
      <c r="E53" s="22">
        <f t="shared" si="21"/>
        <v>-234548.33057763</v>
      </c>
      <c r="F53" s="22">
        <f t="shared" si="21"/>
        <v>-241584.78049495892</v>
      </c>
      <c r="G53" s="22">
        <f t="shared" si="21"/>
        <v>-248832.32390980769</v>
      </c>
      <c r="H53" s="22">
        <f t="shared" si="21"/>
        <v>-256297.29362710187</v>
      </c>
      <c r="I53" s="22">
        <f t="shared" si="21"/>
        <v>-263986.21243591496</v>
      </c>
      <c r="J53" s="22">
        <f t="shared" si="21"/>
        <v>-271905.79880899237</v>
      </c>
      <c r="K53" s="23">
        <f t="shared" si="21"/>
        <v>-280062.97277326212</v>
      </c>
      <c r="N53" s="3838"/>
      <c r="O53" s="3840"/>
      <c r="Z53" s="2805" t="s">
        <v>6776</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-38040</v>
      </c>
      <c r="C54" s="22">
        <f>IF(AND('Part VII-Pro Forma'!$G$9="Yes",'Part VII-Pro Forma'!$G$10="Yes"),"Choose One!",IF('Part VII-Pro Forma'!$G$9="Yes",ROUND((-$K$9*(1+'Part VII-Pro Forma'!$B$7)^('Part VII-Pro Forma'!C46-1)),),IF('Part VII-Pro Forma'!$G$10="Yes",ROUND((-(SUM(C47:C50)*'Part VII-Pro Forma'!$K$10)),),"Choose mgt fee")))</f>
        <v>-38801</v>
      </c>
      <c r="D54" s="22">
        <f>IF(AND('Part VII-Pro Forma'!$G$9="Yes",'Part VII-Pro Forma'!$G$10="Yes"),"Choose One!",IF('Part VII-Pro Forma'!$G$9="Yes",ROUND((-$K$9*(1+'Part VII-Pro Forma'!$B$7)^('Part VII-Pro Forma'!D46-1)),),IF('Part VII-Pro Forma'!$G$10="Yes",ROUND((-(SUM(D47:D50)*'Part VII-Pro Forma'!$K$10)),),"Choose mgt fee")))</f>
        <v>-39577</v>
      </c>
      <c r="E54" s="22">
        <f>IF(AND('Part VII-Pro Forma'!$G$9="Yes",'Part VII-Pro Forma'!$G$10="Yes"),"Choose One!",IF('Part VII-Pro Forma'!$G$9="Yes",ROUND((-$K$9*(1+'Part VII-Pro Forma'!$B$7)^('Part VII-Pro Forma'!E46-1)),),IF('Part VII-Pro Forma'!$G$10="Yes",ROUND((-(SUM(E47:E50)*'Part VII-Pro Forma'!$K$10)),),"Choose mgt fee")))</f>
        <v>-40368</v>
      </c>
      <c r="F54" s="22">
        <f>IF(AND('Part VII-Pro Forma'!$G$9="Yes",'Part VII-Pro Forma'!$G$10="Yes"),"Choose One!",IF('Part VII-Pro Forma'!$G$9="Yes",ROUND((-$K$9*(1+'Part VII-Pro Forma'!$B$7)^('Part VII-Pro Forma'!F46-1)),),IF('Part VII-Pro Forma'!$G$10="Yes",ROUND((-(SUM(F47:F50)*'Part VII-Pro Forma'!$K$10)),),"Choose mgt fee")))</f>
        <v>-41176</v>
      </c>
      <c r="G54" s="22">
        <f>IF(AND('Part VII-Pro Forma'!$G$9="Yes",'Part VII-Pro Forma'!$G$10="Yes"),"Choose One!",IF('Part VII-Pro Forma'!$G$9="Yes",ROUND((-$K$9*(1+'Part VII-Pro Forma'!$B$7)^('Part VII-Pro Forma'!G46-1)),),IF('Part VII-Pro Forma'!$G$10="Yes",ROUND((-(SUM(G47:G50)*'Part VII-Pro Forma'!$K$10)),),"Choose mgt fee")))</f>
        <v>-41999</v>
      </c>
      <c r="H54" s="22">
        <f>IF(AND('Part VII-Pro Forma'!$G$9="Yes",'Part VII-Pro Forma'!$G$10="Yes"),"Choose One!",IF('Part VII-Pro Forma'!$G$9="Yes",ROUND((-$K$9*(1+'Part VII-Pro Forma'!$B$7)^('Part VII-Pro Forma'!H46-1)),),IF('Part VII-Pro Forma'!$G$10="Yes",ROUND((-(SUM(H47:H50)*'Part VII-Pro Forma'!$K$10)),),"Choose mgt fee")))</f>
        <v>-42839</v>
      </c>
      <c r="I54" s="22">
        <f>IF(AND('Part VII-Pro Forma'!$G$9="Yes",'Part VII-Pro Forma'!$G$10="Yes"),"Choose One!",IF('Part VII-Pro Forma'!$G$9="Yes",ROUND((-$K$9*(1+'Part VII-Pro Forma'!$B$7)^('Part VII-Pro Forma'!I46-1)),),IF('Part VII-Pro Forma'!$G$10="Yes",ROUND((-(SUM(I47:I50)*'Part VII-Pro Forma'!$K$10)),),"Choose mgt fee")))</f>
        <v>-43696</v>
      </c>
      <c r="J54" s="22">
        <f>IF(AND('Part VII-Pro Forma'!$G$9="Yes",'Part VII-Pro Forma'!$G$10="Yes"),"Choose One!",IF('Part VII-Pro Forma'!$G$9="Yes",ROUND((-$K$9*(1+'Part VII-Pro Forma'!$B$7)^('Part VII-Pro Forma'!J46-1)),),IF('Part VII-Pro Forma'!$G$10="Yes",ROUND((-(SUM(J47:J50)*'Part VII-Pro Forma'!$K$10)),),"Choose mgt fee")))</f>
        <v>-44570</v>
      </c>
      <c r="K54" s="23">
        <f>IF(AND('Part VII-Pro Forma'!$G$9="Yes",'Part VII-Pro Forma'!$G$10="Yes"),"Choose One!",IF('Part VII-Pro Forma'!$G$9="Yes",ROUND((-$K$9*(1+'Part VII-Pro Forma'!$B$7)^('Part VII-Pro Forma'!K46-1)),),IF('Part VII-Pro Forma'!$G$10="Yes",ROUND((-(SUM(K47:K50)*'Part VII-Pro Forma'!$K$10)),),"Choose mgt fee")))</f>
        <v>-45461</v>
      </c>
      <c r="N54" s="3838"/>
      <c r="O54" s="3840"/>
      <c r="Z54" s="2805" t="s">
        <v>6776</v>
      </c>
      <c r="AA54" s="1788">
        <v>54</v>
      </c>
    </row>
    <row r="55" spans="1:27" ht="13.35" customHeight="1">
      <c r="A55" s="21" t="s">
        <v>1156</v>
      </c>
      <c r="B55" s="22">
        <f t="shared" ref="B55:K55" si="22">$B$23*(1+$B$8)^(B46-1)</f>
        <v>-16126.996552129462</v>
      </c>
      <c r="C55" s="22">
        <f t="shared" si="22"/>
        <v>-16610.806448693347</v>
      </c>
      <c r="D55" s="22">
        <f t="shared" si="22"/>
        <v>-17109.130642154145</v>
      </c>
      <c r="E55" s="22">
        <f t="shared" si="22"/>
        <v>-17622.404561418767</v>
      </c>
      <c r="F55" s="22">
        <f t="shared" si="22"/>
        <v>-18151.076698261331</v>
      </c>
      <c r="G55" s="22">
        <f t="shared" si="22"/>
        <v>-18695.608999209173</v>
      </c>
      <c r="H55" s="22">
        <f t="shared" si="22"/>
        <v>-19256.477269185445</v>
      </c>
      <c r="I55" s="22">
        <f t="shared" si="22"/>
        <v>-19834.171587261008</v>
      </c>
      <c r="J55" s="22">
        <f t="shared" si="22"/>
        <v>-20429.196734878838</v>
      </c>
      <c r="K55" s="23">
        <f t="shared" si="22"/>
        <v>-21042.072636925204</v>
      </c>
      <c r="N55" s="3838"/>
      <c r="O55" s="3840"/>
      <c r="Q55" s="847">
        <v>10</v>
      </c>
      <c r="R55" s="945">
        <f>-SUM(B61:K61)</f>
        <v>0</v>
      </c>
      <c r="S55" s="945">
        <f>SUM(B62:K62)+R55</f>
        <v>0</v>
      </c>
      <c r="Z55" s="2805" t="s">
        <v>6776</v>
      </c>
      <c r="AA55" s="1788">
        <v>55</v>
      </c>
    </row>
    <row r="56" spans="1:27" ht="13.35" customHeight="1">
      <c r="A56" s="409" t="s">
        <v>4015</v>
      </c>
      <c r="B56" s="2944">
        <f>IF(B46&lt;=+'Part VI-Revenues &amp; Expenses'!$N$248,-'Part VI-Revenues &amp; Expenses'!$K$248,0)</f>
        <v>0</v>
      </c>
      <c r="C56" s="2944">
        <f>IF(C46&lt;=+'Part VI-Revenues &amp; Expenses'!$N$248,-'Part VI-Revenues &amp; Expenses'!$K$248,0)</f>
        <v>0</v>
      </c>
      <c r="D56" s="2944">
        <f>IF(D46&lt;=+'Part VI-Revenues &amp; Expenses'!$N$248,-'Part VI-Revenues &amp; Expenses'!$K$248,0)</f>
        <v>0</v>
      </c>
      <c r="E56" s="2944">
        <f>IF(E46&lt;=+'Part VI-Revenues &amp; Expenses'!$N$248,-'Part VI-Revenues &amp; Expenses'!$K$248,0)</f>
        <v>0</v>
      </c>
      <c r="F56" s="2944">
        <f>IF(F46&lt;=+'Part VI-Revenues &amp; Expenses'!$N$248,-'Part VI-Revenues &amp; Expenses'!$K$248,0)</f>
        <v>0</v>
      </c>
      <c r="G56" s="2944">
        <f>IF(G46&lt;=+'Part VI-Revenues &amp; Expenses'!$N$248,-'Part VI-Revenues &amp; Expenses'!$K$248,0)</f>
        <v>0</v>
      </c>
      <c r="H56" s="2944">
        <f>IF(H46&lt;=+'Part VI-Revenues &amp; Expenses'!$N$248,-'Part VI-Revenues &amp; Expenses'!$K$248,0)</f>
        <v>0</v>
      </c>
      <c r="I56" s="2944">
        <f>IF(I46&lt;=+'Part VI-Revenues &amp; Expenses'!$N$248,-'Part VI-Revenues &amp; Expenses'!$K$248,0)</f>
        <v>0</v>
      </c>
      <c r="J56" s="2944">
        <f>IF(J46&lt;=+'Part VI-Revenues &amp; Expenses'!$N$248,-'Part VI-Revenues &amp; Expenses'!$K$248,0)</f>
        <v>0</v>
      </c>
      <c r="K56" s="2944">
        <f>IF(K46&lt;=+'Part VI-Revenues &amp; Expenses'!$N$248,-'Part VI-Revenues &amp; Expenses'!$K$248,0)</f>
        <v>0</v>
      </c>
      <c r="N56" s="3838"/>
      <c r="O56" s="3840"/>
      <c r="Z56" s="2805" t="s">
        <v>6776</v>
      </c>
      <c r="AA56" s="1788">
        <v>56</v>
      </c>
    </row>
    <row r="57" spans="1:27" ht="13.35" customHeight="1">
      <c r="A57" s="21" t="s">
        <v>1157</v>
      </c>
      <c r="B57" s="22">
        <f t="shared" ref="B57:K57" si="23">SUM(B52:B56)</f>
        <v>153852.75980464916</v>
      </c>
      <c r="C57" s="22">
        <f t="shared" si="23"/>
        <v>154621.89555078748</v>
      </c>
      <c r="D57" s="22">
        <f t="shared" si="23"/>
        <v>155337.40242835021</v>
      </c>
      <c r="E57" s="22">
        <f t="shared" si="23"/>
        <v>155996.43091246032</v>
      </c>
      <c r="F57" s="22">
        <f t="shared" si="23"/>
        <v>156594.01217931908</v>
      </c>
      <c r="G57" s="22">
        <f t="shared" si="23"/>
        <v>157129.05385097314</v>
      </c>
      <c r="H57" s="22">
        <f t="shared" si="23"/>
        <v>157596.33559890257</v>
      </c>
      <c r="I57" s="22">
        <f t="shared" si="23"/>
        <v>157992.50460191775</v>
      </c>
      <c r="J57" s="22">
        <f t="shared" si="23"/>
        <v>158314.07085372423</v>
      </c>
      <c r="K57" s="1299">
        <f t="shared" si="23"/>
        <v>158557.40231536009</v>
      </c>
      <c r="N57" s="3838"/>
      <c r="O57" s="3840"/>
      <c r="Z57" s="2805" t="s">
        <v>6776</v>
      </c>
      <c r="AA57" s="1788">
        <v>57</v>
      </c>
    </row>
    <row r="58" spans="1:27" ht="13.35" customHeight="1">
      <c r="A58" s="21" t="str">
        <f>$A26</f>
        <v>Mortgage A</v>
      </c>
      <c r="B58" s="2945"/>
      <c r="C58" s="2945"/>
      <c r="D58" s="2945"/>
      <c r="E58" s="2945"/>
      <c r="F58" s="2945"/>
      <c r="G58" s="2945"/>
      <c r="H58" s="2945"/>
      <c r="I58" s="2945"/>
      <c r="J58" s="2945"/>
      <c r="K58" s="2945"/>
      <c r="N58" s="3838"/>
      <c r="O58" s="3840"/>
      <c r="Z58" s="2805" t="s">
        <v>6776</v>
      </c>
      <c r="AA58" s="1788">
        <v>58</v>
      </c>
    </row>
    <row r="59" spans="1:27" ht="13.35" customHeight="1">
      <c r="A59" s="21" t="str">
        <f>$A27</f>
        <v>Mortgage B</v>
      </c>
      <c r="B59" s="2946">
        <f>IF('Part III-Sources of Funds'!$P$41="", 0,-'Part III-Sources of Funds'!$P$41)</f>
        <v>0</v>
      </c>
      <c r="C59" s="2946">
        <f>IF('Part III-Sources of Funds'!$P$41="", 0,-'Part III-Sources of Funds'!$P$41)</f>
        <v>0</v>
      </c>
      <c r="D59" s="2946">
        <f>IF('Part III-Sources of Funds'!$P$41="", 0,-'Part III-Sources of Funds'!$P$41)</f>
        <v>0</v>
      </c>
      <c r="E59" s="2946">
        <f>IF('Part III-Sources of Funds'!$P$41="", 0,-'Part III-Sources of Funds'!$P$41)</f>
        <v>0</v>
      </c>
      <c r="F59" s="2946">
        <f>IF('Part III-Sources of Funds'!$P$41="", 0,-'Part III-Sources of Funds'!$P$41)</f>
        <v>0</v>
      </c>
      <c r="G59" s="2946">
        <f>IF('Part III-Sources of Funds'!$P$41="", 0,-'Part III-Sources of Funds'!$P$41)</f>
        <v>0</v>
      </c>
      <c r="H59" s="2946">
        <f>IF('Part III-Sources of Funds'!$P$41="", 0,-'Part III-Sources of Funds'!$P$41)</f>
        <v>0</v>
      </c>
      <c r="I59" s="2946">
        <f>IF('Part III-Sources of Funds'!$P$41="", 0,-'Part III-Sources of Funds'!$P$41)</f>
        <v>0</v>
      </c>
      <c r="J59" s="2946">
        <f>IF('Part III-Sources of Funds'!$P$41="", 0,-'Part III-Sources of Funds'!$P$41)</f>
        <v>0</v>
      </c>
      <c r="K59" s="2946">
        <f>IF('Part III-Sources of Funds'!$P$41="", 0,-'Part III-Sources of Funds'!$P$41)</f>
        <v>0</v>
      </c>
      <c r="N59" s="3838"/>
      <c r="O59" s="3840"/>
      <c r="Z59" s="2805" t="s">
        <v>6776</v>
      </c>
      <c r="AA59" s="1788">
        <v>59</v>
      </c>
    </row>
    <row r="60" spans="1:27" ht="13.35" customHeight="1">
      <c r="A60" s="21" t="str">
        <f>$A28</f>
        <v>Mortgage C</v>
      </c>
      <c r="B60" s="2946">
        <f>IF('Part III-Sources of Funds'!$P$42="", 0,-'Part III-Sources of Funds'!$P$42)</f>
        <v>0</v>
      </c>
      <c r="C60" s="2946">
        <f>IF('Part III-Sources of Funds'!$P$42="", 0,-'Part III-Sources of Funds'!$P$42)</f>
        <v>0</v>
      </c>
      <c r="D60" s="2946">
        <f>IF('Part III-Sources of Funds'!$P$42="", 0,-'Part III-Sources of Funds'!$P$42)</f>
        <v>0</v>
      </c>
      <c r="E60" s="2946">
        <f>IF('Part III-Sources of Funds'!$P$42="", 0,-'Part III-Sources of Funds'!$P$42)</f>
        <v>0</v>
      </c>
      <c r="F60" s="2946">
        <f>IF('Part III-Sources of Funds'!$P$42="", 0,-'Part III-Sources of Funds'!$P$42)</f>
        <v>0</v>
      </c>
      <c r="G60" s="2946">
        <f>IF('Part III-Sources of Funds'!$P$42="", 0,-'Part III-Sources of Funds'!$P$42)</f>
        <v>0</v>
      </c>
      <c r="H60" s="2946">
        <f>IF('Part III-Sources of Funds'!$P$42="", 0,-'Part III-Sources of Funds'!$P$42)</f>
        <v>0</v>
      </c>
      <c r="I60" s="2946">
        <f>IF('Part III-Sources of Funds'!$P$42="", 0,-'Part III-Sources of Funds'!$P$42)</f>
        <v>0</v>
      </c>
      <c r="J60" s="2946">
        <f>IF('Part III-Sources of Funds'!$P$42="", 0,-'Part III-Sources of Funds'!$P$42)</f>
        <v>0</v>
      </c>
      <c r="K60" s="2946">
        <f>IF('Part III-Sources of Funds'!$P$42="", 0,-'Part III-Sources of Funds'!$P$42)</f>
        <v>0</v>
      </c>
      <c r="N60" s="3838"/>
      <c r="O60" s="3840"/>
      <c r="Z60" s="2805" t="s">
        <v>6776</v>
      </c>
      <c r="AA60" s="1787">
        <v>60</v>
      </c>
    </row>
    <row r="61" spans="1:27" ht="13.35" customHeight="1">
      <c r="A61" s="21" t="str">
        <f>$A29</f>
        <v>D/S Other Source,not DDF</v>
      </c>
      <c r="B61" s="2946">
        <f>IF('Part III-Sources of Funds'!$P$43="", 0,-'Part III-Sources of Funds'!$P$43)</f>
        <v>0</v>
      </c>
      <c r="C61" s="2946">
        <f>IF('Part III-Sources of Funds'!$P$43="", 0,-'Part III-Sources of Funds'!$P$43)</f>
        <v>0</v>
      </c>
      <c r="D61" s="2946">
        <f>IF('Part III-Sources of Funds'!$P$43="", 0,-'Part III-Sources of Funds'!$P$43)</f>
        <v>0</v>
      </c>
      <c r="E61" s="2946">
        <f>IF('Part III-Sources of Funds'!$P$43="", 0,-'Part III-Sources of Funds'!$P$43)</f>
        <v>0</v>
      </c>
      <c r="F61" s="2946">
        <f>IF('Part III-Sources of Funds'!$P$43="", 0,-'Part III-Sources of Funds'!$P$43)</f>
        <v>0</v>
      </c>
      <c r="G61" s="2946">
        <f>IF('Part III-Sources of Funds'!$P$43="", 0,-'Part III-Sources of Funds'!$P$43)</f>
        <v>0</v>
      </c>
      <c r="H61" s="2946">
        <f>IF('Part III-Sources of Funds'!$P$43="", 0,-'Part III-Sources of Funds'!$P$43)</f>
        <v>0</v>
      </c>
      <c r="I61" s="2946">
        <f>IF('Part III-Sources of Funds'!$P$43="", 0,-'Part III-Sources of Funds'!$P$43)</f>
        <v>0</v>
      </c>
      <c r="J61" s="2946">
        <f>IF('Part III-Sources of Funds'!$P$43="", 0,-'Part III-Sources of Funds'!$P$43)</f>
        <v>0</v>
      </c>
      <c r="K61" s="2946">
        <f>IF('Part III-Sources of Funds'!$P$43="", 0,-'Part III-Sources of Funds'!$P$43)</f>
        <v>0</v>
      </c>
      <c r="N61" s="3838"/>
      <c r="O61" s="3840"/>
      <c r="Z61" s="2805" t="s">
        <v>6776</v>
      </c>
      <c r="AA61" s="1788">
        <v>61</v>
      </c>
    </row>
    <row r="62" spans="1:27" ht="13.35" customHeight="1">
      <c r="A62" s="21" t="s">
        <v>733</v>
      </c>
      <c r="B62" s="2947"/>
      <c r="C62" s="2947"/>
      <c r="D62" s="2947"/>
      <c r="E62" s="2947"/>
      <c r="F62" s="2947"/>
      <c r="G62" s="2947"/>
      <c r="H62" s="2947"/>
      <c r="I62" s="2947"/>
      <c r="J62" s="2947"/>
      <c r="K62" s="2947"/>
      <c r="N62" s="3838"/>
      <c r="O62" s="3840"/>
      <c r="Q62" s="847"/>
      <c r="R62" s="945"/>
      <c r="Z62" s="2805" t="s">
        <v>6776</v>
      </c>
      <c r="AA62" s="1788">
        <v>62</v>
      </c>
    </row>
    <row r="63" spans="1:27" ht="13.35" customHeight="1">
      <c r="A63" s="409" t="s">
        <v>1121</v>
      </c>
      <c r="B63" s="2946">
        <f>+K31</f>
        <v>-5400</v>
      </c>
      <c r="C63" s="2946">
        <f t="shared" ref="C63:K63" si="24">+B63</f>
        <v>-5400</v>
      </c>
      <c r="D63" s="2946">
        <f t="shared" si="24"/>
        <v>-5400</v>
      </c>
      <c r="E63" s="2946">
        <f t="shared" si="24"/>
        <v>-5400</v>
      </c>
      <c r="F63" s="2946">
        <f t="shared" si="24"/>
        <v>-5400</v>
      </c>
      <c r="G63" s="2946">
        <f t="shared" si="24"/>
        <v>-5400</v>
      </c>
      <c r="H63" s="2946">
        <f t="shared" si="24"/>
        <v>-5400</v>
      </c>
      <c r="I63" s="2946">
        <f t="shared" si="24"/>
        <v>-5400</v>
      </c>
      <c r="J63" s="2946">
        <f t="shared" si="24"/>
        <v>-5400</v>
      </c>
      <c r="K63" s="2946">
        <f t="shared" si="24"/>
        <v>-5400</v>
      </c>
      <c r="N63" s="3838"/>
      <c r="O63" s="3840"/>
      <c r="Z63" s="2805" t="s">
        <v>6776</v>
      </c>
      <c r="AA63" s="1788">
        <v>63</v>
      </c>
    </row>
    <row r="64" spans="1:27" ht="13.35" customHeight="1">
      <c r="A64" s="409" t="s">
        <v>3511</v>
      </c>
      <c r="B64" s="2949">
        <f>IF('Part III-Sources of Funds'!$P$45="", 0,-'Part III-Sources of Funds'!$P$45)</f>
        <v>0</v>
      </c>
      <c r="C64" s="2949">
        <f>IF('Part III-Sources of Funds'!$P$45="", 0,-'Part III-Sources of Funds'!$P$45)</f>
        <v>0</v>
      </c>
      <c r="D64" s="2949">
        <f>IF('Part III-Sources of Funds'!$P$45="", 0,-'Part III-Sources of Funds'!$P$45)</f>
        <v>0</v>
      </c>
      <c r="E64" s="2949">
        <f>IF('Part III-Sources of Funds'!$P$45="", 0,-'Part III-Sources of Funds'!$P$45)</f>
        <v>0</v>
      </c>
      <c r="F64" s="2949">
        <f>IF('Part III-Sources of Funds'!$P$45="", 0,-'Part III-Sources of Funds'!$P$45)</f>
        <v>0</v>
      </c>
      <c r="G64" s="2949"/>
      <c r="H64" s="2949"/>
      <c r="I64" s="2949"/>
      <c r="J64" s="2949"/>
      <c r="K64" s="2949"/>
      <c r="N64" s="3838"/>
      <c r="O64" s="3840"/>
      <c r="Z64" s="2805" t="s">
        <v>6776</v>
      </c>
      <c r="AA64" s="1788">
        <v>64</v>
      </c>
    </row>
    <row r="65" spans="1:27" ht="13.35" customHeight="1">
      <c r="A65" s="21" t="s">
        <v>1122</v>
      </c>
      <c r="B65" s="22">
        <f t="shared" ref="B65:K65" si="25">SUM(B57:B64)</f>
        <v>148452.75980464916</v>
      </c>
      <c r="C65" s="22">
        <f t="shared" si="25"/>
        <v>149221.89555078748</v>
      </c>
      <c r="D65" s="22">
        <f t="shared" si="25"/>
        <v>149937.40242835021</v>
      </c>
      <c r="E65" s="22">
        <f t="shared" si="25"/>
        <v>150596.43091246032</v>
      </c>
      <c r="F65" s="22">
        <f t="shared" si="25"/>
        <v>151194.01217931908</v>
      </c>
      <c r="G65" s="22">
        <f t="shared" si="25"/>
        <v>151729.05385097314</v>
      </c>
      <c r="H65" s="22">
        <f t="shared" si="25"/>
        <v>152196.33559890257</v>
      </c>
      <c r="I65" s="22">
        <f t="shared" si="25"/>
        <v>152592.50460191775</v>
      </c>
      <c r="J65" s="22">
        <f t="shared" si="25"/>
        <v>152914.07085372423</v>
      </c>
      <c r="K65" s="566">
        <f t="shared" si="25"/>
        <v>153157.40231536009</v>
      </c>
      <c r="N65" s="3838"/>
      <c r="O65" s="3840"/>
      <c r="Z65" s="2805" t="s">
        <v>6776</v>
      </c>
      <c r="AA65" s="1788">
        <v>65</v>
      </c>
    </row>
    <row r="66" spans="1:27" ht="13.35" customHeight="1">
      <c r="A66" s="21" t="str">
        <f>$A34</f>
        <v>DCR Mortgage A</v>
      </c>
      <c r="B66" s="24" t="str">
        <f t="shared" ref="B66:K66" si="26">IF(B58=0,"",-B57/B58)</f>
        <v/>
      </c>
      <c r="C66" s="24" t="str">
        <f t="shared" si="26"/>
        <v/>
      </c>
      <c r="D66" s="24" t="str">
        <f t="shared" si="26"/>
        <v/>
      </c>
      <c r="E66" s="24" t="str">
        <f t="shared" si="26"/>
        <v/>
      </c>
      <c r="F66" s="24" t="str">
        <f t="shared" si="26"/>
        <v/>
      </c>
      <c r="G66" s="24" t="str">
        <f t="shared" si="26"/>
        <v/>
      </c>
      <c r="H66" s="24" t="str">
        <f t="shared" si="26"/>
        <v/>
      </c>
      <c r="I66" s="24" t="str">
        <f t="shared" si="26"/>
        <v/>
      </c>
      <c r="J66" s="24" t="str">
        <f t="shared" si="26"/>
        <v/>
      </c>
      <c r="K66" s="25" t="str">
        <f t="shared" si="26"/>
        <v/>
      </c>
      <c r="N66" s="3838"/>
      <c r="O66" s="3840"/>
      <c r="Z66" s="2805" t="s">
        <v>6776</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8"/>
      <c r="O67" s="3840"/>
      <c r="Z67" s="2805" t="s">
        <v>6776</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8"/>
      <c r="O68" s="3840"/>
      <c r="Z68" s="2805" t="s">
        <v>6776</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8"/>
      <c r="O69" s="3840"/>
      <c r="Z69" s="2805" t="s">
        <v>6776</v>
      </c>
      <c r="AA69" s="1787">
        <v>69</v>
      </c>
    </row>
    <row r="70" spans="1:27" ht="13.35" customHeight="1">
      <c r="A70" s="409" t="s">
        <v>3345</v>
      </c>
      <c r="B70" s="24" t="str">
        <f t="shared" ref="B70:K70" si="30">IF(AND(B58=0,B59=0,B60=0,B61=0),"",-B57/(B58+B59+B60+B61))</f>
        <v/>
      </c>
      <c r="C70" s="24" t="str">
        <f t="shared" si="30"/>
        <v/>
      </c>
      <c r="D70" s="24" t="str">
        <f t="shared" si="30"/>
        <v/>
      </c>
      <c r="E70" s="24" t="str">
        <f t="shared" si="30"/>
        <v/>
      </c>
      <c r="F70" s="24" t="str">
        <f t="shared" si="30"/>
        <v/>
      </c>
      <c r="G70" s="24" t="str">
        <f t="shared" si="30"/>
        <v/>
      </c>
      <c r="H70" s="24" t="str">
        <f t="shared" si="30"/>
        <v/>
      </c>
      <c r="I70" s="24" t="str">
        <f t="shared" si="30"/>
        <v/>
      </c>
      <c r="J70" s="24" t="str">
        <f t="shared" si="30"/>
        <v/>
      </c>
      <c r="K70" s="25" t="str">
        <f t="shared" si="30"/>
        <v/>
      </c>
      <c r="N70" s="3838"/>
      <c r="O70" s="3840"/>
      <c r="Z70" s="2805" t="s">
        <v>6776</v>
      </c>
      <c r="AA70" s="1788">
        <v>70</v>
      </c>
    </row>
    <row r="71" spans="1:27" ht="13.35" customHeight="1">
      <c r="A71" s="21" t="s">
        <v>740</v>
      </c>
      <c r="B71" s="263">
        <f t="shared" ref="B71:K71" si="31">IF(OR(B54="Choose mgt fee",B54="Choose One!"),"",(B47+B48+B49+B50+B51) / -(B53+B54+B55))</f>
        <v>1.57234346415391</v>
      </c>
      <c r="C71" s="263">
        <f t="shared" si="31"/>
        <v>1.5592190764355134</v>
      </c>
      <c r="D71" s="263">
        <f t="shared" si="31"/>
        <v>1.5461877203024788</v>
      </c>
      <c r="E71" s="263">
        <f t="shared" si="31"/>
        <v>1.5332505141184554</v>
      </c>
      <c r="F71" s="263">
        <f t="shared" si="31"/>
        <v>1.5203982775553029</v>
      </c>
      <c r="G71" s="263">
        <f t="shared" si="31"/>
        <v>1.507642589852302</v>
      </c>
      <c r="H71" s="263">
        <f t="shared" si="31"/>
        <v>1.4949746037112059</v>
      </c>
      <c r="I71" s="263">
        <f t="shared" si="31"/>
        <v>1.4823957283026725</v>
      </c>
      <c r="J71" s="263">
        <f t="shared" si="31"/>
        <v>1.4699071635852572</v>
      </c>
      <c r="K71" s="264">
        <f t="shared" si="31"/>
        <v>1.4575099159748766</v>
      </c>
      <c r="N71" s="3838"/>
      <c r="O71" s="3840"/>
      <c r="Z71" s="2805" t="s">
        <v>6776</v>
      </c>
      <c r="AA71" s="1788">
        <v>71</v>
      </c>
    </row>
    <row r="72" spans="1:27" ht="13.35" customHeight="1">
      <c r="A72" s="409" t="s">
        <v>2494</v>
      </c>
      <c r="B72" s="2950">
        <f>IF('Part III-Sources of Funds'!$I$40="","",-FV('Part III-Sources of Funds'!$K$40/12,12,B58/12,K40))</f>
        <v>-2.2940478848530378E-8</v>
      </c>
      <c r="C72" s="2950">
        <f>IF('Part III-Sources of Funds'!$I$40="","",-FV('Part III-Sources of Funds'!$K$40/12,12,C58/12,B72))</f>
        <v>-2.4174261083435782E-8</v>
      </c>
      <c r="D72" s="2950">
        <f>IF('Part III-Sources of Funds'!$I$40="","",-FV('Part III-Sources of Funds'!$K$40/12,12,D58/12,C72))</f>
        <v>-2.5474398454745223E-8</v>
      </c>
      <c r="E72" s="2950">
        <f>IF('Part III-Sources of Funds'!$I$40="","",-FV('Part III-Sources of Funds'!$K$40/12,12,E58/12,D72))</f>
        <v>-2.684445966688857E-8</v>
      </c>
      <c r="F72" s="2950">
        <f>IF('Part III-Sources of Funds'!$I$40="","",-FV('Part III-Sources of Funds'!$K$40/12,12,F58/12,E72))</f>
        <v>-2.82882053559531E-8</v>
      </c>
      <c r="G72" s="2950">
        <f>IF('Part III-Sources of Funds'!$I$40="","",-FV('Part III-Sources of Funds'!$K$40/12,12,G58/12,F72))</f>
        <v>-2.9809598412130158E-8</v>
      </c>
      <c r="H72" s="2950">
        <f>IF('Part III-Sources of Funds'!$I$40="","",-FV('Part III-Sources of Funds'!$K$40/12,12,H58/12,G72))</f>
        <v>-3.1412814857322477E-8</v>
      </c>
      <c r="I72" s="2950">
        <f>IF('Part III-Sources of Funds'!$I$40="","",-FV('Part III-Sources of Funds'!$K$40/12,12,I58/12,H72))</f>
        <v>-3.3102255307769738E-8</v>
      </c>
      <c r="J72" s="2950">
        <f>IF('Part III-Sources of Funds'!$I$40="","",-FV('Part III-Sources of Funds'!$K$40/12,12,J58/12,I72))</f>
        <v>-3.4882557053155748E-8</v>
      </c>
      <c r="K72" s="2950">
        <f>IF('Part III-Sources of Funds'!$I$40="","",-FV('Part III-Sources of Funds'!$K$40/12,12,K58/12,J72))</f>
        <v>-3.6758606785352807E-8</v>
      </c>
      <c r="N72" s="3838"/>
      <c r="O72" s="3840"/>
      <c r="Z72" s="2805" t="s">
        <v>6776</v>
      </c>
      <c r="AA72" s="1788">
        <v>72</v>
      </c>
    </row>
    <row r="73" spans="1:27" ht="13.35" customHeight="1">
      <c r="A73" s="409" t="s">
        <v>2495</v>
      </c>
      <c r="B73" s="2946" t="str">
        <f>IF('Part III-Sources of Funds'!$I$41="","",-FV('Part III-Sources of Funds'!$K$41/12,12,B59/12,K41))</f>
        <v/>
      </c>
      <c r="C73" s="2946" t="str">
        <f>IF('Part III-Sources of Funds'!$I$41="","",-FV('Part III-Sources of Funds'!$K$41/12,12,C59/12,B73))</f>
        <v/>
      </c>
      <c r="D73" s="2946" t="str">
        <f>IF('Part III-Sources of Funds'!$I$41="","",-FV('Part III-Sources of Funds'!$K$41/12,12,D59/12,C73))</f>
        <v/>
      </c>
      <c r="E73" s="2946" t="str">
        <f>IF('Part III-Sources of Funds'!$I$41="","",-FV('Part III-Sources of Funds'!$K$41/12,12,E59/12,D73))</f>
        <v/>
      </c>
      <c r="F73" s="2946" t="str">
        <f>IF('Part III-Sources of Funds'!$I$41="","",-FV('Part III-Sources of Funds'!$K$41/12,12,F59/12,E73))</f>
        <v/>
      </c>
      <c r="G73" s="2946" t="str">
        <f>IF('Part III-Sources of Funds'!$I$41="","",-FV('Part III-Sources of Funds'!$K$41/12,12,G59/12,F73))</f>
        <v/>
      </c>
      <c r="H73" s="2946" t="str">
        <f>IF('Part III-Sources of Funds'!$I$41="","",-FV('Part III-Sources of Funds'!$K$41/12,12,H59/12,G73))</f>
        <v/>
      </c>
      <c r="I73" s="2946" t="str">
        <f>IF('Part III-Sources of Funds'!$I$41="","",-FV('Part III-Sources of Funds'!$K$41/12,12,I59/12,H73))</f>
        <v/>
      </c>
      <c r="J73" s="2946" t="str">
        <f>IF('Part III-Sources of Funds'!$I$41="","",-FV('Part III-Sources of Funds'!$K$41/12,12,J59/12,I73))</f>
        <v/>
      </c>
      <c r="K73" s="2946" t="str">
        <f>IF('Part III-Sources of Funds'!$I$41="","",-FV('Part III-Sources of Funds'!$K$41/12,12,K59/12,J73))</f>
        <v/>
      </c>
      <c r="N73" s="3838"/>
      <c r="O73" s="3840"/>
      <c r="Z73" s="2805" t="s">
        <v>6776</v>
      </c>
      <c r="AA73" s="1788">
        <v>73</v>
      </c>
    </row>
    <row r="74" spans="1:27" ht="13.35" customHeight="1">
      <c r="A74" s="409" t="s">
        <v>2496</v>
      </c>
      <c r="B74" s="2946" t="str">
        <f>IF('Part III-Sources of Funds'!$I$42="","",-FV('Part III-Sources of Funds'!$K$42/12,12,B60/12,K42))</f>
        <v/>
      </c>
      <c r="C74" s="2946" t="str">
        <f>IF('Part III-Sources of Funds'!$I$42="","",-FV('Part III-Sources of Funds'!$K$42/12,12,C60/12,B74))</f>
        <v/>
      </c>
      <c r="D74" s="2946" t="str">
        <f>IF('Part III-Sources of Funds'!$I$42="","",-FV('Part III-Sources of Funds'!$K$42/12,12,D60/12,C74))</f>
        <v/>
      </c>
      <c r="E74" s="2946" t="str">
        <f>IF('Part III-Sources of Funds'!$I$42="","",-FV('Part III-Sources of Funds'!$K$42/12,12,E60/12,D74))</f>
        <v/>
      </c>
      <c r="F74" s="2946" t="str">
        <f>IF('Part III-Sources of Funds'!$I$42="","",-FV('Part III-Sources of Funds'!$K$42/12,12,F60/12,E74))</f>
        <v/>
      </c>
      <c r="G74" s="2946" t="str">
        <f>IF('Part III-Sources of Funds'!$I$42="","",-FV('Part III-Sources of Funds'!$K$42/12,12,G60/12,F74))</f>
        <v/>
      </c>
      <c r="H74" s="2946" t="str">
        <f>IF('Part III-Sources of Funds'!$I$42="","",-FV('Part III-Sources of Funds'!$K$42/12,12,H60/12,G74))</f>
        <v/>
      </c>
      <c r="I74" s="2946" t="str">
        <f>IF('Part III-Sources of Funds'!$I$42="","",-FV('Part III-Sources of Funds'!$K$42/12,12,I60/12,H74))</f>
        <v/>
      </c>
      <c r="J74" s="2946" t="str">
        <f>IF('Part III-Sources of Funds'!$I$42="","",-FV('Part III-Sources of Funds'!$K$42/12,12,J60/12,I74))</f>
        <v/>
      </c>
      <c r="K74" s="2946" t="str">
        <f>IF('Part III-Sources of Funds'!$I$42="","",-FV('Part III-Sources of Funds'!$K$42/12,12,K60/12,J74))</f>
        <v/>
      </c>
      <c r="N74" s="3838"/>
      <c r="O74" s="3840"/>
      <c r="Z74" s="2805" t="s">
        <v>6776</v>
      </c>
      <c r="AA74" s="1787">
        <v>74</v>
      </c>
    </row>
    <row r="75" spans="1:27" ht="13.35" customHeight="1">
      <c r="A75" s="21" t="s">
        <v>752</v>
      </c>
      <c r="B75" s="2946" t="str">
        <f>IF('Part III-Sources of Funds'!$I$43="","",-FV('Part III-Sources of Funds'!$K$43/12,12,B61/12,K43))</f>
        <v/>
      </c>
      <c r="C75" s="2946" t="str">
        <f>IF('Part III-Sources of Funds'!$I$43="","",-FV('Part III-Sources of Funds'!$K$43/12,12,C61/12,B75))</f>
        <v/>
      </c>
      <c r="D75" s="2946" t="str">
        <f>IF('Part III-Sources of Funds'!$I$43="","",-FV('Part III-Sources of Funds'!$K$43/12,12,D61/12,C75))</f>
        <v/>
      </c>
      <c r="E75" s="2946" t="str">
        <f>IF('Part III-Sources of Funds'!$I$43="","",-FV('Part III-Sources of Funds'!$K$43/12,12,E61/12,D75))</f>
        <v/>
      </c>
      <c r="F75" s="2946" t="str">
        <f>IF('Part III-Sources of Funds'!$I$43="","",-FV('Part III-Sources of Funds'!$K$43/12,12,F61/12,E75))</f>
        <v/>
      </c>
      <c r="G75" s="2946" t="str">
        <f>IF('Part III-Sources of Funds'!$I$43="","",-FV('Part III-Sources of Funds'!$K$43/12,12,G61/12,F75))</f>
        <v/>
      </c>
      <c r="H75" s="2946" t="str">
        <f>IF('Part III-Sources of Funds'!$I$43="","",-FV('Part III-Sources of Funds'!$K$43/12,12,H61/12,G75))</f>
        <v/>
      </c>
      <c r="I75" s="2946" t="str">
        <f>IF('Part III-Sources of Funds'!$I$43="","",-FV('Part III-Sources of Funds'!$K$43/12,12,I61/12,H75))</f>
        <v/>
      </c>
      <c r="J75" s="2946" t="str">
        <f>IF('Part III-Sources of Funds'!$I$43="","",-FV('Part III-Sources of Funds'!$K$43/12,12,J61/12,I75))</f>
        <v/>
      </c>
      <c r="K75" s="2946" t="str">
        <f>IF('Part III-Sources of Funds'!$I$43="","",-FV('Part III-Sources of Funds'!$K$43/12,12,K61/12,J75))</f>
        <v/>
      </c>
      <c r="N75" s="3838"/>
      <c r="O75" s="3840"/>
      <c r="Z75" s="2805" t="s">
        <v>6776</v>
      </c>
      <c r="AA75" s="1788">
        <v>75</v>
      </c>
    </row>
    <row r="76" spans="1:27" ht="13.35" customHeight="1">
      <c r="A76" s="409" t="s">
        <v>3512</v>
      </c>
      <c r="B76" s="2949"/>
      <c r="C76" s="2949"/>
      <c r="D76" s="2949"/>
      <c r="E76" s="2949"/>
      <c r="F76" s="2949"/>
      <c r="G76" s="2949"/>
      <c r="H76" s="2949"/>
      <c r="I76" s="2949"/>
      <c r="J76" s="2949"/>
      <c r="K76" s="2949"/>
      <c r="N76" s="3850"/>
      <c r="O76" s="3852"/>
      <c r="Z76" s="2805" t="s">
        <v>6776</v>
      </c>
      <c r="AA76" s="1788">
        <v>76</v>
      </c>
    </row>
    <row r="77" spans="1:27" ht="4.3499999999999996" customHeight="1">
      <c r="B77" s="17"/>
      <c r="C77" s="17"/>
      <c r="D77" s="17"/>
      <c r="E77" s="17"/>
      <c r="F77" s="17"/>
      <c r="G77" s="17"/>
      <c r="H77" s="17"/>
      <c r="I77" s="17"/>
      <c r="J77" s="17"/>
      <c r="K77" s="17"/>
      <c r="AA77" s="1788">
        <v>77</v>
      </c>
    </row>
    <row r="78" spans="1:27" ht="14.45" customHeight="1">
      <c r="A78" s="13" t="s">
        <v>2369</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88" t="s">
        <v>2499</v>
      </c>
      <c r="O78" s="3488"/>
      <c r="AA78" s="1788">
        <v>78</v>
      </c>
    </row>
    <row r="79" spans="1:27" ht="13.35" customHeight="1">
      <c r="A79" s="18" t="s">
        <v>2295</v>
      </c>
      <c r="B79" s="19">
        <f t="shared" ref="B79:K79" si="33">$B$15*(1+$B$6)^(B78-1)</f>
        <v>543143.49217800808</v>
      </c>
      <c r="C79" s="19">
        <f t="shared" si="33"/>
        <v>554006.36202156811</v>
      </c>
      <c r="D79" s="19">
        <f t="shared" si="33"/>
        <v>565086.48926199961</v>
      </c>
      <c r="E79" s="19">
        <f t="shared" si="33"/>
        <v>576388.2190472394</v>
      </c>
      <c r="F79" s="19">
        <f t="shared" si="33"/>
        <v>587915.98342818429</v>
      </c>
      <c r="G79" s="19">
        <f t="shared" si="33"/>
        <v>599674.30309674796</v>
      </c>
      <c r="H79" s="19">
        <f t="shared" si="33"/>
        <v>611667.78915868292</v>
      </c>
      <c r="I79" s="19">
        <f t="shared" si="33"/>
        <v>623901.1449418565</v>
      </c>
      <c r="J79" s="19">
        <f t="shared" si="33"/>
        <v>636379.16784069373</v>
      </c>
      <c r="K79" s="20">
        <f t="shared" si="33"/>
        <v>649106.7511975076</v>
      </c>
      <c r="N79" s="3847"/>
      <c r="O79" s="3849"/>
      <c r="Z79" s="2805" t="s">
        <v>6777</v>
      </c>
      <c r="AA79" s="1788">
        <v>79</v>
      </c>
    </row>
    <row r="80" spans="1:27" ht="13.35" customHeight="1">
      <c r="A80" s="21" t="s">
        <v>977</v>
      </c>
      <c r="B80" s="22">
        <f t="shared" ref="B80:K80" si="34">$B$16*(1+$B$6)^(B78-1)</f>
        <v>10862.869843560162</v>
      </c>
      <c r="C80" s="22">
        <f t="shared" si="34"/>
        <v>11080.127240431364</v>
      </c>
      <c r="D80" s="22">
        <f t="shared" si="34"/>
        <v>11301.729785239992</v>
      </c>
      <c r="E80" s="22">
        <f t="shared" si="34"/>
        <v>11527.764380944789</v>
      </c>
      <c r="F80" s="22">
        <f t="shared" si="34"/>
        <v>11758.319668563687</v>
      </c>
      <c r="G80" s="22">
        <f t="shared" si="34"/>
        <v>11993.48606193496</v>
      </c>
      <c r="H80" s="22">
        <f t="shared" si="34"/>
        <v>12233.35578317366</v>
      </c>
      <c r="I80" s="22">
        <f t="shared" si="34"/>
        <v>12478.022898837131</v>
      </c>
      <c r="J80" s="22">
        <f t="shared" si="34"/>
        <v>12727.583356813877</v>
      </c>
      <c r="K80" s="23">
        <f t="shared" si="34"/>
        <v>12982.135023950152</v>
      </c>
      <c r="N80" s="3838"/>
      <c r="O80" s="3840"/>
      <c r="Z80" s="2805" t="s">
        <v>6777</v>
      </c>
      <c r="AA80" s="1788">
        <v>80</v>
      </c>
    </row>
    <row r="81" spans="1:27" ht="13.35" customHeight="1">
      <c r="A81" s="21" t="s">
        <v>2296</v>
      </c>
      <c r="B81" s="22">
        <f t="shared" ref="B81:K81" si="35">-(B79+B80)*$B$9</f>
        <v>-38780.445341509781</v>
      </c>
      <c r="C81" s="22">
        <f t="shared" si="35"/>
        <v>-39556.054248339969</v>
      </c>
      <c r="D81" s="22">
        <f t="shared" si="35"/>
        <v>-40347.175333306775</v>
      </c>
      <c r="E81" s="22">
        <f t="shared" si="35"/>
        <v>-41154.118839972893</v>
      </c>
      <c r="F81" s="22">
        <f t="shared" si="35"/>
        <v>-41977.201216772359</v>
      </c>
      <c r="G81" s="22">
        <f t="shared" si="35"/>
        <v>-42816.745241107812</v>
      </c>
      <c r="H81" s="22">
        <f t="shared" si="35"/>
        <v>-43673.080145929969</v>
      </c>
      <c r="I81" s="22">
        <f t="shared" si="35"/>
        <v>-44546.541748848555</v>
      </c>
      <c r="J81" s="22">
        <f t="shared" si="35"/>
        <v>-45437.47258382554</v>
      </c>
      <c r="K81" s="23">
        <f t="shared" si="35"/>
        <v>-46346.222035502047</v>
      </c>
      <c r="N81" s="3838"/>
      <c r="O81" s="3840"/>
      <c r="Z81" s="2805" t="s">
        <v>6777</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8"/>
      <c r="O82" s="3840"/>
      <c r="Z82" s="2805" t="s">
        <v>6777</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8"/>
      <c r="O83" s="3840"/>
      <c r="Z83" s="2805" t="s">
        <v>6777</v>
      </c>
      <c r="AA83" s="1787">
        <v>83</v>
      </c>
    </row>
    <row r="84" spans="1:27" ht="13.35" customHeight="1">
      <c r="A84" s="409" t="s">
        <v>4016</v>
      </c>
      <c r="B84" s="22">
        <f t="shared" ref="B84:K84" si="36">SUM(B79:B83)</f>
        <v>515225.91668005846</v>
      </c>
      <c r="C84" s="22">
        <f t="shared" si="36"/>
        <v>525530.43501365953</v>
      </c>
      <c r="D84" s="22">
        <f t="shared" si="36"/>
        <v>536041.04371393286</v>
      </c>
      <c r="E84" s="22">
        <f t="shared" si="36"/>
        <v>546761.86458821129</v>
      </c>
      <c r="F84" s="22">
        <f t="shared" si="36"/>
        <v>557697.10187997564</v>
      </c>
      <c r="G84" s="22">
        <f t="shared" si="36"/>
        <v>568851.04391757515</v>
      </c>
      <c r="H84" s="22">
        <f t="shared" si="36"/>
        <v>580228.06479592668</v>
      </c>
      <c r="I84" s="22">
        <f t="shared" si="36"/>
        <v>591832.6260918451</v>
      </c>
      <c r="J84" s="22">
        <f t="shared" si="36"/>
        <v>603669.27861368202</v>
      </c>
      <c r="K84" s="23">
        <f t="shared" si="36"/>
        <v>615742.66418595565</v>
      </c>
      <c r="N84" s="3838"/>
      <c r="O84" s="3840"/>
      <c r="Z84" s="2805" t="s">
        <v>6777</v>
      </c>
      <c r="AA84" s="1788">
        <v>84</v>
      </c>
    </row>
    <row r="85" spans="1:27" ht="13.35" customHeight="1">
      <c r="A85" s="21" t="s">
        <v>585</v>
      </c>
      <c r="B85" s="22">
        <f t="shared" ref="B85:K85" si="37">$B$21*(1+$B$7)^(B78-1)</f>
        <v>-288464.86195645999</v>
      </c>
      <c r="C85" s="22">
        <f t="shared" si="37"/>
        <v>-297118.80781515379</v>
      </c>
      <c r="D85" s="22">
        <f t="shared" si="37"/>
        <v>-306032.37204960838</v>
      </c>
      <c r="E85" s="22">
        <f t="shared" si="37"/>
        <v>-315213.34321109671</v>
      </c>
      <c r="F85" s="22">
        <f t="shared" si="37"/>
        <v>-324669.74350742955</v>
      </c>
      <c r="G85" s="22">
        <f t="shared" si="37"/>
        <v>-334409.83581265243</v>
      </c>
      <c r="H85" s="22">
        <f t="shared" si="37"/>
        <v>-344442.13088703202</v>
      </c>
      <c r="I85" s="22">
        <f t="shared" si="37"/>
        <v>-354775.39481364295</v>
      </c>
      <c r="J85" s="22">
        <f t="shared" si="37"/>
        <v>-365418.65665805223</v>
      </c>
      <c r="K85" s="23">
        <f t="shared" si="37"/>
        <v>-376381.21635779378</v>
      </c>
      <c r="N85" s="3838"/>
      <c r="O85" s="3840"/>
      <c r="Z85" s="2805" t="s">
        <v>6777</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-46370</v>
      </c>
      <c r="C86" s="22">
        <f>IF(AND('Part VII-Pro Forma'!$G$9="Yes",'Part VII-Pro Forma'!$G$10="Yes"),"Choose One!",IF('Part VII-Pro Forma'!$G$9="Yes",ROUND((-$K$9*(1+'Part VII-Pro Forma'!$B$7)^('Part VII-Pro Forma'!C78-1)),),IF('Part VII-Pro Forma'!$G$10="Yes",ROUND((-(SUM(C79:C82)*'Part VII-Pro Forma'!$K$10)),),"Choose mgt fee")))</f>
        <v>-47298</v>
      </c>
      <c r="D86" s="22">
        <f>IF(AND('Part VII-Pro Forma'!$G$9="Yes",'Part VII-Pro Forma'!$G$10="Yes"),"Choose One!",IF('Part VII-Pro Forma'!$G$9="Yes",ROUND((-$K$9*(1+'Part VII-Pro Forma'!$B$7)^('Part VII-Pro Forma'!D78-1)),),IF('Part VII-Pro Forma'!$G$10="Yes",ROUND((-(SUM(D79:D82)*'Part VII-Pro Forma'!$K$10)),),"Choose mgt fee")))</f>
        <v>-48244</v>
      </c>
      <c r="E86" s="22">
        <f>IF(AND('Part VII-Pro Forma'!$G$9="Yes",'Part VII-Pro Forma'!$G$10="Yes"),"Choose One!",IF('Part VII-Pro Forma'!$G$9="Yes",ROUND((-$K$9*(1+'Part VII-Pro Forma'!$B$7)^('Part VII-Pro Forma'!E78-1)),),IF('Part VII-Pro Forma'!$G$10="Yes",ROUND((-(SUM(E79:E82)*'Part VII-Pro Forma'!$K$10)),),"Choose mgt fee")))</f>
        <v>-49209</v>
      </c>
      <c r="F86" s="22">
        <f>IF(AND('Part VII-Pro Forma'!$G$9="Yes",'Part VII-Pro Forma'!$G$10="Yes"),"Choose One!",IF('Part VII-Pro Forma'!$G$9="Yes",ROUND((-$K$9*(1+'Part VII-Pro Forma'!$B$7)^('Part VII-Pro Forma'!F78-1)),),IF('Part VII-Pro Forma'!$G$10="Yes",ROUND((-(SUM(F79:F82)*'Part VII-Pro Forma'!$K$10)),),"Choose mgt fee")))</f>
        <v>-50193</v>
      </c>
      <c r="G86" s="22">
        <f>IF(AND('Part VII-Pro Forma'!$G$9="Yes",'Part VII-Pro Forma'!$G$10="Yes"),"Choose One!",IF('Part VII-Pro Forma'!$G$9="Yes",ROUND((-$K$9*(1+'Part VII-Pro Forma'!$B$7)^('Part VII-Pro Forma'!G78-1)),),IF('Part VII-Pro Forma'!$G$10="Yes",ROUND((-(SUM(G79:G82)*'Part VII-Pro Forma'!$K$10)),),"Choose mgt fee")))</f>
        <v>-51197</v>
      </c>
      <c r="H86" s="22">
        <f>IF(AND('Part VII-Pro Forma'!$G$9="Yes",'Part VII-Pro Forma'!$G$10="Yes"),"Choose One!",IF('Part VII-Pro Forma'!$G$9="Yes",ROUND((-$K$9*(1+'Part VII-Pro Forma'!$B$7)^('Part VII-Pro Forma'!H78-1)),),IF('Part VII-Pro Forma'!$G$10="Yes",ROUND((-(SUM(H79:H82)*'Part VII-Pro Forma'!$K$10)),),"Choose mgt fee")))</f>
        <v>-52221</v>
      </c>
      <c r="I86" s="22">
        <f>IF(AND('Part VII-Pro Forma'!$G$9="Yes",'Part VII-Pro Forma'!$G$10="Yes"),"Choose One!",IF('Part VII-Pro Forma'!$G$9="Yes",ROUND((-$K$9*(1+'Part VII-Pro Forma'!$B$7)^('Part VII-Pro Forma'!I78-1)),),IF('Part VII-Pro Forma'!$G$10="Yes",ROUND((-(SUM(I79:I82)*'Part VII-Pro Forma'!$K$10)),),"Choose mgt fee")))</f>
        <v>-53265</v>
      </c>
      <c r="J86" s="22">
        <f>IF(AND('Part VII-Pro Forma'!$G$9="Yes",'Part VII-Pro Forma'!$G$10="Yes"),"Choose One!",IF('Part VII-Pro Forma'!$G$9="Yes",ROUND((-$K$9*(1+'Part VII-Pro Forma'!$B$7)^('Part VII-Pro Forma'!J78-1)),),IF('Part VII-Pro Forma'!$G$10="Yes",ROUND((-(SUM(J79:J82)*'Part VII-Pro Forma'!$K$10)),),"Choose mgt fee")))</f>
        <v>-54330</v>
      </c>
      <c r="K86" s="23">
        <f>IF(AND('Part VII-Pro Forma'!$G$9="Yes",'Part VII-Pro Forma'!$G$10="Yes"),"Choose One!",IF('Part VII-Pro Forma'!$G$9="Yes",ROUND((-$K$9*(1+'Part VII-Pro Forma'!$B$7)^('Part VII-Pro Forma'!K78-1)),),IF('Part VII-Pro Forma'!$G$10="Yes",ROUND((-(SUM(K79:K82)*'Part VII-Pro Forma'!$K$10)),),"Choose mgt fee")))</f>
        <v>-55417</v>
      </c>
      <c r="N86" s="3838"/>
      <c r="O86" s="3840"/>
      <c r="Z86" s="2805" t="s">
        <v>6777</v>
      </c>
      <c r="AA86" s="1788">
        <v>86</v>
      </c>
    </row>
    <row r="87" spans="1:27" ht="13.35" customHeight="1">
      <c r="A87" s="21" t="s">
        <v>1156</v>
      </c>
      <c r="B87" s="22">
        <f t="shared" ref="B87:K87" si="38">$B$23*(1+$B$8)^(B78-1)</f>
        <v>-21673.334816032959</v>
      </c>
      <c r="C87" s="22">
        <f t="shared" si="38"/>
        <v>-22323.534860513944</v>
      </c>
      <c r="D87" s="22">
        <f t="shared" si="38"/>
        <v>-22993.240906329367</v>
      </c>
      <c r="E87" s="22">
        <f t="shared" si="38"/>
        <v>-23683.038133519247</v>
      </c>
      <c r="F87" s="22">
        <f t="shared" si="38"/>
        <v>-24393.529277524824</v>
      </c>
      <c r="G87" s="22">
        <f t="shared" si="38"/>
        <v>-25125.335155850567</v>
      </c>
      <c r="H87" s="22">
        <f t="shared" si="38"/>
        <v>-25879.095210526088</v>
      </c>
      <c r="I87" s="22">
        <f t="shared" si="38"/>
        <v>-26655.468066841866</v>
      </c>
      <c r="J87" s="22">
        <f t="shared" si="38"/>
        <v>-27455.132108847123</v>
      </c>
      <c r="K87" s="23">
        <f t="shared" si="38"/>
        <v>-28278.786072112533</v>
      </c>
      <c r="N87" s="3838"/>
      <c r="O87" s="3840"/>
      <c r="Q87" s="847">
        <v>10</v>
      </c>
      <c r="R87" s="945">
        <f>-SUM(B93:K93)</f>
        <v>0</v>
      </c>
      <c r="S87" s="945">
        <f>SUM(B94:K94)+R87</f>
        <v>0</v>
      </c>
      <c r="Z87" s="2805" t="s">
        <v>6777</v>
      </c>
      <c r="AA87" s="1788">
        <v>87</v>
      </c>
    </row>
    <row r="88" spans="1:27" ht="13.35" customHeight="1">
      <c r="A88" s="409" t="s">
        <v>4015</v>
      </c>
      <c r="B88" s="2944">
        <f>IF(B78&lt;=+'Part VI-Revenues &amp; Expenses'!$N$248,-'Part VI-Revenues &amp; Expenses'!$K$248,0)</f>
        <v>0</v>
      </c>
      <c r="C88" s="2944">
        <f>IF(C78&lt;=+'Part VI-Revenues &amp; Expenses'!$N$248,-'Part VI-Revenues &amp; Expenses'!$K$248,0)</f>
        <v>0</v>
      </c>
      <c r="D88" s="2944">
        <f>IF(D78&lt;=+'Part VI-Revenues &amp; Expenses'!$N$248,-'Part VI-Revenues &amp; Expenses'!$K$248,0)</f>
        <v>0</v>
      </c>
      <c r="E88" s="2944">
        <f>IF(E78&lt;=+'Part VI-Revenues &amp; Expenses'!$N$248,-'Part VI-Revenues &amp; Expenses'!$K$248,0)</f>
        <v>0</v>
      </c>
      <c r="F88" s="2944">
        <f>IF(F78&lt;=+'Part VI-Revenues &amp; Expenses'!$N$248,-'Part VI-Revenues &amp; Expenses'!$K$248,0)</f>
        <v>0</v>
      </c>
      <c r="G88" s="2944">
        <f>IF(G78&lt;=+'Part VI-Revenues &amp; Expenses'!$N$248,-'Part VI-Revenues &amp; Expenses'!$K$248,0)</f>
        <v>0</v>
      </c>
      <c r="H88" s="2944">
        <f>IF(H78&lt;=+'Part VI-Revenues &amp; Expenses'!$N$248,-'Part VI-Revenues &amp; Expenses'!$K$248,0)</f>
        <v>0</v>
      </c>
      <c r="I88" s="2944">
        <f>IF(I78&lt;=+'Part VI-Revenues &amp; Expenses'!$N$248,-'Part VI-Revenues &amp; Expenses'!$K$248,0)</f>
        <v>0</v>
      </c>
      <c r="J88" s="2944">
        <f>IF(J78&lt;=+'Part VI-Revenues &amp; Expenses'!$N$248,-'Part VI-Revenues &amp; Expenses'!$K$248,0)</f>
        <v>0</v>
      </c>
      <c r="K88" s="2944">
        <f>IF(K78&lt;=+'Part VI-Revenues &amp; Expenses'!$N$248,-'Part VI-Revenues &amp; Expenses'!$K$248,0)</f>
        <v>0</v>
      </c>
      <c r="N88" s="3838"/>
      <c r="O88" s="3840"/>
      <c r="Z88" s="2805" t="s">
        <v>6777</v>
      </c>
      <c r="AA88" s="1788">
        <v>88</v>
      </c>
    </row>
    <row r="89" spans="1:27" ht="13.35" customHeight="1">
      <c r="A89" s="21" t="s">
        <v>1157</v>
      </c>
      <c r="B89" s="22">
        <f t="shared" ref="B89:K89" si="39">SUM(B84:B88)</f>
        <v>158717.71990756551</v>
      </c>
      <c r="C89" s="22">
        <f t="shared" si="39"/>
        <v>158790.09233799181</v>
      </c>
      <c r="D89" s="22">
        <f t="shared" si="39"/>
        <v>158771.43075799511</v>
      </c>
      <c r="E89" s="22">
        <f t="shared" si="39"/>
        <v>158656.48324359534</v>
      </c>
      <c r="F89" s="22">
        <f t="shared" si="39"/>
        <v>158440.82909502127</v>
      </c>
      <c r="G89" s="22">
        <f t="shared" si="39"/>
        <v>158118.87294907216</v>
      </c>
      <c r="H89" s="22">
        <f t="shared" si="39"/>
        <v>157685.83869836858</v>
      </c>
      <c r="I89" s="22">
        <f t="shared" si="39"/>
        <v>157136.76321136029</v>
      </c>
      <c r="J89" s="22">
        <f t="shared" si="39"/>
        <v>156465.48984678267</v>
      </c>
      <c r="K89" s="1299">
        <f t="shared" si="39"/>
        <v>155665.66175604935</v>
      </c>
      <c r="N89" s="3838"/>
      <c r="O89" s="3840"/>
      <c r="Z89" s="2805" t="s">
        <v>6777</v>
      </c>
      <c r="AA89" s="1788">
        <v>89</v>
      </c>
    </row>
    <row r="90" spans="1:27" ht="13.35" customHeight="1">
      <c r="A90" s="21" t="str">
        <f>$A58</f>
        <v>Mortgage A</v>
      </c>
      <c r="B90" s="2945">
        <f>IF('Part III-Sources of Funds'!$P$40="", 0,-'Part III-Sources of Funds'!$P$40)</f>
        <v>-102725.02325569189</v>
      </c>
      <c r="C90" s="2945">
        <f>IF('Part III-Sources of Funds'!$P$40="", 0,-'Part III-Sources of Funds'!$P$40)</f>
        <v>-102725.02325569189</v>
      </c>
      <c r="D90" s="2945">
        <f>IF('Part III-Sources of Funds'!$P$40="", 0,-'Part III-Sources of Funds'!$P$40)</f>
        <v>-102725.02325569189</v>
      </c>
      <c r="E90" s="2945">
        <f>IF('Part III-Sources of Funds'!$P$40="", 0,-'Part III-Sources of Funds'!$P$40)</f>
        <v>-102725.02325569189</v>
      </c>
      <c r="F90" s="2945">
        <f>IF('Part III-Sources of Funds'!$P$40="", 0,-'Part III-Sources of Funds'!$P$40)</f>
        <v>-102725.02325569189</v>
      </c>
      <c r="G90" s="2945">
        <f>IF('Part III-Sources of Funds'!$P$40="", 0,-'Part III-Sources of Funds'!$P$40)</f>
        <v>-102725.02325569189</v>
      </c>
      <c r="H90" s="2945">
        <f>IF('Part III-Sources of Funds'!$P$40="", 0,-'Part III-Sources of Funds'!$P$40)</f>
        <v>-102725.02325569189</v>
      </c>
      <c r="I90" s="2945">
        <f>IF('Part III-Sources of Funds'!$P$40="", 0,-'Part III-Sources of Funds'!$P$40)</f>
        <v>-102725.02325569189</v>
      </c>
      <c r="J90" s="2945">
        <f>IF('Part III-Sources of Funds'!$P$40="", 0,-'Part III-Sources of Funds'!$P$40)</f>
        <v>-102725.02325569189</v>
      </c>
      <c r="K90" s="2945">
        <f>IF('Part III-Sources of Funds'!$P$40="", 0,-'Part III-Sources of Funds'!$P$40)</f>
        <v>-102725.02325569189</v>
      </c>
      <c r="N90" s="3838"/>
      <c r="O90" s="3840"/>
      <c r="Z90" s="2805" t="s">
        <v>6777</v>
      </c>
      <c r="AA90" s="1788">
        <v>90</v>
      </c>
    </row>
    <row r="91" spans="1:27" ht="13.35" customHeight="1">
      <c r="A91" s="21" t="str">
        <f>$A59</f>
        <v>Mortgage B</v>
      </c>
      <c r="B91" s="2946">
        <f>IF('Part III-Sources of Funds'!$P$41="", 0,-'Part III-Sources of Funds'!$P$41)</f>
        <v>0</v>
      </c>
      <c r="C91" s="2946">
        <f>IF('Part III-Sources of Funds'!$P$41="", 0,-'Part III-Sources of Funds'!$P$41)</f>
        <v>0</v>
      </c>
      <c r="D91" s="2946">
        <f>IF('Part III-Sources of Funds'!$P$41="", 0,-'Part III-Sources of Funds'!$P$41)</f>
        <v>0</v>
      </c>
      <c r="E91" s="2946">
        <f>IF('Part III-Sources of Funds'!$P$41="", 0,-'Part III-Sources of Funds'!$P$41)</f>
        <v>0</v>
      </c>
      <c r="F91" s="2946">
        <f>IF('Part III-Sources of Funds'!$P$41="", 0,-'Part III-Sources of Funds'!$P$41)</f>
        <v>0</v>
      </c>
      <c r="G91" s="2946">
        <f>IF('Part III-Sources of Funds'!$P$41="", 0,-'Part III-Sources of Funds'!$P$41)</f>
        <v>0</v>
      </c>
      <c r="H91" s="2946">
        <f>IF('Part III-Sources of Funds'!$P$41="", 0,-'Part III-Sources of Funds'!$P$41)</f>
        <v>0</v>
      </c>
      <c r="I91" s="2946">
        <f>IF('Part III-Sources of Funds'!$P$41="", 0,-'Part III-Sources of Funds'!$P$41)</f>
        <v>0</v>
      </c>
      <c r="J91" s="2946">
        <f>IF('Part III-Sources of Funds'!$P$41="", 0,-'Part III-Sources of Funds'!$P$41)</f>
        <v>0</v>
      </c>
      <c r="K91" s="2946">
        <f>IF('Part III-Sources of Funds'!$P$41="", 0,-'Part III-Sources of Funds'!$P$41)</f>
        <v>0</v>
      </c>
      <c r="N91" s="3838"/>
      <c r="O91" s="3840"/>
      <c r="Z91" s="2805" t="s">
        <v>6777</v>
      </c>
      <c r="AA91" s="1788">
        <v>91</v>
      </c>
    </row>
    <row r="92" spans="1:27" ht="13.35" customHeight="1">
      <c r="A92" s="21" t="str">
        <f>$A60</f>
        <v>Mortgage C</v>
      </c>
      <c r="B92" s="2946">
        <f>IF('Part III-Sources of Funds'!$P$42="", 0,-'Part III-Sources of Funds'!$P$42)</f>
        <v>0</v>
      </c>
      <c r="C92" s="2946">
        <f>IF('Part III-Sources of Funds'!$P$42="", 0,-'Part III-Sources of Funds'!$P$42)</f>
        <v>0</v>
      </c>
      <c r="D92" s="2946">
        <f>IF('Part III-Sources of Funds'!$P$42="", 0,-'Part III-Sources of Funds'!$P$42)</f>
        <v>0</v>
      </c>
      <c r="E92" s="2946">
        <f>IF('Part III-Sources of Funds'!$P$42="", 0,-'Part III-Sources of Funds'!$P$42)</f>
        <v>0</v>
      </c>
      <c r="F92" s="2946">
        <f>IF('Part III-Sources of Funds'!$P$42="", 0,-'Part III-Sources of Funds'!$P$42)</f>
        <v>0</v>
      </c>
      <c r="G92" s="2946">
        <f>IF('Part III-Sources of Funds'!$P$42="", 0,-'Part III-Sources of Funds'!$P$42)</f>
        <v>0</v>
      </c>
      <c r="H92" s="2946">
        <f>IF('Part III-Sources of Funds'!$P$42="", 0,-'Part III-Sources of Funds'!$P$42)</f>
        <v>0</v>
      </c>
      <c r="I92" s="2946">
        <f>IF('Part III-Sources of Funds'!$P$42="", 0,-'Part III-Sources of Funds'!$P$42)</f>
        <v>0</v>
      </c>
      <c r="J92" s="2946">
        <f>IF('Part III-Sources of Funds'!$P$42="", 0,-'Part III-Sources of Funds'!$P$42)</f>
        <v>0</v>
      </c>
      <c r="K92" s="2946">
        <f>IF('Part III-Sources of Funds'!$P$42="", 0,-'Part III-Sources of Funds'!$P$42)</f>
        <v>0</v>
      </c>
      <c r="N92" s="3838"/>
      <c r="O92" s="3840"/>
      <c r="Z92" s="2805" t="s">
        <v>6777</v>
      </c>
      <c r="AA92" s="1787">
        <v>92</v>
      </c>
    </row>
    <row r="93" spans="1:27" ht="13.35" customHeight="1">
      <c r="A93" s="21" t="str">
        <f>$A61</f>
        <v>D/S Other Source,not DDF</v>
      </c>
      <c r="B93" s="2946">
        <f>IF('Part III-Sources of Funds'!$P$43="", 0,-'Part III-Sources of Funds'!$P$43)</f>
        <v>0</v>
      </c>
      <c r="C93" s="2946">
        <f>IF('Part III-Sources of Funds'!$P$43="", 0,-'Part III-Sources of Funds'!$P$43)</f>
        <v>0</v>
      </c>
      <c r="D93" s="2946">
        <f>IF('Part III-Sources of Funds'!$P$43="", 0,-'Part III-Sources of Funds'!$P$43)</f>
        <v>0</v>
      </c>
      <c r="E93" s="2946">
        <f>IF('Part III-Sources of Funds'!$P$43="", 0,-'Part III-Sources of Funds'!$P$43)</f>
        <v>0</v>
      </c>
      <c r="F93" s="2946">
        <f>IF('Part III-Sources of Funds'!$P$43="", 0,-'Part III-Sources of Funds'!$P$43)</f>
        <v>0</v>
      </c>
      <c r="G93" s="2946">
        <f>IF('Part III-Sources of Funds'!$P$43="", 0,-'Part III-Sources of Funds'!$P$43)</f>
        <v>0</v>
      </c>
      <c r="H93" s="2946">
        <f>IF('Part III-Sources of Funds'!$P$43="", 0,-'Part III-Sources of Funds'!$P$43)</f>
        <v>0</v>
      </c>
      <c r="I93" s="2946">
        <f>IF('Part III-Sources of Funds'!$P$43="", 0,-'Part III-Sources of Funds'!$P$43)</f>
        <v>0</v>
      </c>
      <c r="J93" s="2946">
        <f>IF('Part III-Sources of Funds'!$P$43="", 0,-'Part III-Sources of Funds'!$P$43)</f>
        <v>0</v>
      </c>
      <c r="K93" s="2946">
        <f>IF('Part III-Sources of Funds'!$P$43="", 0,-'Part III-Sources of Funds'!$P$43)</f>
        <v>0</v>
      </c>
      <c r="N93" s="3838"/>
      <c r="O93" s="3840"/>
      <c r="Z93" s="2805" t="s">
        <v>6777</v>
      </c>
      <c r="AA93" s="1788">
        <v>93</v>
      </c>
    </row>
    <row r="94" spans="1:27" ht="13.35" customHeight="1">
      <c r="A94" s="21" t="s">
        <v>733</v>
      </c>
      <c r="B94" s="2947"/>
      <c r="C94" s="2947"/>
      <c r="D94" s="2947"/>
      <c r="E94" s="2947"/>
      <c r="F94" s="2947"/>
      <c r="G94" s="2947"/>
      <c r="H94" s="2947"/>
      <c r="I94" s="2947"/>
      <c r="J94" s="2947"/>
      <c r="K94" s="2947"/>
      <c r="N94" s="3838"/>
      <c r="O94" s="3840"/>
      <c r="Z94" s="2805" t="s">
        <v>6777</v>
      </c>
      <c r="AA94" s="1788">
        <v>94</v>
      </c>
    </row>
    <row r="95" spans="1:27" ht="13.35" customHeight="1">
      <c r="A95" s="409" t="s">
        <v>1121</v>
      </c>
      <c r="B95" s="2949">
        <f>+K63</f>
        <v>-5400</v>
      </c>
      <c r="C95" s="2949">
        <f t="shared" ref="C95:K95" si="40">+B95</f>
        <v>-5400</v>
      </c>
      <c r="D95" s="2949">
        <f t="shared" si="40"/>
        <v>-5400</v>
      </c>
      <c r="E95" s="2949">
        <f t="shared" si="40"/>
        <v>-5400</v>
      </c>
      <c r="F95" s="2949">
        <f t="shared" si="40"/>
        <v>-5400</v>
      </c>
      <c r="G95" s="2949">
        <f t="shared" si="40"/>
        <v>-5400</v>
      </c>
      <c r="H95" s="2949">
        <f t="shared" si="40"/>
        <v>-5400</v>
      </c>
      <c r="I95" s="2949">
        <f t="shared" si="40"/>
        <v>-5400</v>
      </c>
      <c r="J95" s="2949">
        <f t="shared" si="40"/>
        <v>-5400</v>
      </c>
      <c r="K95" s="2949">
        <f t="shared" si="40"/>
        <v>-5400</v>
      </c>
      <c r="N95" s="3838"/>
      <c r="O95" s="3840"/>
      <c r="Z95" s="2805" t="s">
        <v>6777</v>
      </c>
      <c r="AA95" s="1788">
        <v>95</v>
      </c>
    </row>
    <row r="96" spans="1:27" ht="13.35" customHeight="1">
      <c r="A96" s="21" t="s">
        <v>1122</v>
      </c>
      <c r="B96" s="22">
        <f t="shared" ref="B96:K96" si="41">SUM(B89:B95)</f>
        <v>50592.696651873615</v>
      </c>
      <c r="C96" s="22">
        <f t="shared" si="41"/>
        <v>50665.069082299917</v>
      </c>
      <c r="D96" s="22">
        <f t="shared" si="41"/>
        <v>50646.40750230322</v>
      </c>
      <c r="E96" s="22">
        <f t="shared" si="41"/>
        <v>50531.45998790345</v>
      </c>
      <c r="F96" s="22">
        <f t="shared" si="41"/>
        <v>50315.805839329376</v>
      </c>
      <c r="G96" s="22">
        <f t="shared" si="41"/>
        <v>49993.849693380267</v>
      </c>
      <c r="H96" s="22">
        <f t="shared" si="41"/>
        <v>49560.815442676685</v>
      </c>
      <c r="I96" s="22">
        <f t="shared" si="41"/>
        <v>49011.739955668396</v>
      </c>
      <c r="J96" s="22">
        <f t="shared" si="41"/>
        <v>48340.466591090779</v>
      </c>
      <c r="K96" s="23">
        <f t="shared" si="41"/>
        <v>47540.638500357454</v>
      </c>
      <c r="N96" s="3838"/>
      <c r="O96" s="3840"/>
      <c r="Z96" s="2805" t="s">
        <v>6777</v>
      </c>
      <c r="AA96" s="1788">
        <v>96</v>
      </c>
    </row>
    <row r="97" spans="1:27" ht="13.35" customHeight="1">
      <c r="A97" s="21" t="str">
        <f>$A66</f>
        <v>DCR Mortgage A</v>
      </c>
      <c r="B97" s="24">
        <f t="shared" ref="B97:K97" si="42">IF(B90=0,"",-B89/B90)</f>
        <v>1.545073584578343</v>
      </c>
      <c r="C97" s="24">
        <f t="shared" si="42"/>
        <v>1.5457781103903854</v>
      </c>
      <c r="D97" s="24">
        <f t="shared" si="42"/>
        <v>1.5455964450141679</v>
      </c>
      <c r="E97" s="24">
        <f t="shared" si="42"/>
        <v>1.5444774624064574</v>
      </c>
      <c r="F97" s="24">
        <f t="shared" si="42"/>
        <v>1.542378128264305</v>
      </c>
      <c r="G97" s="24">
        <f t="shared" si="42"/>
        <v>1.5392439732576157</v>
      </c>
      <c r="H97" s="24">
        <f t="shared" si="42"/>
        <v>1.5350285032875994</v>
      </c>
      <c r="I97" s="24">
        <f t="shared" si="42"/>
        <v>1.5296834036263263</v>
      </c>
      <c r="J97" s="24">
        <f t="shared" si="42"/>
        <v>1.5231487410552917</v>
      </c>
      <c r="K97" s="25">
        <f t="shared" si="42"/>
        <v>1.5153626333924832</v>
      </c>
      <c r="N97" s="3838"/>
      <c r="O97" s="3840"/>
      <c r="Z97" s="2805" t="s">
        <v>6777</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8"/>
      <c r="O98" s="3840"/>
      <c r="Z98" s="2805" t="s">
        <v>6777</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8"/>
      <c r="O99" s="3840"/>
      <c r="Z99" s="2805" t="s">
        <v>6777</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8"/>
      <c r="O100" s="3840"/>
      <c r="Z100" s="2805" t="s">
        <v>6777</v>
      </c>
      <c r="AA100" s="1787">
        <v>100</v>
      </c>
    </row>
    <row r="101" spans="1:27" ht="13.35" customHeight="1">
      <c r="A101" s="409" t="s">
        <v>3345</v>
      </c>
      <c r="B101" s="24">
        <f t="shared" ref="B101:K101" si="46">IF(AND(B90=0,B91=0,B92=0,B93=0),"",-B89/(B90+B91+B92+B93))</f>
        <v>1.545073584578343</v>
      </c>
      <c r="C101" s="24">
        <f t="shared" si="46"/>
        <v>1.5457781103903854</v>
      </c>
      <c r="D101" s="24">
        <f t="shared" si="46"/>
        <v>1.5455964450141679</v>
      </c>
      <c r="E101" s="24">
        <f t="shared" si="46"/>
        <v>1.5444774624064574</v>
      </c>
      <c r="F101" s="24">
        <f t="shared" si="46"/>
        <v>1.542378128264305</v>
      </c>
      <c r="G101" s="24">
        <f t="shared" si="46"/>
        <v>1.5392439732576157</v>
      </c>
      <c r="H101" s="24">
        <f t="shared" si="46"/>
        <v>1.5350285032875994</v>
      </c>
      <c r="I101" s="24">
        <f t="shared" si="46"/>
        <v>1.5296834036263263</v>
      </c>
      <c r="J101" s="24">
        <f t="shared" si="46"/>
        <v>1.5231487410552917</v>
      </c>
      <c r="K101" s="25">
        <f t="shared" si="46"/>
        <v>1.5153626333924832</v>
      </c>
      <c r="N101" s="3838"/>
      <c r="O101" s="3840"/>
      <c r="Z101" s="2805" t="s">
        <v>6777</v>
      </c>
      <c r="AA101" s="1788">
        <v>101</v>
      </c>
    </row>
    <row r="102" spans="1:27" ht="13.35" customHeight="1">
      <c r="A102" s="21" t="s">
        <v>740</v>
      </c>
      <c r="B102" s="263">
        <f>IF(OR(B86="Choose mgt fee",B86="Choose One!"),"",(B79+B80+B81+B82+B83) / -(B85+B86+B87))</f>
        <v>1.4452007593218168</v>
      </c>
      <c r="C102" s="263">
        <f t="shared" ref="C102:K102" si="47">IF(OR(C86="Choose mgt fee",C86="Choose One!"),"",(C79+C80+C81+C82+C83) / -(C85+C86+C87))</f>
        <v>1.4329768881696776</v>
      </c>
      <c r="D102" s="263">
        <f t="shared" si="47"/>
        <v>1.4208434109336507</v>
      </c>
      <c r="E102" s="263">
        <f t="shared" si="47"/>
        <v>1.4087974320116865</v>
      </c>
      <c r="F102" s="263">
        <f t="shared" si="47"/>
        <v>1.396839924366974</v>
      </c>
      <c r="G102" s="263">
        <f t="shared" si="47"/>
        <v>1.3849683178608319</v>
      </c>
      <c r="H102" s="263">
        <f t="shared" si="47"/>
        <v>1.3731836227462897</v>
      </c>
      <c r="I102" s="263">
        <f t="shared" si="47"/>
        <v>1.3614866775361132</v>
      </c>
      <c r="J102" s="263">
        <f t="shared" si="47"/>
        <v>1.3498751436749092</v>
      </c>
      <c r="K102" s="264">
        <f t="shared" si="47"/>
        <v>1.3383469743845007</v>
      </c>
      <c r="N102" s="3838"/>
      <c r="O102" s="3840"/>
      <c r="Z102" s="2805" t="s">
        <v>6777</v>
      </c>
      <c r="AA102" s="1788">
        <v>102</v>
      </c>
    </row>
    <row r="103" spans="1:27" ht="13.35" customHeight="1">
      <c r="A103" s="409" t="s">
        <v>2494</v>
      </c>
      <c r="B103" s="2950"/>
      <c r="C103" s="2950"/>
      <c r="D103" s="2950"/>
      <c r="E103" s="2950"/>
      <c r="F103" s="2950"/>
      <c r="G103" s="2950"/>
      <c r="H103" s="2950"/>
      <c r="I103" s="2950"/>
      <c r="J103" s="2950"/>
      <c r="K103" s="2950"/>
      <c r="N103" s="3838"/>
      <c r="O103" s="3840"/>
      <c r="Z103" s="2805" t="s">
        <v>6777</v>
      </c>
      <c r="AA103" s="1788">
        <v>103</v>
      </c>
    </row>
    <row r="104" spans="1:27" ht="13.35" customHeight="1">
      <c r="A104" s="409" t="s">
        <v>2495</v>
      </c>
      <c r="B104" s="2946" t="str">
        <f>IF('Part III-Sources of Funds'!$I$41="","",-FV('Part III-Sources of Funds'!$K$41/12,12,B91/12,K73))</f>
        <v/>
      </c>
      <c r="C104" s="2946" t="str">
        <f>IF('Part III-Sources of Funds'!$I$41="","",-FV('Part III-Sources of Funds'!$K$41/12,12,C91/12,B104))</f>
        <v/>
      </c>
      <c r="D104" s="2946" t="str">
        <f>IF('Part III-Sources of Funds'!$I$41="","",-FV('Part III-Sources of Funds'!$K$41/12,12,D91/12,C104))</f>
        <v/>
      </c>
      <c r="E104" s="2946" t="str">
        <f>IF('Part III-Sources of Funds'!$I$41="","",-FV('Part III-Sources of Funds'!$K$41/12,12,E91/12,D104))</f>
        <v/>
      </c>
      <c r="F104" s="2946" t="str">
        <f>IF('Part III-Sources of Funds'!$I$41="","",-FV('Part III-Sources of Funds'!$K$41/12,12,F91/12,E104))</f>
        <v/>
      </c>
      <c r="G104" s="2946" t="str">
        <f>IF('Part III-Sources of Funds'!$I$41="","",-FV('Part III-Sources of Funds'!$K$41/12,12,G91/12,F104))</f>
        <v/>
      </c>
      <c r="H104" s="2946" t="str">
        <f>IF('Part III-Sources of Funds'!$I$41="","",-FV('Part III-Sources of Funds'!$K$41/12,12,H91/12,G104))</f>
        <v/>
      </c>
      <c r="I104" s="2946" t="str">
        <f>IF('Part III-Sources of Funds'!$I$41="","",-FV('Part III-Sources of Funds'!$K$41/12,12,I91/12,H104))</f>
        <v/>
      </c>
      <c r="J104" s="2946" t="str">
        <f>IF('Part III-Sources of Funds'!$I$41="","",-FV('Part III-Sources of Funds'!$K$41/12,12,J91/12,I104))</f>
        <v/>
      </c>
      <c r="K104" s="2946" t="str">
        <f>IF('Part III-Sources of Funds'!$I$41="","",-FV('Part III-Sources of Funds'!$K$41/12,12,K91/12,J104))</f>
        <v/>
      </c>
      <c r="N104" s="3838"/>
      <c r="O104" s="3840"/>
      <c r="Z104" s="2805" t="s">
        <v>6777</v>
      </c>
      <c r="AA104" s="1788">
        <v>104</v>
      </c>
    </row>
    <row r="105" spans="1:27" ht="13.35" customHeight="1">
      <c r="A105" s="409" t="s">
        <v>2496</v>
      </c>
      <c r="B105" s="2946" t="str">
        <f>IF('Part III-Sources of Funds'!$I$42="","",-FV('Part III-Sources of Funds'!$K$42/12,12,B92/12,K74))</f>
        <v/>
      </c>
      <c r="C105" s="2946" t="str">
        <f>IF('Part III-Sources of Funds'!$I$42="","",-FV('Part III-Sources of Funds'!$K$42/12,12,C92/12,B105))</f>
        <v/>
      </c>
      <c r="D105" s="2946" t="str">
        <f>IF('Part III-Sources of Funds'!$I$42="","",-FV('Part III-Sources of Funds'!$K$42/12,12,D92/12,C105))</f>
        <v/>
      </c>
      <c r="E105" s="2946" t="str">
        <f>IF('Part III-Sources of Funds'!$I$42="","",-FV('Part III-Sources of Funds'!$K$42/12,12,E92/12,D105))</f>
        <v/>
      </c>
      <c r="F105" s="2946" t="str">
        <f>IF('Part III-Sources of Funds'!$I$42="","",-FV('Part III-Sources of Funds'!$K$42/12,12,F92/12,E105))</f>
        <v/>
      </c>
      <c r="G105" s="2946" t="str">
        <f>IF('Part III-Sources of Funds'!$I$42="","",-FV('Part III-Sources of Funds'!$K$42/12,12,G92/12,F105))</f>
        <v/>
      </c>
      <c r="H105" s="2946" t="str">
        <f>IF('Part III-Sources of Funds'!$I$42="","",-FV('Part III-Sources of Funds'!$K$42/12,12,H92/12,G105))</f>
        <v/>
      </c>
      <c r="I105" s="2946" t="str">
        <f>IF('Part III-Sources of Funds'!$I$42="","",-FV('Part III-Sources of Funds'!$K$42/12,12,I92/12,H105))</f>
        <v/>
      </c>
      <c r="J105" s="2946" t="str">
        <f>IF('Part III-Sources of Funds'!$I$42="","",-FV('Part III-Sources of Funds'!$K$42/12,12,J92/12,I105))</f>
        <v/>
      </c>
      <c r="K105" s="2946" t="str">
        <f>IF('Part III-Sources of Funds'!$I$42="","",-FV('Part III-Sources of Funds'!$K$42/12,12,K92/12,J105))</f>
        <v/>
      </c>
      <c r="N105" s="3838"/>
      <c r="O105" s="3840"/>
      <c r="Z105" s="2805" t="s">
        <v>6777</v>
      </c>
      <c r="AA105" s="1788">
        <v>105</v>
      </c>
    </row>
    <row r="106" spans="1:27" ht="13.35" customHeight="1">
      <c r="A106" s="21" t="s">
        <v>752</v>
      </c>
      <c r="B106" s="2949" t="str">
        <f>IF('Part III-Sources of Funds'!$I$43="","",-FV('Part III-Sources of Funds'!$K$43/12,12,B93/12,K75))</f>
        <v/>
      </c>
      <c r="C106" s="2949" t="str">
        <f>IF('Part III-Sources of Funds'!$I$43="","",-FV('Part III-Sources of Funds'!$K$43/12,12,C93/12,B106))</f>
        <v/>
      </c>
      <c r="D106" s="2949" t="str">
        <f>IF('Part III-Sources of Funds'!$I$43="","",-FV('Part III-Sources of Funds'!$K$43/12,12,D93/12,C106))</f>
        <v/>
      </c>
      <c r="E106" s="2949" t="str">
        <f>IF('Part III-Sources of Funds'!$I$43="","",-FV('Part III-Sources of Funds'!$K$43/12,12,E93/12,D106))</f>
        <v/>
      </c>
      <c r="F106" s="2949" t="str">
        <f>IF('Part III-Sources of Funds'!$I$43="","",-FV('Part III-Sources of Funds'!$K$43/12,12,F93/12,E106))</f>
        <v/>
      </c>
      <c r="G106" s="2949" t="str">
        <f>IF('Part III-Sources of Funds'!$I$43="","",-FV('Part III-Sources of Funds'!$K$43/12,12,G93/12,F106))</f>
        <v/>
      </c>
      <c r="H106" s="2949" t="str">
        <f>IF('Part III-Sources of Funds'!$I$43="","",-FV('Part III-Sources of Funds'!$K$43/12,12,H93/12,G106))</f>
        <v/>
      </c>
      <c r="I106" s="2949" t="str">
        <f>IF('Part III-Sources of Funds'!$I$43="","",-FV('Part III-Sources of Funds'!$K$43/12,12,I93/12,H106))</f>
        <v/>
      </c>
      <c r="J106" s="2949" t="str">
        <f>IF('Part III-Sources of Funds'!$I$43="","",-FV('Part III-Sources of Funds'!$K$43/12,12,J93/12,I106))</f>
        <v/>
      </c>
      <c r="K106" s="2949" t="str">
        <f>IF('Part III-Sources of Funds'!$I$43="","",-FV('Part III-Sources of Funds'!$K$43/12,12,K93/12,J106))</f>
        <v/>
      </c>
      <c r="N106" s="3850"/>
      <c r="O106" s="3852"/>
      <c r="Z106" s="2805" t="s">
        <v>6777</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2369</v>
      </c>
      <c r="B108" s="15">
        <f>K78+1</f>
        <v>31</v>
      </c>
      <c r="C108" s="15">
        <f>B108+1</f>
        <v>32</v>
      </c>
      <c r="D108" s="15">
        <f>C108+1</f>
        <v>33</v>
      </c>
      <c r="E108" s="15">
        <f>D108+1</f>
        <v>34</v>
      </c>
      <c r="F108" s="15">
        <f>E108+1</f>
        <v>35</v>
      </c>
      <c r="G108" s="17"/>
      <c r="H108" s="17"/>
      <c r="I108" s="17"/>
      <c r="J108" s="17"/>
      <c r="K108" s="17"/>
      <c r="N108" s="3488" t="s">
        <v>3336</v>
      </c>
      <c r="O108" s="3488"/>
      <c r="AA108" s="1788">
        <v>108</v>
      </c>
    </row>
    <row r="109" spans="1:27" ht="13.35" customHeight="1">
      <c r="A109" s="18" t="s">
        <v>2295</v>
      </c>
      <c r="B109" s="19">
        <f>$B$15*(1+$B$6)^(B108-1)</f>
        <v>662088.88622145774</v>
      </c>
      <c r="C109" s="19">
        <f>$B$15*(1+$B$6)^(C108-1)</f>
        <v>675330.66394588677</v>
      </c>
      <c r="D109" s="19">
        <f>$B$15*(1+$B$6)^(D108-1)</f>
        <v>688837.27722480462</v>
      </c>
      <c r="E109" s="19">
        <f>$B$15*(1+$B$6)^(E108-1)</f>
        <v>702614.02276930073</v>
      </c>
      <c r="F109" s="566">
        <f>$B$15*(1+$B$6)^(F108-1)</f>
        <v>716666.30322468677</v>
      </c>
      <c r="G109" s="17"/>
      <c r="H109" s="17"/>
      <c r="I109" s="17"/>
      <c r="J109" s="17"/>
      <c r="K109" s="17"/>
      <c r="N109" s="3847"/>
      <c r="O109" s="3849"/>
      <c r="Z109" s="2805" t="s">
        <v>6778</v>
      </c>
      <c r="AA109" s="1787">
        <v>109</v>
      </c>
    </row>
    <row r="110" spans="1:27" ht="13.35" customHeight="1">
      <c r="A110" s="21" t="s">
        <v>977</v>
      </c>
      <c r="B110" s="22">
        <f>$B$16*(1+$B$6)^(B108-1)</f>
        <v>13241.777724429156</v>
      </c>
      <c r="C110" s="22">
        <f>$B$16*(1+$B$6)^(C108-1)</f>
        <v>13506.613278917735</v>
      </c>
      <c r="D110" s="22">
        <f>$B$16*(1+$B$6)^(D108-1)</f>
        <v>13776.745544496094</v>
      </c>
      <c r="E110" s="22">
        <f>$B$16*(1+$B$6)^(E108-1)</f>
        <v>14052.280455386017</v>
      </c>
      <c r="F110" s="23">
        <f>$B$16*(1+$B$6)^(F108-1)</f>
        <v>14333.326064493736</v>
      </c>
      <c r="G110" s="17"/>
      <c r="H110" s="17"/>
      <c r="I110" s="17"/>
      <c r="J110" s="17"/>
      <c r="K110" s="17"/>
      <c r="N110" s="3838"/>
      <c r="O110" s="3840"/>
      <c r="Z110" s="2805" t="s">
        <v>6778</v>
      </c>
      <c r="AA110" s="1788">
        <v>110</v>
      </c>
    </row>
    <row r="111" spans="1:27" ht="13.35" customHeight="1">
      <c r="A111" s="21" t="s">
        <v>2296</v>
      </c>
      <c r="B111" s="22">
        <f>-(B109+B110)*$B$9</f>
        <v>-47273.146476212089</v>
      </c>
      <c r="C111" s="22">
        <f>-(C109+C110)*$B$9</f>
        <v>-48218.609405736323</v>
      </c>
      <c r="D111" s="22">
        <f>-(D109+D110)*$B$9</f>
        <v>-49182.981593851058</v>
      </c>
      <c r="E111" s="22">
        <f>-(E109+E110)*$B$9</f>
        <v>-50166.641225728075</v>
      </c>
      <c r="F111" s="23">
        <f>-(F109+F110)*$B$9</f>
        <v>-51169.974050242643</v>
      </c>
      <c r="G111" s="17"/>
      <c r="H111" s="17"/>
      <c r="I111" s="17"/>
      <c r="J111" s="17"/>
      <c r="K111" s="17"/>
      <c r="N111" s="3838"/>
      <c r="O111" s="3840"/>
      <c r="Z111" s="2805" t="s">
        <v>6778</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8"/>
      <c r="O112" s="3840"/>
      <c r="Z112" s="2805" t="s">
        <v>6778</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8"/>
      <c r="O113" s="3840"/>
      <c r="Z113" s="2805" t="s">
        <v>6778</v>
      </c>
      <c r="AA113" s="1788">
        <v>113</v>
      </c>
    </row>
    <row r="114" spans="1:27" ht="13.35" customHeight="1">
      <c r="A114" s="409" t="s">
        <v>4016</v>
      </c>
      <c r="B114" s="22">
        <f>SUM(B109:B113)</f>
        <v>628057.51746967481</v>
      </c>
      <c r="C114" s="22">
        <f>SUM(C109:C113)</f>
        <v>640618.66781906819</v>
      </c>
      <c r="D114" s="22">
        <f>SUM(D109:D113)</f>
        <v>653431.04117544973</v>
      </c>
      <c r="E114" s="22">
        <f>SUM(E109:E113)</f>
        <v>666499.66199895868</v>
      </c>
      <c r="F114" s="23">
        <f>SUM(F109:F113)</f>
        <v>679829.65523893782</v>
      </c>
      <c r="G114" s="17"/>
      <c r="H114" s="17"/>
      <c r="I114" s="17"/>
      <c r="J114" s="17"/>
      <c r="K114" s="17"/>
      <c r="N114" s="3838"/>
      <c r="O114" s="3840"/>
      <c r="Z114" s="2805" t="s">
        <v>6778</v>
      </c>
      <c r="AA114" s="1788">
        <v>114</v>
      </c>
    </row>
    <row r="115" spans="1:27" ht="13.35" customHeight="1">
      <c r="A115" s="21" t="s">
        <v>585</v>
      </c>
      <c r="B115" s="22">
        <f>$B$21*(1+$B$7)^(B108-1)</f>
        <v>-387672.65284852759</v>
      </c>
      <c r="C115" s="22">
        <f>$B$21*(1+$B$7)^(C108-1)</f>
        <v>-399302.83243398351</v>
      </c>
      <c r="D115" s="22">
        <f>$B$21*(1+$B$7)^(D108-1)</f>
        <v>-411281.91740700288</v>
      </c>
      <c r="E115" s="22">
        <f>$B$21*(1+$B$7)^(E108-1)</f>
        <v>-423620.37492921302</v>
      </c>
      <c r="F115" s="23">
        <f>$B$21*(1+$B$7)^(F108-1)</f>
        <v>-436328.98617708933</v>
      </c>
      <c r="G115" s="17"/>
      <c r="H115" s="17"/>
      <c r="I115" s="17"/>
      <c r="J115" s="17"/>
      <c r="K115" s="17"/>
      <c r="N115" s="3838"/>
      <c r="O115" s="3840"/>
      <c r="Z115" s="2805" t="s">
        <v>6778</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-56525</v>
      </c>
      <c r="C116" s="22">
        <f>IF(AND('Part VII-Pro Forma'!$G$9="Yes",'Part VII-Pro Forma'!$G$10="Yes"),"Choose One!",IF('Part VII-Pro Forma'!$G$9="Yes",ROUND((-$K$9*(1+'Part VII-Pro Forma'!$B$7)^('Part VII-Pro Forma'!C108-1)),),IF('Part VII-Pro Forma'!$G$10="Yes",ROUND((-(SUM(C109:C112)*'Part VII-Pro Forma'!$K$10)),),"Choose mgt fee")))</f>
        <v>-57656</v>
      </c>
      <c r="D116" s="22">
        <f>IF(AND('Part VII-Pro Forma'!$G$9="Yes",'Part VII-Pro Forma'!$G$10="Yes"),"Choose One!",IF('Part VII-Pro Forma'!$G$9="Yes",ROUND((-$K$9*(1+'Part VII-Pro Forma'!$B$7)^('Part VII-Pro Forma'!D108-1)),),IF('Part VII-Pro Forma'!$G$10="Yes",ROUND((-(SUM(D109:D112)*'Part VII-Pro Forma'!$K$10)),),"Choose mgt fee")))</f>
        <v>-58809</v>
      </c>
      <c r="E116" s="22">
        <f>IF(AND('Part VII-Pro Forma'!$G$9="Yes",'Part VII-Pro Forma'!$G$10="Yes"),"Choose One!",IF('Part VII-Pro Forma'!$G$9="Yes",ROUND((-$K$9*(1+'Part VII-Pro Forma'!$B$7)^('Part VII-Pro Forma'!E108-1)),),IF('Part VII-Pro Forma'!$G$10="Yes",ROUND((-(SUM(E109:E112)*'Part VII-Pro Forma'!$K$10)),),"Choose mgt fee")))</f>
        <v>-59985</v>
      </c>
      <c r="F116" s="23">
        <f>IF(AND('Part VII-Pro Forma'!$G$9="Yes",'Part VII-Pro Forma'!$G$10="Yes"),"Choose One!",IF('Part VII-Pro Forma'!$G$9="Yes",ROUND((-$K$9*(1+'Part VII-Pro Forma'!$B$7)^('Part VII-Pro Forma'!F108-1)),),IF('Part VII-Pro Forma'!$G$10="Yes",ROUND((-(SUM(F109:F112)*'Part VII-Pro Forma'!$K$10)),),"Choose mgt fee")))</f>
        <v>-61185</v>
      </c>
      <c r="G116" s="17"/>
      <c r="H116" s="17"/>
      <c r="I116" s="17"/>
      <c r="J116" s="17"/>
      <c r="K116" s="17"/>
      <c r="N116" s="3838"/>
      <c r="O116" s="3840"/>
      <c r="Z116" s="2805" t="s">
        <v>6778</v>
      </c>
      <c r="AA116" s="1788">
        <v>116</v>
      </c>
    </row>
    <row r="117" spans="1:27" ht="13.35" customHeight="1">
      <c r="A117" s="21" t="s">
        <v>1156</v>
      </c>
      <c r="B117" s="22">
        <f>$B$23*(1+$B$8)^(B108-1)</f>
        <v>-29127.149654275909</v>
      </c>
      <c r="C117" s="22">
        <f>$B$23*(1+$B$8)^(C108-1)</f>
        <v>-30000.964143904192</v>
      </c>
      <c r="D117" s="22">
        <f>$B$23*(1+$B$8)^(D108-1)</f>
        <v>-30900.993068221313</v>
      </c>
      <c r="E117" s="22">
        <f>$B$23*(1+$B$8)^(E108-1)</f>
        <v>-31828.022860267953</v>
      </c>
      <c r="F117" s="23">
        <f>$B$23*(1+$B$8)^(F108-1)</f>
        <v>-32782.863546075983</v>
      </c>
      <c r="G117" s="17"/>
      <c r="H117" s="17"/>
      <c r="I117" s="17"/>
      <c r="J117" s="17"/>
      <c r="K117" s="17"/>
      <c r="N117" s="3838"/>
      <c r="O117" s="3840"/>
      <c r="Q117" s="847">
        <v>10</v>
      </c>
      <c r="R117" s="945">
        <f>-SUM(B123:K123)</f>
        <v>0</v>
      </c>
      <c r="S117" s="945">
        <f>SUM(B124:K124)+R117</f>
        <v>0</v>
      </c>
      <c r="Z117" s="2805" t="s">
        <v>6778</v>
      </c>
      <c r="AA117" s="1788">
        <v>117</v>
      </c>
    </row>
    <row r="118" spans="1:27" ht="13.35" customHeight="1">
      <c r="A118" s="409" t="s">
        <v>4015</v>
      </c>
      <c r="B118" s="2944">
        <f>IF(B108&lt;=+'Part VI-Revenues &amp; Expenses'!$N$248,-'Part VI-Revenues &amp; Expenses'!$K$248,0)</f>
        <v>0</v>
      </c>
      <c r="C118" s="2944">
        <f>IF(C108&lt;=+'Part VI-Revenues &amp; Expenses'!$N$248,-'Part VI-Revenues &amp; Expenses'!$K$248,0)</f>
        <v>0</v>
      </c>
      <c r="D118" s="2944">
        <f>IF(D108&lt;=+'Part VI-Revenues &amp; Expenses'!$N$248,-'Part VI-Revenues &amp; Expenses'!$K$248,0)</f>
        <v>0</v>
      </c>
      <c r="E118" s="2944">
        <f>IF(E108&lt;=+'Part VI-Revenues &amp; Expenses'!$N$248,-'Part VI-Revenues &amp; Expenses'!$K$248,0)</f>
        <v>0</v>
      </c>
      <c r="F118" s="2944">
        <f>IF(F108&lt;=+'Part VI-Revenues &amp; Expenses'!$N$248,-'Part VI-Revenues &amp; Expenses'!$K$248,0)</f>
        <v>0</v>
      </c>
      <c r="G118" s="17"/>
      <c r="H118" s="17"/>
      <c r="I118" s="17"/>
      <c r="J118" s="17"/>
      <c r="K118" s="17"/>
      <c r="N118" s="3838"/>
      <c r="O118" s="3840"/>
      <c r="Z118" s="2805" t="s">
        <v>6778</v>
      </c>
      <c r="AA118" s="1787">
        <v>118</v>
      </c>
    </row>
    <row r="119" spans="1:27" ht="13.35" customHeight="1">
      <c r="A119" s="21" t="s">
        <v>1157</v>
      </c>
      <c r="B119" s="22">
        <f>SUM(B114:B118)</f>
        <v>154732.71496687131</v>
      </c>
      <c r="C119" s="22">
        <f>SUM(C114:C118)</f>
        <v>153658.87124118049</v>
      </c>
      <c r="D119" s="22">
        <f>SUM(D114:D118)</f>
        <v>152439.13070022553</v>
      </c>
      <c r="E119" s="22">
        <f>SUM(E114:E118)</f>
        <v>151066.2642094777</v>
      </c>
      <c r="F119" s="1299">
        <f>SUM(F114:F118)</f>
        <v>149532.80551577249</v>
      </c>
      <c r="G119" s="17"/>
      <c r="H119" s="17"/>
      <c r="I119" s="17"/>
      <c r="J119" s="17"/>
      <c r="K119" s="17"/>
      <c r="N119" s="3838"/>
      <c r="O119" s="3840"/>
      <c r="Z119" s="2805" t="s">
        <v>6778</v>
      </c>
      <c r="AA119" s="1788">
        <v>119</v>
      </c>
    </row>
    <row r="120" spans="1:27" ht="13.35" customHeight="1">
      <c r="A120" s="21" t="str">
        <f>$A90</f>
        <v>Mortgage A</v>
      </c>
      <c r="B120" s="2945"/>
      <c r="C120" s="2945"/>
      <c r="D120" s="2945"/>
      <c r="E120" s="2945"/>
      <c r="F120" s="2945"/>
      <c r="G120" s="17"/>
      <c r="H120" s="17"/>
      <c r="I120" s="17"/>
      <c r="J120" s="17"/>
      <c r="K120" s="17"/>
      <c r="N120" s="3838"/>
      <c r="O120" s="3840"/>
      <c r="Z120" s="2805" t="s">
        <v>6778</v>
      </c>
      <c r="AA120" s="1788">
        <v>120</v>
      </c>
    </row>
    <row r="121" spans="1:27" ht="13.35" customHeight="1">
      <c r="A121" s="21" t="str">
        <f>$A91</f>
        <v>Mortgage B</v>
      </c>
      <c r="B121" s="2946">
        <f>IF('Part III-Sources of Funds'!$P$41="", 0,-'Part III-Sources of Funds'!$P$41)</f>
        <v>0</v>
      </c>
      <c r="C121" s="2946">
        <f>IF('Part III-Sources of Funds'!$P$41="", 0,-'Part III-Sources of Funds'!$P$41)</f>
        <v>0</v>
      </c>
      <c r="D121" s="2946">
        <f>IF('Part III-Sources of Funds'!$P$41="", 0,-'Part III-Sources of Funds'!$P$41)</f>
        <v>0</v>
      </c>
      <c r="E121" s="2946">
        <f>IF('Part III-Sources of Funds'!$P$41="", 0,-'Part III-Sources of Funds'!$P$41)</f>
        <v>0</v>
      </c>
      <c r="F121" s="2946">
        <f>IF('Part III-Sources of Funds'!$P$41="", 0,-'Part III-Sources of Funds'!$P$41)</f>
        <v>0</v>
      </c>
      <c r="G121" s="17"/>
      <c r="H121" s="17"/>
      <c r="I121" s="17"/>
      <c r="J121" s="17"/>
      <c r="K121" s="17"/>
      <c r="N121" s="3838"/>
      <c r="O121" s="3840"/>
      <c r="Z121" s="2805" t="s">
        <v>6778</v>
      </c>
      <c r="AA121" s="1788">
        <v>121</v>
      </c>
    </row>
    <row r="122" spans="1:27" ht="13.35" customHeight="1">
      <c r="A122" s="21" t="str">
        <f>$A92</f>
        <v>Mortgage C</v>
      </c>
      <c r="B122" s="2946">
        <f>IF('Part III-Sources of Funds'!$P$42="", 0,-'Part III-Sources of Funds'!$P$42)</f>
        <v>0</v>
      </c>
      <c r="C122" s="2946">
        <f>IF('Part III-Sources of Funds'!$P$42="", 0,-'Part III-Sources of Funds'!$P$42)</f>
        <v>0</v>
      </c>
      <c r="D122" s="2946">
        <f>IF('Part III-Sources of Funds'!$P$42="", 0,-'Part III-Sources of Funds'!$P$42)</f>
        <v>0</v>
      </c>
      <c r="E122" s="2946">
        <f>IF('Part III-Sources of Funds'!$P$42="", 0,-'Part III-Sources of Funds'!$P$42)</f>
        <v>0</v>
      </c>
      <c r="F122" s="2946">
        <f>IF('Part III-Sources of Funds'!$P$42="", 0,-'Part III-Sources of Funds'!$P$42)</f>
        <v>0</v>
      </c>
      <c r="G122" s="17"/>
      <c r="H122" s="17"/>
      <c r="I122" s="17"/>
      <c r="J122" s="17"/>
      <c r="K122" s="17"/>
      <c r="N122" s="3838"/>
      <c r="O122" s="3840"/>
      <c r="Z122" s="2805" t="s">
        <v>6778</v>
      </c>
      <c r="AA122" s="1788">
        <v>122</v>
      </c>
    </row>
    <row r="123" spans="1:27" ht="13.35" customHeight="1">
      <c r="A123" s="21" t="str">
        <f>$A93</f>
        <v>D/S Other Source,not DDF</v>
      </c>
      <c r="B123" s="2946">
        <f>IF('Part III-Sources of Funds'!$P$43="", 0,-'Part III-Sources of Funds'!$P$43)</f>
        <v>0</v>
      </c>
      <c r="C123" s="2946">
        <f>IF('Part III-Sources of Funds'!$P$43="", 0,-'Part III-Sources of Funds'!$P$43)</f>
        <v>0</v>
      </c>
      <c r="D123" s="2946">
        <f>IF('Part III-Sources of Funds'!$P$43="", 0,-'Part III-Sources of Funds'!$P$43)</f>
        <v>0</v>
      </c>
      <c r="E123" s="2946">
        <f>IF('Part III-Sources of Funds'!$P$43="", 0,-'Part III-Sources of Funds'!$P$43)</f>
        <v>0</v>
      </c>
      <c r="F123" s="2946">
        <f>IF('Part III-Sources of Funds'!$P$43="", 0,-'Part III-Sources of Funds'!$P$43)</f>
        <v>0</v>
      </c>
      <c r="G123" s="17"/>
      <c r="H123" s="17"/>
      <c r="I123" s="17"/>
      <c r="J123" s="17"/>
      <c r="K123" s="17"/>
      <c r="N123" s="3838"/>
      <c r="O123" s="3840"/>
      <c r="Z123" s="2805" t="s">
        <v>6778</v>
      </c>
      <c r="AA123" s="1787">
        <v>123</v>
      </c>
    </row>
    <row r="124" spans="1:27" ht="13.35" customHeight="1">
      <c r="A124" s="21" t="s">
        <v>733</v>
      </c>
      <c r="B124" s="2947"/>
      <c r="C124" s="2947"/>
      <c r="D124" s="2947"/>
      <c r="E124" s="2947"/>
      <c r="F124" s="2947"/>
      <c r="G124" s="17"/>
      <c r="H124" s="17"/>
      <c r="I124" s="17"/>
      <c r="J124" s="17"/>
      <c r="K124" s="17"/>
      <c r="N124" s="3838"/>
      <c r="O124" s="3840"/>
      <c r="Z124" s="2805" t="s">
        <v>6778</v>
      </c>
      <c r="AA124" s="1788">
        <v>124</v>
      </c>
    </row>
    <row r="125" spans="1:27" ht="13.35" customHeight="1">
      <c r="A125" s="21" t="s">
        <v>1121</v>
      </c>
      <c r="B125" s="2949">
        <f>+K95</f>
        <v>-5400</v>
      </c>
      <c r="C125" s="2949">
        <f>+B125</f>
        <v>-5400</v>
      </c>
      <c r="D125" s="2949">
        <f>+C125</f>
        <v>-5400</v>
      </c>
      <c r="E125" s="2949">
        <f>+D125</f>
        <v>-5400</v>
      </c>
      <c r="F125" s="2949">
        <f>+E125</f>
        <v>-5400</v>
      </c>
      <c r="G125" s="17"/>
      <c r="H125" s="17"/>
      <c r="I125" s="17"/>
      <c r="J125" s="17"/>
      <c r="K125" s="17"/>
      <c r="N125" s="3838"/>
      <c r="O125" s="3840"/>
      <c r="Z125" s="2805" t="s">
        <v>6778</v>
      </c>
      <c r="AA125" s="1788">
        <v>125</v>
      </c>
    </row>
    <row r="126" spans="1:27" ht="13.35" customHeight="1">
      <c r="A126" s="21" t="s">
        <v>1122</v>
      </c>
      <c r="B126" s="22">
        <f>SUM(B119:B125)</f>
        <v>149332.71496687131</v>
      </c>
      <c r="C126" s="22">
        <f>SUM(C119:C125)</f>
        <v>148258.87124118049</v>
      </c>
      <c r="D126" s="22">
        <f>SUM(D119:D125)</f>
        <v>147039.13070022553</v>
      </c>
      <c r="E126" s="22">
        <f>SUM(E119:E125)</f>
        <v>145666.2642094777</v>
      </c>
      <c r="F126" s="23">
        <f>SUM(F119:F125)</f>
        <v>144132.80551577249</v>
      </c>
      <c r="G126" s="17"/>
      <c r="H126" s="17"/>
      <c r="I126" s="17"/>
      <c r="J126" s="17"/>
      <c r="K126" s="17"/>
      <c r="N126" s="3838"/>
      <c r="O126" s="3840"/>
      <c r="Z126" s="2805" t="s">
        <v>6778</v>
      </c>
      <c r="AA126" s="1788">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38"/>
      <c r="O127" s="3840"/>
      <c r="Z127" s="2805" t="s">
        <v>6778</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8"/>
      <c r="O128" s="3840"/>
      <c r="Z128" s="2805" t="s">
        <v>6778</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8"/>
      <c r="O129" s="3840"/>
      <c r="Z129" s="2805" t="s">
        <v>6778</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8"/>
      <c r="O130" s="3840"/>
      <c r="Z130" s="2805" t="s">
        <v>6778</v>
      </c>
      <c r="AA130" s="1788">
        <v>130</v>
      </c>
    </row>
    <row r="131" spans="1:27" ht="13.35" customHeight="1">
      <c r="A131" s="409" t="s">
        <v>3345</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38"/>
      <c r="O131" s="3840"/>
      <c r="Z131" s="2805" t="s">
        <v>6778</v>
      </c>
      <c r="AA131" s="1788">
        <v>131</v>
      </c>
    </row>
    <row r="132" spans="1:27" ht="13.35" customHeight="1">
      <c r="A132" s="21" t="s">
        <v>740</v>
      </c>
      <c r="B132" s="263">
        <f>IF(OR(B116="Choose mgt fee",B116="Choose One!"),"",(B109+B110+B111+B112+B113) / -(B115+B116+B117))</f>
        <v>1.326905993830642</v>
      </c>
      <c r="C132" s="263">
        <f>IF(OR(C116="Choose mgt fee",C116="Choose One!"),"",(C109+C110+C111+C112+C113) / -(C115+C116+C117))</f>
        <v>1.3155473456351405</v>
      </c>
      <c r="D132" s="263">
        <f>IF(OR(D116="Choose mgt fee",D116="Choose One!"),"",(D109+D110+D111+D112+D113) / -(D115+D116+D117))</f>
        <v>1.3042746350048384</v>
      </c>
      <c r="E132" s="263">
        <f>IF(OR(E116="Choose mgt fee",E116="Choose One!"),"",(E109+E110+E111+E112+E113) / -(E115+E116+E117))</f>
        <v>1.2930859056812183</v>
      </c>
      <c r="F132" s="567">
        <f>IF(OR(F116="Choose mgt fee",F116="Choose One!"),"",(F109+F110+F111+F112+F113) / -(F115+F116+F117))</f>
        <v>1.2819794339601192</v>
      </c>
      <c r="G132" s="17"/>
      <c r="H132" s="17"/>
      <c r="I132" s="17"/>
      <c r="J132" s="17"/>
      <c r="K132" s="17"/>
      <c r="N132" s="3838"/>
      <c r="O132" s="3840"/>
      <c r="Z132" s="2805" t="s">
        <v>6778</v>
      </c>
      <c r="AA132" s="1787">
        <v>132</v>
      </c>
    </row>
    <row r="133" spans="1:27" ht="13.35" customHeight="1">
      <c r="A133" s="409" t="s">
        <v>2494</v>
      </c>
      <c r="B133" s="2950">
        <f>IF('Part III-Sources of Funds'!$I$40="","",-FV('Part III-Sources of Funds'!$K$40/12,12,B120/12,K103))</f>
        <v>0</v>
      </c>
      <c r="C133" s="2950">
        <f>IF('Part III-Sources of Funds'!$I$40="","",-FV('Part III-Sources of Funds'!$K$40/12,12,C120/12,B133))</f>
        <v>0</v>
      </c>
      <c r="D133" s="2950">
        <f>IF('Part III-Sources of Funds'!$I$40="","",-FV('Part III-Sources of Funds'!$K$40/12,12,D120/12,C133))</f>
        <v>0</v>
      </c>
      <c r="E133" s="2950">
        <f>IF('Part III-Sources of Funds'!$I$40="","",-FV('Part III-Sources of Funds'!$K$40/12,12,E120/12,D133))</f>
        <v>0</v>
      </c>
      <c r="F133" s="2950">
        <f>IF('Part III-Sources of Funds'!$I$40="","",-FV('Part III-Sources of Funds'!$K$40/12,12,F120/12,E133))</f>
        <v>0</v>
      </c>
      <c r="G133" s="17"/>
      <c r="H133" s="17"/>
      <c r="I133" s="17"/>
      <c r="J133" s="17"/>
      <c r="K133" s="17"/>
      <c r="N133" s="3838"/>
      <c r="O133" s="3840"/>
      <c r="Z133" s="2805" t="s">
        <v>6778</v>
      </c>
      <c r="AA133" s="1788">
        <v>133</v>
      </c>
    </row>
    <row r="134" spans="1:27" ht="13.35" customHeight="1">
      <c r="A134" s="409" t="s">
        <v>2495</v>
      </c>
      <c r="B134" s="2946" t="str">
        <f>IF('Part III-Sources of Funds'!$I$41="","",-FV('Part III-Sources of Funds'!$K$41/12,12,B121/12,K104))</f>
        <v/>
      </c>
      <c r="C134" s="2946" t="str">
        <f>IF('Part III-Sources of Funds'!$I$41="","",-FV('Part III-Sources of Funds'!$K$41/12,12,C121/12,B134))</f>
        <v/>
      </c>
      <c r="D134" s="2946" t="str">
        <f>IF('Part III-Sources of Funds'!$I$41="","",-FV('Part III-Sources of Funds'!$K$41/12,12,D121/12,C134))</f>
        <v/>
      </c>
      <c r="E134" s="2946" t="str">
        <f>IF('Part III-Sources of Funds'!$I$41="","",-FV('Part III-Sources of Funds'!$K$41/12,12,E121/12,D134))</f>
        <v/>
      </c>
      <c r="F134" s="2946" t="str">
        <f>IF('Part III-Sources of Funds'!$I$41="","",-FV('Part III-Sources of Funds'!$K$41/12,12,F121/12,E134))</f>
        <v/>
      </c>
      <c r="G134" s="17"/>
      <c r="H134" s="17"/>
      <c r="I134" s="17"/>
      <c r="J134" s="17"/>
      <c r="K134" s="17"/>
      <c r="N134" s="3838"/>
      <c r="O134" s="3840"/>
      <c r="Z134" s="2805" t="s">
        <v>6778</v>
      </c>
      <c r="AA134" s="1788">
        <v>134</v>
      </c>
    </row>
    <row r="135" spans="1:27" ht="13.35" customHeight="1">
      <c r="A135" s="409" t="s">
        <v>2496</v>
      </c>
      <c r="B135" s="2946" t="str">
        <f>IF('Part III-Sources of Funds'!$I$42="","",-FV('Part III-Sources of Funds'!$K$42/12,12,B122/12,K105))</f>
        <v/>
      </c>
      <c r="C135" s="2946" t="str">
        <f>IF('Part III-Sources of Funds'!$I$42="","",-FV('Part III-Sources of Funds'!$K$42/12,12,C122/12,B135))</f>
        <v/>
      </c>
      <c r="D135" s="2946" t="str">
        <f>IF('Part III-Sources of Funds'!$I$42="","",-FV('Part III-Sources of Funds'!$K$42/12,12,D122/12,C135))</f>
        <v/>
      </c>
      <c r="E135" s="2946" t="str">
        <f>IF('Part III-Sources of Funds'!$I$42="","",-FV('Part III-Sources of Funds'!$K$42/12,12,E122/12,D135))</f>
        <v/>
      </c>
      <c r="F135" s="2946" t="str">
        <f>IF('Part III-Sources of Funds'!$I$42="","",-FV('Part III-Sources of Funds'!$K$42/12,12,F122/12,E135))</f>
        <v/>
      </c>
      <c r="G135" s="17"/>
      <c r="H135" s="17"/>
      <c r="I135" s="17"/>
      <c r="J135" s="17"/>
      <c r="K135" s="17"/>
      <c r="N135" s="3838"/>
      <c r="O135" s="3840"/>
      <c r="Z135" s="2805" t="s">
        <v>6778</v>
      </c>
      <c r="AA135" s="1788">
        <v>135</v>
      </c>
    </row>
    <row r="136" spans="1:27" ht="13.35" customHeight="1">
      <c r="A136" s="26" t="s">
        <v>752</v>
      </c>
      <c r="B136" s="2949" t="str">
        <f>IF('Part III-Sources of Funds'!$I$43="","",-FV('Part III-Sources of Funds'!$K$43/12,12,B123/12,K106))</f>
        <v/>
      </c>
      <c r="C136" s="2949" t="str">
        <f>IF('Part III-Sources of Funds'!$I$43="","",-FV('Part III-Sources of Funds'!$K$43/12,12,C123/12,B136))</f>
        <v/>
      </c>
      <c r="D136" s="2949" t="str">
        <f>IF('Part III-Sources of Funds'!$I$43="","",-FV('Part III-Sources of Funds'!$K$43/12,12,D123/12,C136))</f>
        <v/>
      </c>
      <c r="E136" s="2949" t="str">
        <f>IF('Part III-Sources of Funds'!$I$43="","",-FV('Part III-Sources of Funds'!$K$43/12,12,E123/12,D136))</f>
        <v/>
      </c>
      <c r="F136" s="2949" t="str">
        <f>IF('Part III-Sources of Funds'!$I$43="","",-FV('Part III-Sources of Funds'!$K$43/12,12,F123/12,E136))</f>
        <v/>
      </c>
      <c r="G136" s="17"/>
      <c r="H136" s="17"/>
      <c r="I136" s="17"/>
      <c r="J136" s="17"/>
      <c r="K136" s="17"/>
      <c r="N136" s="3850"/>
      <c r="O136" s="3852"/>
      <c r="Z136" s="2805" t="s">
        <v>6778</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21" t="s">
        <v>7032</v>
      </c>
      <c r="B140" s="3952"/>
      <c r="C140" s="3952"/>
      <c r="D140" s="3952"/>
      <c r="E140" s="3952"/>
      <c r="F140" s="3953"/>
      <c r="G140" s="3954"/>
      <c r="H140" s="3955"/>
      <c r="I140" s="3955"/>
      <c r="J140" s="3955"/>
      <c r="K140" s="3956"/>
      <c r="N140" s="3586" t="s">
        <v>2543</v>
      </c>
      <c r="O140" s="3586"/>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1"/>
      <c r="AA145" s="1789"/>
    </row>
    <row r="146" spans="12:27" s="1" customFormat="1" ht="12" customHeight="1">
      <c r="L146" s="8"/>
      <c r="M146" s="8"/>
      <c r="N146" s="8"/>
      <c r="O146" s="8"/>
      <c r="Z146" s="2851"/>
      <c r="AA146" s="1789"/>
    </row>
    <row r="147" spans="12:27" s="1" customFormat="1" ht="12" customHeight="1">
      <c r="L147" s="8"/>
      <c r="M147" s="8"/>
      <c r="N147" s="8"/>
      <c r="O147" s="8"/>
      <c r="Q147" s="8"/>
      <c r="R147" s="8"/>
      <c r="Z147" s="2851"/>
      <c r="AA147" s="1789"/>
    </row>
    <row r="148" spans="12:27" s="1" customFormat="1" ht="12" customHeight="1">
      <c r="L148" s="8"/>
      <c r="M148" s="8"/>
      <c r="N148" s="8"/>
      <c r="O148" s="8"/>
      <c r="S148" s="8"/>
      <c r="Z148" s="2851"/>
      <c r="AA148" s="1789"/>
    </row>
    <row r="149" spans="12:27" ht="12" customHeight="1">
      <c r="Q149" s="1"/>
      <c r="R149" s="1"/>
      <c r="S149" s="1"/>
    </row>
    <row r="150" spans="12:27" s="1" customFormat="1" ht="12" customHeight="1">
      <c r="L150" s="8"/>
      <c r="M150" s="8"/>
      <c r="N150" s="8"/>
      <c r="O150" s="8"/>
      <c r="Q150" s="8"/>
      <c r="R150" s="8"/>
      <c r="Z150" s="2851"/>
      <c r="AA150" s="1789"/>
    </row>
    <row r="151" spans="12:27" s="1" customFormat="1" ht="12" customHeight="1">
      <c r="L151" s="8"/>
      <c r="M151" s="8"/>
      <c r="N151" s="8"/>
      <c r="O151" s="8"/>
      <c r="S151" s="8"/>
      <c r="Z151" s="2851"/>
      <c r="AA151" s="1789"/>
    </row>
    <row r="152" spans="12:27" ht="12" customHeight="1">
      <c r="Q152" s="1"/>
      <c r="R152" s="1"/>
      <c r="S152" s="1"/>
    </row>
    <row r="153" spans="12:27" s="1" customFormat="1" ht="12" customHeight="1">
      <c r="L153" s="8"/>
      <c r="M153" s="8"/>
      <c r="N153" s="8"/>
      <c r="O153" s="8"/>
      <c r="Z153" s="2851"/>
      <c r="AA153" s="1789"/>
    </row>
    <row r="154" spans="12:27" s="1" customFormat="1" ht="12" customHeight="1">
      <c r="L154" s="8"/>
      <c r="M154" s="8"/>
      <c r="N154" s="8"/>
      <c r="O154" s="8"/>
      <c r="Z154" s="2851"/>
      <c r="AA154" s="1789"/>
    </row>
    <row r="155" spans="12:27" s="1" customFormat="1" ht="12" customHeight="1">
      <c r="L155" s="8"/>
      <c r="M155" s="8"/>
      <c r="N155" s="8"/>
      <c r="O155" s="8"/>
      <c r="Z155" s="2851"/>
      <c r="AA155" s="1789"/>
    </row>
    <row r="156" spans="12:27" s="1" customFormat="1" ht="12" customHeight="1">
      <c r="L156" s="8"/>
      <c r="M156" s="8"/>
      <c r="N156" s="8"/>
      <c r="O156" s="8"/>
      <c r="Z156" s="2851"/>
      <c r="AA156" s="1789"/>
    </row>
    <row r="157" spans="12:27" s="1" customFormat="1" ht="12" customHeight="1">
      <c r="L157" s="8"/>
      <c r="M157" s="8"/>
      <c r="N157" s="8"/>
      <c r="O157" s="8"/>
      <c r="Z157" s="2851"/>
      <c r="AA157" s="1789"/>
    </row>
    <row r="158" spans="12:27" s="1" customFormat="1" ht="12" customHeight="1">
      <c r="L158" s="8"/>
      <c r="M158" s="8"/>
      <c r="N158" s="8"/>
      <c r="O158" s="8"/>
      <c r="Q158" s="8"/>
      <c r="R158" s="8"/>
      <c r="Z158" s="2851"/>
      <c r="AA158" s="1789"/>
    </row>
    <row r="159" spans="12:27" s="1" customFormat="1" ht="12" customHeight="1">
      <c r="L159" s="8"/>
      <c r="M159" s="8"/>
      <c r="N159" s="8"/>
      <c r="O159" s="8"/>
      <c r="S159" s="8"/>
      <c r="Z159" s="2851"/>
      <c r="AA159" s="1789"/>
    </row>
    <row r="160" spans="12:27" ht="12" customHeight="1">
      <c r="Q160" s="1"/>
      <c r="R160" s="1"/>
      <c r="S160" s="1"/>
    </row>
    <row r="161" spans="12:27" s="1" customFormat="1" ht="12" customHeight="1">
      <c r="L161" s="8"/>
      <c r="M161" s="8"/>
      <c r="N161" s="8"/>
      <c r="O161" s="8"/>
      <c r="Z161" s="2851"/>
      <c r="AA161" s="1789"/>
    </row>
    <row r="162" spans="12:27" s="1" customFormat="1" ht="12" customHeight="1">
      <c r="L162" s="8"/>
      <c r="M162" s="8"/>
      <c r="N162" s="8"/>
      <c r="O162" s="8"/>
      <c r="Z162" s="2851"/>
      <c r="AA162" s="1789"/>
    </row>
    <row r="163" spans="12:27" s="1" customFormat="1" ht="12" customHeight="1">
      <c r="L163" s="8"/>
      <c r="M163" s="8"/>
      <c r="N163" s="8"/>
      <c r="O163" s="8"/>
      <c r="Z163" s="2851"/>
      <c r="AA163" s="1789"/>
    </row>
    <row r="164" spans="12:27" s="1" customFormat="1" ht="12" customHeight="1">
      <c r="L164" s="8"/>
      <c r="M164" s="8"/>
      <c r="N164" s="8"/>
      <c r="O164" s="8"/>
      <c r="Z164" s="2851"/>
      <c r="AA164" s="1789"/>
    </row>
    <row r="165" spans="12:27" s="1" customFormat="1" ht="12" customHeight="1">
      <c r="L165" s="8"/>
      <c r="M165" s="8"/>
      <c r="N165" s="8"/>
      <c r="O165" s="8"/>
      <c r="Z165" s="2851"/>
      <c r="AA165" s="1789"/>
    </row>
    <row r="166" spans="12:27" s="1" customFormat="1" ht="12" customHeight="1">
      <c r="L166" s="8"/>
      <c r="M166" s="8"/>
      <c r="N166" s="8"/>
      <c r="O166" s="8"/>
      <c r="Z166" s="2851"/>
      <c r="AA166" s="1789"/>
    </row>
    <row r="167" spans="12:27" s="1" customFormat="1" ht="12" customHeight="1">
      <c r="L167" s="8"/>
      <c r="M167" s="8"/>
      <c r="N167" s="8"/>
      <c r="O167" s="8"/>
      <c r="Z167" s="2851"/>
      <c r="AA167" s="1789"/>
    </row>
    <row r="168" spans="12:27" s="1" customFormat="1" ht="12" customHeight="1">
      <c r="L168" s="8"/>
      <c r="M168" s="8"/>
      <c r="N168" s="8"/>
      <c r="O168" s="8"/>
      <c r="Z168" s="2851"/>
      <c r="AA168" s="1789"/>
    </row>
    <row r="169" spans="12:27" s="1" customFormat="1" ht="12" customHeight="1">
      <c r="L169" s="8"/>
      <c r="M169" s="8"/>
      <c r="N169" s="8"/>
      <c r="O169" s="8"/>
      <c r="Z169" s="2851"/>
      <c r="AA169" s="1789"/>
    </row>
    <row r="170" spans="12:27" s="1" customFormat="1" ht="12" customHeight="1">
      <c r="L170" s="8"/>
      <c r="M170" s="8"/>
      <c r="N170" s="8"/>
      <c r="O170" s="8"/>
      <c r="Q170" s="8"/>
      <c r="R170" s="8"/>
      <c r="Z170" s="2851"/>
      <c r="AA170" s="1789"/>
    </row>
    <row r="171" spans="12:27" s="1" customFormat="1" ht="12" customHeight="1">
      <c r="L171" s="8"/>
      <c r="M171" s="8"/>
      <c r="N171" s="8"/>
      <c r="O171" s="8"/>
      <c r="Q171" s="8"/>
      <c r="R171" s="8"/>
      <c r="S171" s="8"/>
      <c r="Z171" s="2851"/>
      <c r="AA171" s="1789"/>
    </row>
    <row r="172" spans="12:27" ht="12" customHeight="1"/>
    <row r="173" spans="12:27" ht="12" customHeight="1"/>
    <row r="174" spans="12:27" ht="12" customHeight="1"/>
    <row r="175" spans="12:27" ht="12" customHeight="1"/>
  </sheetData>
  <sheetProtection algorithmName="SHA-512" hashValue="Mn2wzjRzT0XDMm1f83muYANnT04uZ/LLhHDBarrFV7jAIq/JGSSZNICvaVCLg7GfNOB6VbTTuTpv8r2d4hKsSg==" saltValue="MxkqFyOVqYDF0c6cNqtHEg=="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3 B56:K57 D32:K32 B44 B77:K102 G6 B104:K119 B121:K137 G120:K120 B59:K75"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zoomScale="80" zoomScaleNormal="80" workbookViewId="0">
      <selection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8" t="str">
        <f>CONCATENATE("PART EIGHT - THRESHOLD CRITERIA","  -  ",'Part I-Project Information'!$O$7," ",'Part I-Project Information'!$F$35,", ",'Part I-Project Information'!F39,", ",'Part I-Project Information'!J40," County")</f>
        <v>PART EIGHT - THRESHOLD CRITERIA  -  2021-015 The Peaks at Turnberry, Rincon, Effingham County</v>
      </c>
      <c r="B1" s="3609"/>
      <c r="C1" s="3609"/>
      <c r="D1" s="3609"/>
      <c r="E1" s="3609"/>
      <c r="F1" s="3609"/>
      <c r="G1" s="3609"/>
      <c r="H1" s="3609"/>
      <c r="I1" s="3609"/>
      <c r="J1" s="3609"/>
      <c r="K1" s="3609"/>
      <c r="L1" s="3609"/>
      <c r="M1" s="3609"/>
      <c r="N1" s="3609"/>
      <c r="O1" s="3609"/>
      <c r="P1" s="3609"/>
      <c r="Q1" s="3609"/>
      <c r="R1" s="4066" t="str">
        <f>'Part I-Project Information'!$B$7</f>
        <v>2021 Core App
May 10 Rev</v>
      </c>
      <c r="S1" s="4066"/>
    </row>
    <row r="2" spans="1:32" s="27" customFormat="1" ht="3" customHeight="1">
      <c r="R2" s="4066"/>
      <c r="S2" s="4066"/>
      <c r="AE2" s="115"/>
      <c r="AF2" s="115"/>
    </row>
    <row r="3" spans="1:32" ht="13.5" customHeight="1">
      <c r="A3" s="4089"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89"/>
      <c r="C3" s="4089"/>
      <c r="D3" s="4089"/>
      <c r="E3" s="4089"/>
      <c r="F3" s="4089"/>
      <c r="G3" s="4089"/>
      <c r="H3" s="4089"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89"/>
      <c r="J3" s="4089"/>
      <c r="K3" s="4089"/>
      <c r="L3" s="4089"/>
      <c r="M3" s="4089"/>
      <c r="N3" s="4090"/>
      <c r="O3" s="4091" t="s">
        <v>900</v>
      </c>
      <c r="P3" s="4092"/>
      <c r="Q3" s="2951" t="s">
        <v>1758</v>
      </c>
      <c r="R3" s="4066"/>
      <c r="S3" s="4066"/>
    </row>
    <row r="4" spans="1:32" ht="3" customHeight="1">
      <c r="A4" s="1401"/>
      <c r="B4" s="4093"/>
      <c r="C4" s="4093"/>
      <c r="D4" s="4093"/>
      <c r="E4" s="1401"/>
      <c r="F4" s="1401"/>
      <c r="G4" s="1401"/>
      <c r="H4" s="1401"/>
      <c r="I4" s="1401"/>
      <c r="J4" s="1401"/>
      <c r="K4" s="1401"/>
      <c r="L4" s="1401"/>
      <c r="M4" s="1401"/>
      <c r="N4" s="1401"/>
      <c r="P4" s="1401"/>
      <c r="Q4" s="1401"/>
      <c r="R4" s="4066"/>
      <c r="S4" s="4066"/>
    </row>
    <row r="5" spans="1:32" ht="11.1" hidden="1" customHeight="1">
      <c r="A5" s="1401"/>
      <c r="B5" s="1401"/>
      <c r="C5" s="1401"/>
      <c r="D5" s="1401"/>
      <c r="E5" s="1401"/>
      <c r="F5" s="1401"/>
      <c r="G5" s="1401"/>
      <c r="H5" s="1401"/>
      <c r="I5" s="1401"/>
      <c r="J5" s="1401"/>
      <c r="K5" s="1401"/>
      <c r="L5" s="1401"/>
      <c r="M5" s="1401"/>
      <c r="N5" s="1401"/>
      <c r="P5" s="1401"/>
      <c r="Q5" s="1401"/>
      <c r="R5" s="4066"/>
      <c r="S5" s="4066"/>
    </row>
    <row r="6" spans="1:32" ht="17.25" customHeight="1">
      <c r="A6" s="124" t="s">
        <v>538</v>
      </c>
      <c r="J6" s="4096" t="s">
        <v>3418</v>
      </c>
      <c r="K6" s="4096"/>
      <c r="L6" s="4096"/>
      <c r="M6" s="4096"/>
      <c r="N6" s="4096"/>
      <c r="O6" s="4097"/>
      <c r="P6" s="4094"/>
      <c r="Q6" s="4095"/>
      <c r="R6" s="4066"/>
      <c r="S6" s="4066"/>
    </row>
    <row r="7" spans="1:32" ht="12.6" customHeight="1">
      <c r="A7" s="125" t="s">
        <v>3188</v>
      </c>
      <c r="C7" s="126"/>
      <c r="D7" s="126"/>
      <c r="H7" s="1069"/>
      <c r="I7" s="1069"/>
      <c r="J7" s="1069"/>
      <c r="K7" s="1069"/>
      <c r="L7" s="1069"/>
      <c r="M7" s="1401"/>
      <c r="N7" s="1401"/>
    </row>
    <row r="8" spans="1:32" ht="24.6" customHeight="1">
      <c r="A8" s="4098" t="s">
        <v>1358</v>
      </c>
      <c r="B8" s="4099"/>
      <c r="C8" s="4099"/>
      <c r="D8" s="4099"/>
      <c r="E8" s="4099"/>
      <c r="F8" s="4099"/>
      <c r="G8" s="4099"/>
      <c r="H8" s="4099"/>
      <c r="I8" s="4099"/>
      <c r="J8" s="4099"/>
      <c r="K8" s="4099"/>
      <c r="L8" s="4099"/>
      <c r="M8" s="4099"/>
      <c r="N8" s="4099"/>
      <c r="O8" s="4099"/>
      <c r="P8" s="4099"/>
      <c r="Q8" s="4100"/>
      <c r="R8" s="3924" t="s">
        <v>1941</v>
      </c>
      <c r="S8" s="3131"/>
    </row>
    <row r="9" spans="1:32" ht="24.6" customHeight="1">
      <c r="A9" s="4069" t="s">
        <v>217</v>
      </c>
      <c r="B9" s="4070"/>
      <c r="C9" s="4070"/>
      <c r="D9" s="4070"/>
      <c r="E9" s="4070"/>
      <c r="F9" s="4070"/>
      <c r="G9" s="4070"/>
      <c r="H9" s="4070"/>
      <c r="I9" s="4070"/>
      <c r="J9" s="4070"/>
      <c r="K9" s="4070"/>
      <c r="L9" s="4070"/>
      <c r="M9" s="4070"/>
      <c r="N9" s="4070"/>
      <c r="O9" s="4070"/>
      <c r="P9" s="4070"/>
      <c r="Q9" s="4071"/>
      <c r="R9" s="3924"/>
      <c r="S9" s="3131"/>
    </row>
    <row r="10" spans="1:32" ht="24.6" customHeight="1">
      <c r="A10" s="4069" t="s">
        <v>1354</v>
      </c>
      <c r="B10" s="4070"/>
      <c r="C10" s="4070"/>
      <c r="D10" s="4070"/>
      <c r="E10" s="4070"/>
      <c r="F10" s="4070"/>
      <c r="G10" s="4070"/>
      <c r="H10" s="4070"/>
      <c r="I10" s="4070"/>
      <c r="J10" s="4070"/>
      <c r="K10" s="4070"/>
      <c r="L10" s="4070"/>
      <c r="M10" s="4070"/>
      <c r="N10" s="4070"/>
      <c r="O10" s="4070"/>
      <c r="P10" s="4070"/>
      <c r="Q10" s="4071"/>
      <c r="R10" s="3924"/>
      <c r="S10" s="3131"/>
    </row>
    <row r="11" spans="1:32" ht="24.6" customHeight="1">
      <c r="A11" s="4069" t="s">
        <v>1355</v>
      </c>
      <c r="B11" s="4070"/>
      <c r="C11" s="4070"/>
      <c r="D11" s="4070"/>
      <c r="E11" s="4070"/>
      <c r="F11" s="4070"/>
      <c r="G11" s="4070"/>
      <c r="H11" s="4070"/>
      <c r="I11" s="4070"/>
      <c r="J11" s="4070"/>
      <c r="K11" s="4070"/>
      <c r="L11" s="4070"/>
      <c r="M11" s="4070"/>
      <c r="N11" s="4070"/>
      <c r="O11" s="4070"/>
      <c r="P11" s="4070"/>
      <c r="Q11" s="4071"/>
      <c r="R11" s="3924"/>
      <c r="S11" s="3131"/>
    </row>
    <row r="12" spans="1:32" ht="24" customHeight="1">
      <c r="A12" s="4069" t="s">
        <v>1356</v>
      </c>
      <c r="B12" s="4070"/>
      <c r="C12" s="4070"/>
      <c r="D12" s="4070"/>
      <c r="E12" s="4070"/>
      <c r="F12" s="4070"/>
      <c r="G12" s="4070"/>
      <c r="H12" s="4070"/>
      <c r="I12" s="4070"/>
      <c r="J12" s="4070"/>
      <c r="K12" s="4070"/>
      <c r="L12" s="4070"/>
      <c r="M12" s="4070"/>
      <c r="N12" s="4070"/>
      <c r="O12" s="4070"/>
      <c r="P12" s="4070"/>
      <c r="Q12" s="4071"/>
      <c r="R12" s="2618"/>
      <c r="S12" s="2618"/>
    </row>
    <row r="13" spans="1:32" ht="11.25" customHeight="1">
      <c r="A13" s="4069" t="s">
        <v>1357</v>
      </c>
      <c r="B13" s="4070"/>
      <c r="C13" s="4070"/>
      <c r="D13" s="4070"/>
      <c r="E13" s="4070"/>
      <c r="F13" s="4070"/>
      <c r="G13" s="4070"/>
      <c r="H13" s="4070"/>
      <c r="I13" s="4070"/>
      <c r="J13" s="4070"/>
      <c r="K13" s="4070"/>
      <c r="L13" s="4070"/>
      <c r="M13" s="4070"/>
      <c r="N13" s="4070"/>
      <c r="O13" s="4070"/>
      <c r="P13" s="4070"/>
      <c r="Q13" s="4071"/>
      <c r="R13" s="2618"/>
      <c r="S13" s="2618"/>
    </row>
    <row r="14" spans="1:32" ht="11.25" customHeight="1">
      <c r="A14" s="4069" t="s">
        <v>1359</v>
      </c>
      <c r="B14" s="4070"/>
      <c r="C14" s="4070"/>
      <c r="D14" s="4070"/>
      <c r="E14" s="4070"/>
      <c r="F14" s="4070"/>
      <c r="G14" s="4070"/>
      <c r="H14" s="4070"/>
      <c r="I14" s="4070"/>
      <c r="J14" s="4070"/>
      <c r="K14" s="4070"/>
      <c r="L14" s="4070"/>
      <c r="M14" s="4070"/>
      <c r="N14" s="4070"/>
      <c r="O14" s="4070"/>
      <c r="P14" s="4070"/>
      <c r="Q14" s="4071"/>
    </row>
    <row r="15" spans="1:32" ht="11.25" customHeight="1">
      <c r="A15" s="4069" t="s">
        <v>1928</v>
      </c>
      <c r="B15" s="4070"/>
      <c r="C15" s="4070"/>
      <c r="D15" s="4070"/>
      <c r="E15" s="4070"/>
      <c r="F15" s="4070"/>
      <c r="G15" s="4070"/>
      <c r="H15" s="4070"/>
      <c r="I15" s="4070"/>
      <c r="J15" s="4070"/>
      <c r="K15" s="4070"/>
      <c r="L15" s="4070"/>
      <c r="M15" s="4070"/>
      <c r="N15" s="4070"/>
      <c r="O15" s="4070"/>
      <c r="P15" s="4070"/>
      <c r="Q15" s="4071"/>
      <c r="R15" s="3924"/>
      <c r="S15" s="3381"/>
    </row>
    <row r="16" spans="1:32" ht="11.25" customHeight="1">
      <c r="A16" s="4069" t="s">
        <v>1929</v>
      </c>
      <c r="B16" s="4070"/>
      <c r="C16" s="4070"/>
      <c r="D16" s="4070"/>
      <c r="E16" s="4070"/>
      <c r="F16" s="4070"/>
      <c r="G16" s="4070"/>
      <c r="H16" s="4070"/>
      <c r="I16" s="4070"/>
      <c r="J16" s="4070"/>
      <c r="K16" s="4070"/>
      <c r="L16" s="4070"/>
      <c r="M16" s="4070"/>
      <c r="N16" s="4070"/>
      <c r="O16" s="4070"/>
      <c r="P16" s="4070"/>
      <c r="Q16" s="4071"/>
      <c r="R16" s="3924"/>
      <c r="S16" s="3381"/>
    </row>
    <row r="17" spans="1:31" ht="11.25" customHeight="1">
      <c r="A17" s="4069" t="s">
        <v>1930</v>
      </c>
      <c r="B17" s="4070"/>
      <c r="C17" s="4070"/>
      <c r="D17" s="4070"/>
      <c r="E17" s="4070"/>
      <c r="F17" s="4070"/>
      <c r="G17" s="4070"/>
      <c r="H17" s="4070"/>
      <c r="I17" s="4070"/>
      <c r="J17" s="4070"/>
      <c r="K17" s="4070"/>
      <c r="L17" s="4070"/>
      <c r="M17" s="4070"/>
      <c r="N17" s="4070"/>
      <c r="O17" s="4070"/>
      <c r="P17" s="4070"/>
      <c r="Q17" s="4071"/>
      <c r="R17" s="3924"/>
      <c r="S17" s="3381"/>
    </row>
    <row r="18" spans="1:31" ht="11.25" customHeight="1">
      <c r="A18" s="4069" t="s">
        <v>1931</v>
      </c>
      <c r="B18" s="4070"/>
      <c r="C18" s="4070"/>
      <c r="D18" s="4070"/>
      <c r="E18" s="4070"/>
      <c r="F18" s="4070"/>
      <c r="G18" s="4070"/>
      <c r="H18" s="4070"/>
      <c r="I18" s="4070"/>
      <c r="J18" s="4070"/>
      <c r="K18" s="4070"/>
      <c r="L18" s="4070"/>
      <c r="M18" s="4070"/>
      <c r="N18" s="4070"/>
      <c r="O18" s="4070"/>
      <c r="P18" s="4070"/>
      <c r="Q18" s="4071"/>
      <c r="R18" s="3924"/>
      <c r="S18" s="3381"/>
    </row>
    <row r="19" spans="1:31" ht="11.25" customHeight="1">
      <c r="A19" s="4069" t="s">
        <v>1932</v>
      </c>
      <c r="B19" s="4070"/>
      <c r="C19" s="4070"/>
      <c r="D19" s="4070"/>
      <c r="E19" s="4070"/>
      <c r="F19" s="4070"/>
      <c r="G19" s="4070"/>
      <c r="H19" s="4070"/>
      <c r="I19" s="4070"/>
      <c r="J19" s="4070"/>
      <c r="K19" s="4070"/>
      <c r="L19" s="4070"/>
      <c r="M19" s="4070"/>
      <c r="N19" s="4070"/>
      <c r="O19" s="4070"/>
      <c r="P19" s="4070"/>
      <c r="Q19" s="4071"/>
      <c r="R19" s="3924"/>
      <c r="S19" s="3381"/>
    </row>
    <row r="20" spans="1:31" ht="11.25" customHeight="1">
      <c r="A20" s="4069" t="s">
        <v>1933</v>
      </c>
      <c r="B20" s="4070"/>
      <c r="C20" s="4070"/>
      <c r="D20" s="4070"/>
      <c r="E20" s="4070"/>
      <c r="F20" s="4070"/>
      <c r="G20" s="4070"/>
      <c r="H20" s="4070"/>
      <c r="I20" s="4070"/>
      <c r="J20" s="4070"/>
      <c r="K20" s="4070"/>
      <c r="L20" s="4070"/>
      <c r="M20" s="4070"/>
      <c r="N20" s="4070"/>
      <c r="O20" s="4070"/>
      <c r="P20" s="4070"/>
      <c r="Q20" s="4071"/>
      <c r="R20" s="3924"/>
      <c r="S20" s="3381"/>
    </row>
    <row r="21" spans="1:31" ht="11.25" customHeight="1">
      <c r="A21" s="4069" t="s">
        <v>1934</v>
      </c>
      <c r="B21" s="4070"/>
      <c r="C21" s="4070"/>
      <c r="D21" s="4070"/>
      <c r="E21" s="4070"/>
      <c r="F21" s="4070"/>
      <c r="G21" s="4070"/>
      <c r="H21" s="4070"/>
      <c r="I21" s="4070"/>
      <c r="J21" s="4070"/>
      <c r="K21" s="4070"/>
      <c r="L21" s="4070"/>
      <c r="M21" s="4070"/>
      <c r="N21" s="4070"/>
      <c r="O21" s="4070"/>
      <c r="P21" s="4070"/>
      <c r="Q21" s="4071"/>
    </row>
    <row r="22" spans="1:31" ht="11.25" customHeight="1">
      <c r="A22" s="4069" t="s">
        <v>1935</v>
      </c>
      <c r="B22" s="4070"/>
      <c r="C22" s="4070"/>
      <c r="D22" s="4070"/>
      <c r="E22" s="4070"/>
      <c r="F22" s="4070"/>
      <c r="G22" s="4070"/>
      <c r="H22" s="4070"/>
      <c r="I22" s="4070"/>
      <c r="J22" s="4070"/>
      <c r="K22" s="4070"/>
      <c r="L22" s="4070"/>
      <c r="M22" s="4070"/>
      <c r="N22" s="4070"/>
      <c r="O22" s="4070"/>
      <c r="P22" s="4070"/>
      <c r="Q22" s="4071"/>
      <c r="R22" s="3924"/>
      <c r="S22" s="3381"/>
    </row>
    <row r="23" spans="1:31" ht="11.25" customHeight="1">
      <c r="A23" s="4069" t="s">
        <v>1936</v>
      </c>
      <c r="B23" s="4070"/>
      <c r="C23" s="4070"/>
      <c r="D23" s="4070"/>
      <c r="E23" s="4070"/>
      <c r="F23" s="4070"/>
      <c r="G23" s="4070"/>
      <c r="H23" s="4070"/>
      <c r="I23" s="4070"/>
      <c r="J23" s="4070"/>
      <c r="K23" s="4070"/>
      <c r="L23" s="4070"/>
      <c r="M23" s="4070"/>
      <c r="N23" s="4070"/>
      <c r="O23" s="4070"/>
      <c r="P23" s="4070"/>
      <c r="Q23" s="4071"/>
      <c r="R23" s="3924"/>
      <c r="S23" s="3381"/>
    </row>
    <row r="24" spans="1:31" ht="11.25" customHeight="1">
      <c r="A24" s="4069" t="s">
        <v>1937</v>
      </c>
      <c r="B24" s="4070"/>
      <c r="C24" s="4070"/>
      <c r="D24" s="4070"/>
      <c r="E24" s="4070"/>
      <c r="F24" s="4070"/>
      <c r="G24" s="4070"/>
      <c r="H24" s="4070"/>
      <c r="I24" s="4070"/>
      <c r="J24" s="4070"/>
      <c r="K24" s="4070"/>
      <c r="L24" s="4070"/>
      <c r="M24" s="4070"/>
      <c r="N24" s="4070"/>
      <c r="O24" s="4070"/>
      <c r="P24" s="4070"/>
      <c r="Q24" s="4071"/>
      <c r="R24" s="3924"/>
      <c r="S24" s="3381"/>
    </row>
    <row r="25" spans="1:31" ht="11.25" customHeight="1">
      <c r="A25" s="4069" t="s">
        <v>1938</v>
      </c>
      <c r="B25" s="4070"/>
      <c r="C25" s="4070"/>
      <c r="D25" s="4070"/>
      <c r="E25" s="4070"/>
      <c r="F25" s="4070"/>
      <c r="G25" s="4070"/>
      <c r="H25" s="4070"/>
      <c r="I25" s="4070"/>
      <c r="J25" s="4070"/>
      <c r="K25" s="4070"/>
      <c r="L25" s="4070"/>
      <c r="M25" s="4070"/>
      <c r="N25" s="4070"/>
      <c r="O25" s="4070"/>
      <c r="P25" s="4070"/>
      <c r="Q25" s="4071"/>
      <c r="R25" s="3924"/>
      <c r="S25" s="3381"/>
    </row>
    <row r="26" spans="1:31" ht="11.25" customHeight="1">
      <c r="A26" s="4069" t="s">
        <v>1939</v>
      </c>
      <c r="B26" s="4070"/>
      <c r="C26" s="4070"/>
      <c r="D26" s="4070"/>
      <c r="E26" s="4070"/>
      <c r="F26" s="4070"/>
      <c r="G26" s="4070"/>
      <c r="H26" s="4070"/>
      <c r="I26" s="4070"/>
      <c r="J26" s="4070"/>
      <c r="K26" s="4070"/>
      <c r="L26" s="4070"/>
      <c r="M26" s="4070"/>
      <c r="N26" s="4070"/>
      <c r="O26" s="4070"/>
      <c r="P26" s="4070"/>
      <c r="Q26" s="4071"/>
      <c r="R26" s="3924"/>
      <c r="S26" s="3381"/>
    </row>
    <row r="27" spans="1:31" ht="11.25" customHeight="1">
      <c r="A27" s="4072" t="s">
        <v>1940</v>
      </c>
      <c r="B27" s="4073"/>
      <c r="C27" s="4073"/>
      <c r="D27" s="4073"/>
      <c r="E27" s="4073"/>
      <c r="F27" s="4073"/>
      <c r="G27" s="4073"/>
      <c r="H27" s="4073"/>
      <c r="I27" s="4073"/>
      <c r="J27" s="4073"/>
      <c r="K27" s="4073"/>
      <c r="L27" s="4073"/>
      <c r="M27" s="4073"/>
      <c r="N27" s="4073"/>
      <c r="O27" s="4073"/>
      <c r="P27" s="4073"/>
      <c r="Q27" s="4074"/>
      <c r="R27" s="3924"/>
      <c r="S27" s="3381"/>
    </row>
    <row r="28" spans="1:31" ht="6" customHeight="1"/>
    <row r="29" spans="1:31" ht="14.1" customHeight="1">
      <c r="A29" s="127" t="s">
        <v>586</v>
      </c>
      <c r="B29" s="128" t="s">
        <v>2511</v>
      </c>
      <c r="C29" s="129"/>
      <c r="D29" s="86"/>
      <c r="E29" s="86"/>
      <c r="F29" s="86"/>
      <c r="G29" s="86"/>
      <c r="I29" s="2667"/>
      <c r="J29" s="2667"/>
      <c r="K29" s="2667"/>
      <c r="L29" s="1401"/>
      <c r="M29" s="1401"/>
      <c r="O29" s="130" t="s">
        <v>1782</v>
      </c>
      <c r="P29" s="3969"/>
      <c r="Q29" s="3970"/>
    </row>
    <row r="30" spans="1:31" ht="3" customHeight="1"/>
    <row r="31" spans="1:31" ht="11.25" customHeight="1">
      <c r="B31" s="66" t="s">
        <v>3373</v>
      </c>
      <c r="C31" s="66"/>
      <c r="D31" s="66"/>
      <c r="E31" s="66"/>
      <c r="F31" s="66"/>
      <c r="G31" s="2667"/>
      <c r="H31" s="2667"/>
      <c r="I31" s="2667"/>
      <c r="J31" s="2667"/>
      <c r="K31" s="1401"/>
      <c r="L31" s="1401"/>
      <c r="M31" s="1401"/>
      <c r="N31" s="1401"/>
      <c r="O31" s="1401"/>
      <c r="P31" s="782"/>
      <c r="S31" s="156"/>
      <c r="T31" s="156"/>
    </row>
    <row r="32" spans="1:31" ht="69.75" customHeight="1">
      <c r="A32" s="3966" t="s">
        <v>6900</v>
      </c>
      <c r="B32" s="3967"/>
      <c r="C32" s="3967"/>
      <c r="D32" s="3967"/>
      <c r="E32" s="3967"/>
      <c r="F32" s="3967"/>
      <c r="G32" s="3967"/>
      <c r="H32" s="3967"/>
      <c r="I32" s="3967"/>
      <c r="J32" s="3967"/>
      <c r="K32" s="3967"/>
      <c r="L32" s="3967"/>
      <c r="M32" s="3967"/>
      <c r="N32" s="3967"/>
      <c r="O32" s="3967"/>
      <c r="P32" s="3967"/>
      <c r="Q32" s="3968"/>
      <c r="R32" s="427" t="s">
        <v>1208</v>
      </c>
      <c r="S32" s="428"/>
      <c r="T32" s="156"/>
      <c r="U32" s="134"/>
      <c r="V32" s="134"/>
      <c r="W32" s="134"/>
      <c r="X32" s="134"/>
      <c r="Y32" s="134"/>
      <c r="Z32" s="134"/>
      <c r="AA32" s="134"/>
      <c r="AB32" s="134"/>
      <c r="AC32" s="134"/>
      <c r="AD32" s="134"/>
      <c r="AE32" s="441"/>
    </row>
    <row r="33" spans="1:295" ht="11.25" customHeight="1">
      <c r="B33" s="135" t="s">
        <v>1781</v>
      </c>
      <c r="C33" s="136"/>
      <c r="D33" s="2654"/>
      <c r="E33" s="2654"/>
      <c r="F33" s="2654"/>
      <c r="G33" s="2654"/>
      <c r="H33" s="2654"/>
      <c r="I33" s="2654"/>
      <c r="J33" s="2654"/>
      <c r="K33" s="2654"/>
      <c r="L33" s="2654"/>
      <c r="M33" s="2654"/>
      <c r="N33" s="2654"/>
      <c r="O33" s="2654"/>
      <c r="P33" s="2654"/>
    </row>
    <row r="34" spans="1:295" ht="36" customHeight="1">
      <c r="A34" s="4075"/>
      <c r="B34" s="4075"/>
      <c r="C34" s="4075"/>
      <c r="D34" s="4075"/>
      <c r="E34" s="4075"/>
      <c r="F34" s="4075"/>
      <c r="G34" s="4075"/>
      <c r="H34" s="4075"/>
      <c r="I34" s="4075"/>
      <c r="J34" s="4075"/>
      <c r="K34" s="4075"/>
      <c r="L34" s="4075"/>
      <c r="M34" s="4075"/>
      <c r="N34" s="4075"/>
      <c r="O34" s="4075"/>
      <c r="P34" s="4075"/>
      <c r="Q34" s="4075"/>
      <c r="R34" s="427" t="s">
        <v>1208</v>
      </c>
      <c r="S34" s="428"/>
    </row>
    <row r="35" spans="1:295" ht="3" customHeight="1">
      <c r="B35" s="2667"/>
      <c r="C35" s="2654"/>
      <c r="D35" s="2654"/>
      <c r="E35" s="2654"/>
      <c r="F35" s="2654"/>
      <c r="G35" s="2654"/>
      <c r="H35" s="2654"/>
      <c r="I35" s="2654"/>
      <c r="J35" s="2654"/>
      <c r="K35" s="2654"/>
      <c r="L35" s="2654"/>
      <c r="M35" s="2654"/>
      <c r="N35" s="2654"/>
      <c r="O35" s="2654"/>
      <c r="P35" s="2654"/>
      <c r="Q35" s="1401"/>
    </row>
    <row r="36" spans="1:295" ht="12.75" customHeight="1">
      <c r="A36" s="2648" t="s">
        <v>710</v>
      </c>
      <c r="B36" s="4" t="s">
        <v>2559</v>
      </c>
      <c r="C36" s="4"/>
      <c r="D36" s="4"/>
      <c r="E36" s="2654"/>
      <c r="G36" s="555"/>
      <c r="H36" s="555"/>
      <c r="I36" s="555"/>
      <c r="J36" s="42"/>
      <c r="L36" s="556"/>
      <c r="M36" s="556"/>
      <c r="N36" s="556"/>
      <c r="O36" s="130" t="s">
        <v>1782</v>
      </c>
      <c r="P36" s="3969"/>
      <c r="Q36" s="3970"/>
    </row>
    <row r="37" spans="1:295" ht="11.25" customHeight="1">
      <c r="A37" s="4088"/>
      <c r="B37" s="4088"/>
      <c r="C37" s="4088"/>
      <c r="D37" s="4088"/>
      <c r="E37" s="4088"/>
      <c r="F37" s="1324"/>
      <c r="G37" s="4076" t="s">
        <v>2563</v>
      </c>
      <c r="H37" s="4077"/>
      <c r="I37" s="559"/>
      <c r="J37" s="42"/>
      <c r="K37" s="4078" t="s">
        <v>3287</v>
      </c>
      <c r="L37" s="4079"/>
      <c r="M37" s="4079"/>
      <c r="N37" s="4080"/>
    </row>
    <row r="38" spans="1:295" ht="11.25" customHeight="1">
      <c r="A38" s="4088"/>
      <c r="B38" s="4088"/>
      <c r="C38" s="4088"/>
      <c r="D38" s="4088"/>
      <c r="E38" s="4088"/>
      <c r="F38" s="1324"/>
      <c r="G38" s="4081" t="s">
        <v>335</v>
      </c>
      <c r="H38" s="4082"/>
      <c r="I38" s="559"/>
      <c r="J38" s="42"/>
      <c r="K38" s="4109" t="s">
        <v>3288</v>
      </c>
      <c r="L38" s="4110"/>
      <c r="M38" s="4110"/>
      <c r="N38" s="4111"/>
      <c r="P38" s="488" t="s">
        <v>2574</v>
      </c>
      <c r="Q38" s="2489" t="s">
        <v>2770</v>
      </c>
    </row>
    <row r="39" spans="1:295" ht="4.5" customHeight="1">
      <c r="A39" s="1324"/>
      <c r="B39" s="1324"/>
      <c r="C39" s="1324"/>
      <c r="D39" s="1324"/>
      <c r="E39" s="1324"/>
      <c r="F39" s="1324"/>
      <c r="G39" s="211"/>
      <c r="H39" s="211"/>
      <c r="I39" s="211"/>
      <c r="J39" s="42"/>
      <c r="K39" s="4112"/>
      <c r="L39" s="4112"/>
      <c r="M39" s="4112"/>
      <c r="N39" s="4112"/>
      <c r="P39" s="4085" t="s">
        <v>4136</v>
      </c>
      <c r="Q39" s="4085"/>
    </row>
    <row r="40" spans="1:295" s="82" customFormat="1" ht="10.5" customHeight="1">
      <c r="D40" s="560" t="s">
        <v>2562</v>
      </c>
      <c r="E40" s="35"/>
      <c r="F40" s="561" t="s">
        <v>3189</v>
      </c>
      <c r="G40" s="4113" t="s">
        <v>4080</v>
      </c>
      <c r="H40" s="4113"/>
      <c r="I40" s="4113"/>
      <c r="J40" s="35"/>
      <c r="K40" s="561" t="s">
        <v>3189</v>
      </c>
      <c r="L40" s="4113" t="s">
        <v>4079</v>
      </c>
      <c r="M40" s="4113"/>
      <c r="N40" s="4113"/>
      <c r="O40" s="35"/>
      <c r="P40" s="4085"/>
      <c r="Q40" s="4085"/>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68" t="s">
        <v>3119</v>
      </c>
      <c r="B41" s="4068"/>
      <c r="C41" s="4068"/>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177609.60000000001</v>
      </c>
      <c r="H41" s="40" t="str">
        <f>CONCATENATE("x ", F41," units = ")</f>
        <v xml:space="preserve">x  units = </v>
      </c>
      <c r="I41" s="1323" t="str">
        <f>IF(F41="","",F41*G41)</f>
        <v/>
      </c>
      <c r="J41" s="42"/>
      <c r="K41" s="1322" t="str">
        <f>IF('Part VI-Revenues &amp; Expenses'!$K$148 =0,"",'Part VI-Revenues &amp; Expenses'!$K$148)</f>
        <v/>
      </c>
      <c r="L41" s="756">
        <f>G41*(1+'DCA Underwriting Assumptions'!$Q$12)</f>
        <v>195370.56000000003</v>
      </c>
      <c r="M41" s="40" t="str">
        <f>CONCATENATE("x ", K41," units = ")</f>
        <v xml:space="preserve">x  units = </v>
      </c>
      <c r="N41" s="1323" t="str">
        <f>IF(K41="","",K41*L41)</f>
        <v/>
      </c>
      <c r="O41" s="2654"/>
      <c r="P41" s="4086"/>
      <c r="Q41" s="4086"/>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68"/>
      <c r="B42" s="4068"/>
      <c r="C42" s="4068"/>
      <c r="D42" s="754" t="s">
        <v>2330</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220083.55</v>
      </c>
      <c r="H42" s="40" t="str">
        <f>CONCATENATE("x ", F42," units = ")</f>
        <v xml:space="preserve">x  units = </v>
      </c>
      <c r="I42" s="1323" t="str">
        <f>IF(F42="","",F42*G42)</f>
        <v/>
      </c>
      <c r="J42" s="42"/>
      <c r="K42" s="1322" t="str">
        <f>IF('Part VI-Revenues &amp; Expenses'!$L$148 =0,"",'Part VI-Revenues &amp; Expenses'!$L$148)</f>
        <v/>
      </c>
      <c r="L42" s="756">
        <f>G42*(1+'DCA Underwriting Assumptions'!$Q$12)</f>
        <v>242091.905</v>
      </c>
      <c r="M42" s="40" t="str">
        <f>CONCATENATE("x ", K42," units = ")</f>
        <v xml:space="preserve">x  units = </v>
      </c>
      <c r="N42" s="1323" t="str">
        <f>IF(K42="","",K42*L42)</f>
        <v/>
      </c>
      <c r="O42" s="2654"/>
      <c r="P42" s="4121" t="str">
        <f>IF('Part I-Project Information'!$F$39="","",VLOOKUP('Part I-Project Information'!$J$40,'DCA Underwriting Assumptions'!$G$174:$N$333,8,FALSE))</f>
        <v>Savannah</v>
      </c>
      <c r="Q42" s="4122"/>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68"/>
      <c r="B43" s="4068"/>
      <c r="C43" s="4068"/>
      <c r="D43" s="754" t="s">
        <v>2331</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263232.69999999995</v>
      </c>
      <c r="H43" s="40" t="str">
        <f>CONCATENATE("x ", F43," units = ")</f>
        <v xml:space="preserve">x  units = </v>
      </c>
      <c r="I43" s="1323" t="str">
        <f>IF(F43="","",F43*G43)</f>
        <v/>
      </c>
      <c r="J43" s="42"/>
      <c r="K43" s="1322" t="str">
        <f>IF('Part VI-Revenues &amp; Expenses'!$M$148 =0,"",'Part VI-Revenues &amp; Expenses'!$M$148)</f>
        <v/>
      </c>
      <c r="L43" s="756">
        <f>G43*(1+'DCA Underwriting Assumptions'!$Q$12)</f>
        <v>289555.96999999997</v>
      </c>
      <c r="M43" s="40" t="str">
        <f>CONCATENATE("x ", K43," units = ")</f>
        <v xml:space="preserve">x  units = </v>
      </c>
      <c r="N43" s="1323" t="str">
        <f>IF(K43="","",K43*L43)</f>
        <v/>
      </c>
      <c r="O43" s="2654"/>
      <c r="P43" s="4123"/>
      <c r="Q43" s="4124"/>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68"/>
      <c r="B44" s="4068"/>
      <c r="C44" s="4068"/>
      <c r="D44" s="754" t="s">
        <v>2332</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300066.80000000005</v>
      </c>
      <c r="H44" s="40" t="str">
        <f>CONCATENATE("x ", F44," units = ")</f>
        <v xml:space="preserve">x  units = </v>
      </c>
      <c r="I44" s="1323" t="str">
        <f>IF(F44="","",F44*G44)</f>
        <v/>
      </c>
      <c r="J44" s="42"/>
      <c r="K44" s="1322" t="str">
        <f>IF('Part VI-Revenues &amp; Expenses'!$N$148 =0,"",'Part VI-Revenues &amp; Expenses'!$N$148)</f>
        <v/>
      </c>
      <c r="L44" s="756">
        <f>G44*(1+'DCA Underwriting Assumptions'!$Q$12)</f>
        <v>330073.4800000001</v>
      </c>
      <c r="M44" s="40" t="str">
        <f>CONCATENATE("x ", K44," units = ")</f>
        <v xml:space="preserve">x  units = </v>
      </c>
      <c r="N44" s="1323" t="str">
        <f>IF(K44="","",K44*L44)</f>
        <v/>
      </c>
      <c r="O44" s="2654"/>
      <c r="P44" s="4067" t="s">
        <v>4137</v>
      </c>
      <c r="Q44" s="4067"/>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2333</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353446.5</v>
      </c>
      <c r="H45" s="40" t="str">
        <f>CONCATENATE("x ", F45," units = ")</f>
        <v xml:space="preserve">x  units = </v>
      </c>
      <c r="I45" s="1323" t="str">
        <f>IF(F45="","",F45*G45)</f>
        <v/>
      </c>
      <c r="J45" s="42"/>
      <c r="K45" s="1322" t="str">
        <f>IF('Part VI-Revenues &amp; Expenses'!$O$148 =0,"",'Part VI-Revenues &amp; Expenses'!$O$148)</f>
        <v/>
      </c>
      <c r="L45" s="756">
        <f>G45*(1+'DCA Underwriting Assumptions'!$Q$12)</f>
        <v>388791.15</v>
      </c>
      <c r="M45" s="40" t="str">
        <f>CONCATENATE("x ", K45," units = ")</f>
        <v xml:space="preserve">x  units = </v>
      </c>
      <c r="N45" s="1323" t="str">
        <f>IF(K45="","",K45*L45)</f>
        <v/>
      </c>
      <c r="O45" s="2654"/>
      <c r="P45" s="4083">
        <f>'Part IV-A-Uses of Funds'!$G$146</f>
        <v>11756729</v>
      </c>
      <c r="Q45" s="4084"/>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3123</v>
      </c>
      <c r="E46" s="131"/>
      <c r="F46" s="946">
        <f>SUM(F41:F45)</f>
        <v>0</v>
      </c>
      <c r="G46" s="562"/>
      <c r="H46" s="947"/>
      <c r="I46" s="948">
        <f>SUM(I41:I45)</f>
        <v>0</v>
      </c>
      <c r="J46" s="949"/>
      <c r="K46" s="946">
        <f>SUM(K41:K45)</f>
        <v>0</v>
      </c>
      <c r="L46" s="949"/>
      <c r="M46" s="947"/>
      <c r="N46" s="948">
        <f>SUM(N41:N45)</f>
        <v>0</v>
      </c>
      <c r="O46" s="2654"/>
      <c r="P46" s="4067" t="s">
        <v>4123</v>
      </c>
      <c r="Q46" s="4067"/>
      <c r="R46" s="4087" t="s">
        <v>6613</v>
      </c>
      <c r="S46" s="4087"/>
      <c r="T46" s="4087"/>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9"/>
      <c r="J47" s="126"/>
      <c r="K47" s="563"/>
      <c r="L47" s="126"/>
      <c r="M47" s="2654"/>
      <c r="N47" s="2659"/>
      <c r="O47" s="2654"/>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68" t="s">
        <v>3114</v>
      </c>
      <c r="B48" s="4068"/>
      <c r="C48" s="4068"/>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153390</v>
      </c>
      <c r="H48" s="40" t="str">
        <f>CONCATENATE("x ", F48," units = ")</f>
        <v xml:space="preserve">x  units = </v>
      </c>
      <c r="I48" s="1323" t="str">
        <f>IF(F48="","",F48*G48)</f>
        <v/>
      </c>
      <c r="J48" s="42"/>
      <c r="K48" s="1322" t="str">
        <f>IF('Part VI-Revenues &amp; Expenses'!$K$150 =0,"",'Part VI-Revenues &amp; Expenses'!$K$150)</f>
        <v/>
      </c>
      <c r="L48" s="756">
        <f>G48*(1+'DCA Underwriting Assumptions'!$Q$12)</f>
        <v>168729</v>
      </c>
      <c r="M48" s="40" t="str">
        <f>CONCATENATE("x ", K48," units = ")</f>
        <v xml:space="preserve">x  units = </v>
      </c>
      <c r="N48" s="1323" t="str">
        <f>IF(K48="","",K48*L48)</f>
        <v/>
      </c>
      <c r="P48" s="4083">
        <f>'Part IV-A-Uses of Funds'!$G$146-'Part IV-A-Uses of Funds'!$G$92-'Part IV-A-Uses of Funds'!$G$114-'Part IV-A-Uses of Funds'!$G$130-'Part IV-A-Uses of Funds'!$G$131-'Part IV-A-Uses of Funds'!$G$132</f>
        <v>11064184</v>
      </c>
      <c r="Q48" s="4084"/>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68"/>
      <c r="B49" s="4068"/>
      <c r="C49" s="4068"/>
      <c r="D49" s="754" t="s">
        <v>2330</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191784.34999999998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210962.785</v>
      </c>
      <c r="M49" s="40" t="str">
        <f>CONCATENATE("x ", K49," units = ")</f>
        <v xml:space="preserve">x  units = </v>
      </c>
      <c r="N49" s="1323" t="str">
        <f>IF(K49="","",K49*L49)</f>
        <v/>
      </c>
      <c r="P49" s="4125" t="s">
        <v>3514</v>
      </c>
      <c r="Q49" s="4125"/>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68"/>
      <c r="B50" s="4068"/>
      <c r="C50" s="4068"/>
      <c r="D50" s="754" t="s">
        <v>2331</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232242.49999999997</v>
      </c>
      <c r="H50" s="40" t="str">
        <f>CONCATENATE("x ", F50," units = ")</f>
        <v xml:space="preserve">x  units = </v>
      </c>
      <c r="I50" s="1323" t="str">
        <f>IF(F50="","",F50*G50)</f>
        <v/>
      </c>
      <c r="J50" s="42"/>
      <c r="K50" s="1322" t="str">
        <f>IF('Part VI-Revenues &amp; Expenses'!$M$150 =0,"",'Part VI-Revenues &amp; Expenses'!$M$150)</f>
        <v/>
      </c>
      <c r="L50" s="756">
        <f>G50*(1+'DCA Underwriting Assumptions'!$Q$12)</f>
        <v>255466.75</v>
      </c>
      <c r="M50" s="40" t="str">
        <f>CONCATENATE("x ", K50," units = ")</f>
        <v xml:space="preserve">x  units = </v>
      </c>
      <c r="N50" s="1323" t="str">
        <f>IF(K50="","",K50*L50)</f>
        <v/>
      </c>
      <c r="O50" s="514"/>
      <c r="P50" s="4126"/>
      <c r="Q50" s="4127"/>
      <c r="R50" s="396"/>
      <c r="S50" s="4141" t="s">
        <v>4126</v>
      </c>
      <c r="T50" s="4142"/>
      <c r="U50" s="4142"/>
      <c r="V50" s="4143"/>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2332</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270867.30000000005</v>
      </c>
      <c r="H51" s="40" t="str">
        <f>CONCATENATE("x ", F51," units = ")</f>
        <v xml:space="preserve">x  units = </v>
      </c>
      <c r="I51" s="1323" t="str">
        <f>IF(F51="","",F51*G51)</f>
        <v/>
      </c>
      <c r="J51" s="42"/>
      <c r="K51" s="1322" t="str">
        <f>IF('Part VI-Revenues &amp; Expenses'!$N$150 =0,"",'Part VI-Revenues &amp; Expenses'!$N$150)</f>
        <v/>
      </c>
      <c r="L51" s="756">
        <f>G51*(1+'DCA Underwriting Assumptions'!$Q$12)</f>
        <v>297954.03000000009</v>
      </c>
      <c r="M51" s="40" t="str">
        <f>CONCATENATE("x ", K51," units = ")</f>
        <v xml:space="preserve">x  units = </v>
      </c>
      <c r="N51" s="1323" t="str">
        <f>IF(K51="","",K51*L51)</f>
        <v/>
      </c>
      <c r="O51" s="514"/>
      <c r="P51" s="4128"/>
      <c r="Q51" s="4129"/>
      <c r="S51" s="4144"/>
      <c r="T51" s="4145"/>
      <c r="U51" s="4145"/>
      <c r="V51" s="4146"/>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2333</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320824.90000000002</v>
      </c>
      <c r="H52" s="40" t="str">
        <f>CONCATENATE("x ", F52," units = ")</f>
        <v xml:space="preserve">x  units = </v>
      </c>
      <c r="I52" s="1323" t="str">
        <f>IF(F52="","",F52*G52)</f>
        <v/>
      </c>
      <c r="J52" s="42"/>
      <c r="K52" s="1322" t="str">
        <f>IF('Part VI-Revenues &amp; Expenses'!$O$150 =0,"",'Part VI-Revenues &amp; Expenses'!$O$150)</f>
        <v/>
      </c>
      <c r="L52" s="756">
        <f>G52*(1+'DCA Underwriting Assumptions'!$Q$12)</f>
        <v>352907.39000000007</v>
      </c>
      <c r="M52" s="40" t="str">
        <f>CONCATENATE("x ", K52," units = ")</f>
        <v xml:space="preserve">x  units = </v>
      </c>
      <c r="N52" s="1323" t="str">
        <f>IF(K52="","",K52*L52)</f>
        <v/>
      </c>
      <c r="O52" s="514"/>
      <c r="P52" s="4114" t="s">
        <v>3283</v>
      </c>
      <c r="Q52" s="4114"/>
      <c r="S52" s="4144"/>
      <c r="T52" s="4145"/>
      <c r="U52" s="4145"/>
      <c r="V52" s="4146"/>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3123</v>
      </c>
      <c r="E53" s="131"/>
      <c r="F53" s="946">
        <f>SUM(F48:F52)</f>
        <v>0</v>
      </c>
      <c r="G53" s="562"/>
      <c r="H53" s="947"/>
      <c r="I53" s="948">
        <f>SUM(I48:I52)</f>
        <v>0</v>
      </c>
      <c r="J53" s="949"/>
      <c r="K53" s="946">
        <f>SUM(K48:K52)</f>
        <v>0</v>
      </c>
      <c r="L53" s="949"/>
      <c r="M53" s="947"/>
      <c r="N53" s="948">
        <f>SUM(N48:N52)</f>
        <v>0</v>
      </c>
      <c r="O53" s="514"/>
      <c r="P53" s="954" t="s">
        <v>3010</v>
      </c>
      <c r="Q53" s="954" t="s">
        <v>245</v>
      </c>
      <c r="R53" s="396"/>
      <c r="S53" s="4144"/>
      <c r="T53" s="4145"/>
      <c r="U53" s="4145"/>
      <c r="V53" s="4146"/>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9"/>
      <c r="J54" s="35"/>
      <c r="K54" s="563"/>
      <c r="L54" s="35"/>
      <c r="M54" s="2654"/>
      <c r="N54" s="2659"/>
      <c r="O54" s="514"/>
      <c r="R54" s="396"/>
      <c r="S54" s="4144"/>
      <c r="T54" s="4145"/>
      <c r="U54" s="4145"/>
      <c r="V54" s="4146"/>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3115</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137608.79999999999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151369.68</v>
      </c>
      <c r="M55" s="40" t="str">
        <f>CONCATENATE("x ", K55," units = ")</f>
        <v xml:space="preserve">x  units = </v>
      </c>
      <c r="N55" s="1323" t="str">
        <f>IF(K55="","",K55*L55)</f>
        <v/>
      </c>
      <c r="O55" s="514"/>
      <c r="P55" s="953">
        <f>'Part IX Scoring Criteria'!O330</f>
        <v>0</v>
      </c>
      <c r="Q55" s="953">
        <f>'Part IX Scoring Criteria'!P330</f>
        <v>0</v>
      </c>
      <c r="R55" s="396"/>
      <c r="S55" s="4144"/>
      <c r="T55" s="4145"/>
      <c r="U55" s="4145"/>
      <c r="V55" s="4146"/>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2330</v>
      </c>
      <c r="E56" s="755">
        <v>1</v>
      </c>
      <c r="F56" s="1322">
        <f>IF('Part VI-Revenues &amp; Expenses'!$L$151 =0,"",'Part VI-Revenues &amp; Expenses'!$L$151)</f>
        <v>12</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179842.75</v>
      </c>
      <c r="H56" s="40" t="str">
        <f>CONCATENATE("x ", F56," units = ")</f>
        <v xml:space="preserve">x 12 units = </v>
      </c>
      <c r="I56" s="1323">
        <f>IF(F56="","",F56*G56)</f>
        <v>2158113</v>
      </c>
      <c r="J56" s="42"/>
      <c r="K56" s="1322" t="str">
        <f>IF('Part VI-Revenues &amp; Expenses'!$L$152 =0,"",'Part VI-Revenues &amp; Expenses'!$L$152)</f>
        <v/>
      </c>
      <c r="L56" s="756">
        <f>G56*(1+'DCA Underwriting Assumptions'!$Q$12)</f>
        <v>197827.02500000002</v>
      </c>
      <c r="M56" s="40" t="str">
        <f>CONCATENATE("x ", K56," units = ")</f>
        <v xml:space="preserve">x  units = </v>
      </c>
      <c r="N56" s="1323" t="str">
        <f>IF(K56="","",K56*L56)</f>
        <v/>
      </c>
      <c r="P56" s="4114" t="s">
        <v>3284</v>
      </c>
      <c r="Q56" s="4114"/>
      <c r="S56" s="4144"/>
      <c r="T56" s="4145"/>
      <c r="U56" s="4145"/>
      <c r="V56" s="4146"/>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2331</v>
      </c>
      <c r="E57" s="755">
        <v>2</v>
      </c>
      <c r="F57" s="1322">
        <f>IF('Part VI-Revenues &amp; Expenses'!$M$151 =0,"",'Part VI-Revenues &amp; Expenses'!$M$151)</f>
        <v>24</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227650.55</v>
      </c>
      <c r="H57" s="40" t="str">
        <f>CONCATENATE("x ", F57," units = ")</f>
        <v xml:space="preserve">x 24 units = </v>
      </c>
      <c r="I57" s="1323">
        <f>IF(F57="","",F57*G57)</f>
        <v>5463613.1999999993</v>
      </c>
      <c r="J57" s="42"/>
      <c r="K57" s="1322" t="str">
        <f>IF('Part VI-Revenues &amp; Expenses'!$M$152 =0,"",'Part VI-Revenues &amp; Expenses'!$M$152)</f>
        <v/>
      </c>
      <c r="L57" s="756">
        <f>G57*(1+'DCA Underwriting Assumptions'!$Q$12)</f>
        <v>250415.60500000001</v>
      </c>
      <c r="M57" s="40" t="str">
        <f>CONCATENATE("x ", K57," units = ")</f>
        <v xml:space="preserve">x  units = </v>
      </c>
      <c r="N57" s="1323" t="str">
        <f>IF(K57="","",K57*L57)</f>
        <v/>
      </c>
      <c r="P57" s="954" t="s">
        <v>3010</v>
      </c>
      <c r="Q57" s="954" t="s">
        <v>245</v>
      </c>
      <c r="S57" s="4144"/>
      <c r="T57" s="4145"/>
      <c r="U57" s="4145"/>
      <c r="V57" s="4146"/>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2332</v>
      </c>
      <c r="E58" s="755">
        <v>3</v>
      </c>
      <c r="F58" s="1322">
        <f>IF('Part VI-Revenues &amp; Expenses'!$N$151 =0,"",'Part VI-Revenues &amp; Expenses'!$N$151)</f>
        <v>12</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286873.40000000002</v>
      </c>
      <c r="H58" s="40" t="str">
        <f>CONCATENATE("x ", F58," units = ")</f>
        <v xml:space="preserve">x 12 units = </v>
      </c>
      <c r="I58" s="1323">
        <f>IF(F58="","",F58*G58)</f>
        <v>3442480.8000000003</v>
      </c>
      <c r="J58" s="42"/>
      <c r="K58" s="1322" t="str">
        <f>IF('Part VI-Revenues &amp; Expenses'!$N$152 =0,"",'Part VI-Revenues &amp; Expenses'!$N$152)</f>
        <v/>
      </c>
      <c r="L58" s="756">
        <f>G58*(1+'DCA Underwriting Assumptions'!$Q$12)</f>
        <v>315560.74000000005</v>
      </c>
      <c r="M58" s="40" t="str">
        <f>CONCATENATE("x ", K58," units = ")</f>
        <v xml:space="preserve">x  units = </v>
      </c>
      <c r="N58" s="1323" t="str">
        <f>IF(K58="","",K58*L58)</f>
        <v/>
      </c>
      <c r="O58" s="514"/>
      <c r="P58" s="953">
        <f>'Part IX Scoring Criteria'!O108</f>
        <v>2</v>
      </c>
      <c r="Q58" s="953">
        <f>'Part IX Scoring Criteria'!P108</f>
        <v>0</v>
      </c>
      <c r="S58" s="4144"/>
      <c r="T58" s="4145"/>
      <c r="U58" s="4145"/>
      <c r="V58" s="4146"/>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2333</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355345.10000000003</v>
      </c>
      <c r="H59" s="40" t="str">
        <f>CONCATENATE("x ", F59," units = ")</f>
        <v xml:space="preserve">x  units = </v>
      </c>
      <c r="I59" s="1323" t="str">
        <f>IF(F59="","",F59*G59)</f>
        <v/>
      </c>
      <c r="J59" s="42"/>
      <c r="K59" s="1322" t="str">
        <f>IF('Part VI-Revenues &amp; Expenses'!$O$152 =0,"",'Part VI-Revenues &amp; Expenses'!$O$152)</f>
        <v/>
      </c>
      <c r="L59" s="756">
        <f>G59*(1+'DCA Underwriting Assumptions'!$Q$12)</f>
        <v>390879.61000000004</v>
      </c>
      <c r="M59" s="40" t="str">
        <f>CONCATENATE("x ", K59," units = ")</f>
        <v xml:space="preserve">x  units = </v>
      </c>
      <c r="N59" s="1323" t="str">
        <f>IF(K59="","",K59*L59)</f>
        <v/>
      </c>
      <c r="O59" s="514"/>
      <c r="P59" s="4115" t="s">
        <v>2598</v>
      </c>
      <c r="Q59" s="4115"/>
      <c r="S59" s="4144"/>
      <c r="T59" s="4145"/>
      <c r="U59" s="4145"/>
      <c r="V59" s="4146"/>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3123</v>
      </c>
      <c r="E60" s="131"/>
      <c r="F60" s="946">
        <f>SUM(F55:F59)</f>
        <v>48</v>
      </c>
      <c r="G60" s="562"/>
      <c r="H60" s="947"/>
      <c r="I60" s="948">
        <f>SUM(I55:I59)</f>
        <v>11064207</v>
      </c>
      <c r="J60" s="949"/>
      <c r="K60" s="946">
        <f>SUM(K55:K59)</f>
        <v>0</v>
      </c>
      <c r="L60" s="949"/>
      <c r="M60" s="947"/>
      <c r="N60" s="948">
        <f>SUM(N55:N59)</f>
        <v>0</v>
      </c>
      <c r="O60" s="514"/>
      <c r="P60" s="4115"/>
      <c r="Q60" s="4115"/>
      <c r="S60" s="4144"/>
      <c r="T60" s="4145"/>
      <c r="U60" s="4145"/>
      <c r="V60" s="4146"/>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9"/>
      <c r="J61" s="35"/>
      <c r="K61" s="563"/>
      <c r="L61" s="35"/>
      <c r="M61" s="2654"/>
      <c r="N61" s="2659"/>
      <c r="O61" s="514"/>
      <c r="P61" s="4115"/>
      <c r="Q61" s="4115"/>
      <c r="R61" s="396"/>
      <c r="S61" s="4144"/>
      <c r="T61" s="4145"/>
      <c r="U61" s="4145"/>
      <c r="V61" s="4146"/>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3116</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138457.19999999998</v>
      </c>
      <c r="H62" s="40" t="str">
        <f>CONCATENATE("x ", F62," units = ")</f>
        <v xml:space="preserve">x  units = </v>
      </c>
      <c r="I62" s="1323" t="str">
        <f>IF(F62="","",F62*G62)</f>
        <v/>
      </c>
      <c r="J62" s="42"/>
      <c r="K62" s="1322" t="str">
        <f>IF('Part VI-Revenues &amp; Expenses'!$K$154 =0,"",'Part VI-Revenues &amp; Expenses'!$K$154)</f>
        <v/>
      </c>
      <c r="L62" s="756">
        <f>G62*(1+'DCA Underwriting Assumptions'!$Q$12)</f>
        <v>152302.91999999998</v>
      </c>
      <c r="M62" s="40" t="str">
        <f>CONCATENATE("x ", K62," units = ")</f>
        <v xml:space="preserve">x  units = </v>
      </c>
      <c r="N62" s="1323" t="str">
        <f>IF(K62="","",K62*L62)</f>
        <v/>
      </c>
      <c r="O62" s="514"/>
      <c r="P62" s="4116"/>
      <c r="Q62" s="4116"/>
      <c r="R62" s="396"/>
      <c r="S62" s="4147"/>
      <c r="T62" s="4148"/>
      <c r="U62" s="4148"/>
      <c r="V62" s="4149"/>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2330</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185762.94999999998</v>
      </c>
      <c r="H63" s="40" t="str">
        <f>CONCATENATE("x ", F63," units = ")</f>
        <v xml:space="preserve">x  units = </v>
      </c>
      <c r="I63" s="1323" t="str">
        <f>IF(F63="","",F63*G63)</f>
        <v/>
      </c>
      <c r="J63" s="42"/>
      <c r="K63" s="1322" t="str">
        <f>IF('Part VI-Revenues &amp; Expenses'!$L$154 =0,"",'Part VI-Revenues &amp; Expenses'!$L$154)</f>
        <v/>
      </c>
      <c r="L63" s="756">
        <f>G63*(1+'DCA Underwriting Assumptions'!$Q$12)</f>
        <v>204339.245</v>
      </c>
      <c r="M63" s="40" t="str">
        <f>CONCATENATE("x ", K63," units = ")</f>
        <v xml:space="preserve">x  units = </v>
      </c>
      <c r="N63" s="1323" t="str">
        <f>IF(K63="","",K63*L63)</f>
        <v/>
      </c>
      <c r="O63" s="514"/>
      <c r="P63" s="4117">
        <f>IF(P50&gt;1,P50, IF(OR('Part IX Scoring Criteria'!$O$108='Part IX Scoring Criteria'!$M$108,AND('Part IV-A-Uses of Funds'!$T$185="Yes",'Part IX Scoring Criteria'!$O$330&gt;0)),H69+M69,H69))</f>
        <v>11064207</v>
      </c>
      <c r="Q63" s="4118"/>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2331</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238837.74999999997</v>
      </c>
      <c r="H64" s="40" t="str">
        <f>CONCATENATE("x ", F64," units = ")</f>
        <v xml:space="preserve">x  units = </v>
      </c>
      <c r="I64" s="1323" t="str">
        <f>IF(F64="","",F64*G64)</f>
        <v/>
      </c>
      <c r="J64" s="42"/>
      <c r="K64" s="1322" t="str">
        <f>IF('Part VI-Revenues &amp; Expenses'!$M$154 =0,"",'Part VI-Revenues &amp; Expenses'!$M$154)</f>
        <v/>
      </c>
      <c r="L64" s="756">
        <f>G64*(1+'DCA Underwriting Assumptions'!$Q$12)</f>
        <v>262721.52499999997</v>
      </c>
      <c r="M64" s="40" t="str">
        <f>CONCATENATE("x ", K64," units = ")</f>
        <v xml:space="preserve">x  units = </v>
      </c>
      <c r="N64" s="1323" t="str">
        <f>IF(K64="","",K64*L64)</f>
        <v/>
      </c>
      <c r="P64" s="4119"/>
      <c r="Q64" s="4120"/>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2332</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304604.30000000005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335064.7300000001</v>
      </c>
      <c r="M65" s="40" t="str">
        <f>CONCATENATE("x ", K65," units = ")</f>
        <v xml:space="preserve">x  units = </v>
      </c>
      <c r="N65" s="1323" t="str">
        <f>IF(K65="","",K65*L65)</f>
        <v/>
      </c>
      <c r="P65" s="4154" t="s">
        <v>3603</v>
      </c>
      <c r="Q65" s="4154"/>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2333</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380756.2</v>
      </c>
      <c r="H66" s="40" t="str">
        <f>CONCATENATE("x ", F66," units = ")</f>
        <v xml:space="preserve">x  units = </v>
      </c>
      <c r="I66" s="1323" t="str">
        <f>IF(F66="","",F66*G66)</f>
        <v/>
      </c>
      <c r="J66" s="42"/>
      <c r="K66" s="1322" t="str">
        <f>IF('Part VI-Revenues &amp; Expenses'!$O$154 =0,"",'Part VI-Revenues &amp; Expenses'!$O$154)</f>
        <v/>
      </c>
      <c r="L66" s="756">
        <f>G66*(1+'DCA Underwriting Assumptions'!$Q$12)</f>
        <v>418831.82000000007</v>
      </c>
      <c r="M66" s="40" t="str">
        <f>CONCATENATE("x ", K66," units = ")</f>
        <v xml:space="preserve">x  units = </v>
      </c>
      <c r="N66" s="1323" t="str">
        <f>IF(K66="","",K66*L66)</f>
        <v/>
      </c>
      <c r="O66" s="514"/>
      <c r="P66" s="4155"/>
      <c r="Q66" s="4155"/>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3123</v>
      </c>
      <c r="E67" s="131"/>
      <c r="F67" s="946">
        <f>SUM(F62:F66)</f>
        <v>0</v>
      </c>
      <c r="G67" s="562"/>
      <c r="H67" s="947"/>
      <c r="I67" s="950">
        <f>SUM(I62:I66)</f>
        <v>0</v>
      </c>
      <c r="J67" s="949"/>
      <c r="K67" s="946">
        <f>SUM(K62:K66)</f>
        <v>0</v>
      </c>
      <c r="L67" s="949"/>
      <c r="M67" s="947"/>
      <c r="N67" s="950">
        <f>SUM(N62:N66)</f>
        <v>0</v>
      </c>
      <c r="O67" s="514"/>
      <c r="P67" s="4155"/>
      <c r="Q67" s="4155"/>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1"/>
      <c r="O68" s="514"/>
      <c r="P68" s="4155"/>
      <c r="Q68" s="4155"/>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3124</v>
      </c>
      <c r="B69" s="1"/>
      <c r="C69" s="1"/>
      <c r="D69" s="90"/>
      <c r="E69" s="109"/>
      <c r="F69" s="553">
        <f>F46+F53+F60+F67</f>
        <v>48</v>
      </c>
      <c r="G69" s="324"/>
      <c r="H69" s="4060">
        <f>I46+I53+I60+I67</f>
        <v>11064207</v>
      </c>
      <c r="I69" s="4060"/>
      <c r="J69" s="4060"/>
      <c r="K69" s="553">
        <f>K46+K53+K60+K67</f>
        <v>0</v>
      </c>
      <c r="L69" s="554"/>
      <c r="M69" s="4060">
        <f>N46+N53+N60+N67</f>
        <v>0</v>
      </c>
      <c r="N69" s="4060"/>
      <c r="O69" s="4060"/>
      <c r="P69" s="4155"/>
      <c r="Q69" s="4155"/>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3373</v>
      </c>
      <c r="D70" s="94"/>
      <c r="E70" s="94"/>
      <c r="F70" s="94"/>
      <c r="G70" s="94"/>
      <c r="H70" s="40"/>
      <c r="I70" s="2667"/>
      <c r="J70" s="2667"/>
      <c r="K70" s="135" t="s">
        <v>1781</v>
      </c>
      <c r="L70" s="1401"/>
      <c r="M70" s="1401"/>
      <c r="N70" s="1401"/>
      <c r="O70" s="1401"/>
      <c r="P70" s="4156"/>
      <c r="Q70" s="4156"/>
    </row>
    <row r="71" spans="1:295" ht="24.95" customHeight="1">
      <c r="A71" s="3966" t="s">
        <v>6976</v>
      </c>
      <c r="B71" s="3967"/>
      <c r="C71" s="3967"/>
      <c r="D71" s="3967"/>
      <c r="E71" s="3967"/>
      <c r="F71" s="3967"/>
      <c r="G71" s="3967"/>
      <c r="H71" s="3967"/>
      <c r="I71" s="3967"/>
      <c r="J71" s="3968"/>
      <c r="K71" s="3960"/>
      <c r="L71" s="3961"/>
      <c r="M71" s="3961"/>
      <c r="N71" s="3961"/>
      <c r="O71" s="3961"/>
      <c r="P71" s="3961"/>
      <c r="Q71" s="3962"/>
      <c r="R71" s="427" t="s">
        <v>1208</v>
      </c>
      <c r="U71" s="134"/>
      <c r="V71" s="134"/>
      <c r="W71" s="134"/>
      <c r="X71" s="134"/>
      <c r="Y71" s="134"/>
      <c r="Z71" s="134"/>
      <c r="AA71" s="134"/>
      <c r="AB71" s="134"/>
      <c r="AC71" s="134"/>
      <c r="AD71" s="134"/>
      <c r="AE71" s="441"/>
    </row>
    <row r="72" spans="1:295" ht="3" customHeight="1">
      <c r="B72" s="2667"/>
      <c r="C72" s="2654"/>
      <c r="D72" s="2654"/>
      <c r="E72" s="2654"/>
      <c r="F72" s="2654"/>
      <c r="G72" s="2654"/>
      <c r="H72" s="2654"/>
      <c r="I72" s="2654"/>
      <c r="J72" s="2654"/>
      <c r="K72" s="2654"/>
      <c r="L72" s="2654"/>
      <c r="M72" s="2654"/>
      <c r="N72" s="2654"/>
      <c r="O72" s="2654"/>
      <c r="P72" s="2654"/>
      <c r="Q72" s="1401"/>
    </row>
    <row r="73" spans="1:295" ht="12.75" customHeight="1">
      <c r="A73" s="2648" t="s">
        <v>712</v>
      </c>
      <c r="B73" s="4" t="s">
        <v>1146</v>
      </c>
      <c r="C73" s="4"/>
      <c r="D73" s="4"/>
      <c r="E73" s="2654"/>
      <c r="F73" s="2654"/>
      <c r="O73" s="130" t="s">
        <v>1782</v>
      </c>
      <c r="P73" s="3969"/>
      <c r="Q73" s="3970"/>
    </row>
    <row r="74" spans="1:295" ht="12.75" customHeight="1">
      <c r="A74" s="2648"/>
      <c r="B74" s="138" t="s">
        <v>6436</v>
      </c>
      <c r="C74" s="4"/>
      <c r="D74" s="4"/>
      <c r="E74" s="2654"/>
      <c r="F74" s="2654"/>
      <c r="G74" s="956" t="str">
        <f>'Part I-Project Information'!$H$77</f>
        <v>Family</v>
      </c>
      <c r="H74" s="2654"/>
      <c r="J74" s="1663" t="str">
        <f>IF(OR(G74="Other Senior/Elderly",G74= "Other Non-Senior"),'Part I-Project Information'!$M$77,"")</f>
        <v/>
      </c>
      <c r="K74" s="956"/>
      <c r="O74" s="130"/>
      <c r="P74" s="130"/>
      <c r="Q74" s="130"/>
    </row>
    <row r="75" spans="1:295" ht="12.75" customHeight="1">
      <c r="A75" s="2648"/>
      <c r="B75" s="138" t="s">
        <v>6437</v>
      </c>
      <c r="C75" s="4"/>
      <c r="D75" s="4"/>
      <c r="E75" s="2654"/>
      <c r="F75" s="2654"/>
      <c r="G75" s="956" t="str">
        <f>'Part I-Project Information'!$H$82</f>
        <v>&lt;&lt; Select CURRENT Tenancy &gt;&gt;</v>
      </c>
      <c r="H75" s="2654"/>
      <c r="J75" s="1663" t="str">
        <f>IF(OR(G75="Other Senior/Elderly",G75= "Other Non-Senior"),'Part I-Project Information'!$M$77,"")</f>
        <v/>
      </c>
      <c r="K75" s="956"/>
      <c r="O75" s="130"/>
      <c r="P75" s="130"/>
      <c r="Q75" s="130"/>
    </row>
    <row r="76" spans="1:295" ht="10.5" customHeight="1">
      <c r="B76" s="94" t="s">
        <v>3373</v>
      </c>
      <c r="D76" s="94"/>
      <c r="E76" s="94"/>
      <c r="F76" s="94"/>
      <c r="G76" s="94"/>
      <c r="H76" s="40"/>
      <c r="I76" s="2667"/>
      <c r="J76" s="2667"/>
      <c r="K76" s="135" t="s">
        <v>1781</v>
      </c>
      <c r="L76" s="1401"/>
      <c r="M76" s="1401"/>
      <c r="N76" s="1401"/>
      <c r="O76" s="1401"/>
      <c r="P76" s="1401"/>
      <c r="Q76" s="782"/>
    </row>
    <row r="77" spans="1:295" ht="22.5" customHeight="1">
      <c r="A77" s="3966" t="s">
        <v>6977</v>
      </c>
      <c r="B77" s="3967"/>
      <c r="C77" s="3967"/>
      <c r="D77" s="3967"/>
      <c r="E77" s="3967"/>
      <c r="F77" s="3967"/>
      <c r="G77" s="3967"/>
      <c r="H77" s="3967"/>
      <c r="I77" s="3967"/>
      <c r="J77" s="3968"/>
      <c r="K77" s="3960"/>
      <c r="L77" s="3961"/>
      <c r="M77" s="3961"/>
      <c r="N77" s="3961"/>
      <c r="O77" s="3961"/>
      <c r="P77" s="3961"/>
      <c r="Q77" s="3962"/>
      <c r="R77" s="427" t="s">
        <v>1208</v>
      </c>
      <c r="U77" s="134"/>
      <c r="V77" s="134"/>
      <c r="W77" s="134"/>
      <c r="X77" s="134"/>
      <c r="Y77" s="134"/>
      <c r="Z77" s="134"/>
      <c r="AA77" s="134"/>
      <c r="AB77" s="134"/>
      <c r="AC77" s="134"/>
      <c r="AD77" s="134"/>
      <c r="AE77" s="441"/>
    </row>
    <row r="78" spans="1:295" ht="3" customHeight="1">
      <c r="A78" s="1401"/>
      <c r="B78" s="2667"/>
      <c r="C78" s="2654"/>
      <c r="D78" s="2654"/>
      <c r="E78" s="2654"/>
      <c r="F78" s="2654"/>
      <c r="G78" s="2654"/>
      <c r="H78" s="2654"/>
      <c r="I78" s="2654"/>
      <c r="J78" s="2654"/>
      <c r="K78" s="2654"/>
      <c r="L78" s="2654"/>
      <c r="M78" s="2654"/>
      <c r="N78" s="2654"/>
      <c r="O78" s="2654"/>
      <c r="P78" s="2654"/>
      <c r="Q78" s="1401"/>
    </row>
    <row r="79" spans="1:295" ht="12.75" customHeight="1">
      <c r="A79" s="2648" t="s">
        <v>1711</v>
      </c>
      <c r="B79" s="2648" t="s">
        <v>2512</v>
      </c>
      <c r="C79" s="112"/>
      <c r="D79" s="2654"/>
      <c r="E79" s="2654"/>
      <c r="F79" s="2654"/>
      <c r="G79" s="2654"/>
      <c r="H79" s="2654"/>
      <c r="I79" s="2654"/>
      <c r="J79" s="2654"/>
      <c r="L79" s="1399" t="s">
        <v>3951</v>
      </c>
      <c r="M79" s="1400" t="s">
        <v>3952</v>
      </c>
      <c r="O79" s="130" t="s">
        <v>1782</v>
      </c>
      <c r="P79" s="3969"/>
      <c r="Q79" s="3970"/>
    </row>
    <row r="80" spans="1:295" ht="1.5" customHeight="1"/>
    <row r="81" spans="1:31" ht="12" customHeight="1">
      <c r="A81" s="140" t="s">
        <v>1894</v>
      </c>
      <c r="B81" s="3958" t="s">
        <v>3945</v>
      </c>
      <c r="C81" s="3958"/>
      <c r="D81" s="3958"/>
      <c r="E81" s="3958"/>
      <c r="F81" s="3958"/>
      <c r="G81" s="3958"/>
      <c r="H81" s="3958"/>
      <c r="I81" s="3958"/>
      <c r="J81" s="3958"/>
      <c r="K81" s="146"/>
      <c r="L81" s="420" t="s">
        <v>2699</v>
      </c>
      <c r="M81" s="1289">
        <v>2</v>
      </c>
      <c r="N81" s="382" t="s">
        <v>4227</v>
      </c>
      <c r="P81" s="4104" t="s">
        <v>6902</v>
      </c>
      <c r="Q81" s="3964"/>
    </row>
    <row r="82" spans="1:31" ht="12" customHeight="1">
      <c r="A82" s="140"/>
      <c r="B82" s="3958"/>
      <c r="C82" s="3958"/>
      <c r="D82" s="3958"/>
      <c r="E82" s="3958"/>
      <c r="F82" s="3958"/>
      <c r="G82" s="3958"/>
      <c r="H82" s="3958"/>
      <c r="I82" s="3958"/>
      <c r="J82" s="3958"/>
      <c r="K82" s="146"/>
      <c r="L82" s="420" t="s">
        <v>3950</v>
      </c>
      <c r="M82" s="1290">
        <v>4</v>
      </c>
      <c r="O82" s="141"/>
      <c r="P82" s="4105"/>
      <c r="Q82" s="3965"/>
    </row>
    <row r="83" spans="1:31" ht="12" customHeight="1">
      <c r="A83" s="140"/>
      <c r="D83" s="2662"/>
      <c r="E83" s="2662"/>
      <c r="F83" s="2662"/>
      <c r="G83" s="2662"/>
      <c r="H83" s="2662"/>
      <c r="I83" s="2662"/>
      <c r="J83" s="2662"/>
      <c r="K83" s="146"/>
      <c r="L83" s="451" t="s">
        <v>6414</v>
      </c>
      <c r="M83" s="1290"/>
      <c r="O83" s="141"/>
      <c r="P83" s="2491">
        <v>2</v>
      </c>
      <c r="Q83" s="2952"/>
    </row>
    <row r="84" spans="1:31" ht="12" customHeight="1">
      <c r="A84" s="47" t="s">
        <v>1896</v>
      </c>
      <c r="B84" s="382" t="s">
        <v>3953</v>
      </c>
      <c r="C84" s="382"/>
      <c r="D84" s="382"/>
      <c r="E84" s="382"/>
      <c r="F84" s="382"/>
      <c r="G84" s="382"/>
      <c r="H84" s="382"/>
      <c r="I84" s="382"/>
      <c r="J84" s="382"/>
      <c r="K84" s="534"/>
      <c r="L84" s="382"/>
      <c r="M84" s="146"/>
      <c r="N84" s="817"/>
      <c r="O84" s="817"/>
      <c r="P84" s="817"/>
    </row>
    <row r="85" spans="1:31" ht="12.75" customHeight="1">
      <c r="A85" s="1254"/>
      <c r="B85" s="1305" t="s">
        <v>1658</v>
      </c>
      <c r="C85" s="382" t="s">
        <v>3957</v>
      </c>
      <c r="D85" s="1256"/>
      <c r="E85" s="1256"/>
      <c r="F85" s="1256"/>
      <c r="G85" s="1256"/>
      <c r="H85" s="1256"/>
      <c r="I85" s="1256"/>
      <c r="J85" s="1256"/>
      <c r="K85" s="1255"/>
      <c r="L85" s="816"/>
      <c r="N85" s="382" t="s">
        <v>4228</v>
      </c>
      <c r="O85" s="817"/>
      <c r="P85" s="2492" t="s">
        <v>6903</v>
      </c>
      <c r="Q85" s="2953"/>
    </row>
    <row r="86" spans="1:31" ht="12.75" customHeight="1">
      <c r="A86" s="1254"/>
      <c r="B86" s="1305" t="s">
        <v>1659</v>
      </c>
      <c r="C86" s="382" t="s">
        <v>3954</v>
      </c>
      <c r="D86" s="1256"/>
      <c r="E86" s="1256"/>
      <c r="F86" s="1256"/>
      <c r="G86" s="1256"/>
      <c r="H86" s="1256"/>
      <c r="I86" s="1256"/>
      <c r="J86" s="1256"/>
      <c r="K86" s="1255"/>
      <c r="L86" s="816"/>
      <c r="N86" s="382" t="s">
        <v>4229</v>
      </c>
      <c r="O86" s="817"/>
      <c r="P86" s="2670" t="s">
        <v>6901</v>
      </c>
      <c r="Q86" s="2954"/>
    </row>
    <row r="87" spans="1:31" ht="12.75" customHeight="1">
      <c r="A87" s="1253"/>
      <c r="B87" s="451" t="s">
        <v>1660</v>
      </c>
      <c r="C87" s="382" t="s">
        <v>3955</v>
      </c>
      <c r="E87" s="1256"/>
      <c r="F87" s="1256"/>
      <c r="G87" s="1256"/>
      <c r="H87" s="1256"/>
      <c r="I87" s="1256"/>
      <c r="J87" s="1256"/>
      <c r="K87" s="1255"/>
      <c r="L87" s="816"/>
      <c r="M87" s="817"/>
      <c r="N87" s="382" t="s">
        <v>4230</v>
      </c>
      <c r="O87" s="817"/>
      <c r="P87" s="2670" t="s">
        <v>6901</v>
      </c>
      <c r="Q87" s="2954"/>
    </row>
    <row r="88" spans="1:31" ht="12.75" customHeight="1">
      <c r="A88" s="142"/>
      <c r="B88" s="451" t="s">
        <v>2261</v>
      </c>
      <c r="C88" s="451" t="s">
        <v>3958</v>
      </c>
      <c r="D88" s="132"/>
      <c r="E88" s="132"/>
      <c r="F88" s="132"/>
      <c r="G88" s="132"/>
      <c r="H88" s="132"/>
      <c r="I88" s="42"/>
      <c r="J88" s="42"/>
      <c r="N88" s="382" t="s">
        <v>4231</v>
      </c>
      <c r="O88" s="817"/>
      <c r="P88" s="2668" t="s">
        <v>6904</v>
      </c>
      <c r="Q88" s="2955"/>
    </row>
    <row r="89" spans="1:31" ht="12.75" customHeight="1">
      <c r="A89" s="142"/>
      <c r="B89" s="451"/>
      <c r="C89" s="382" t="s">
        <v>3959</v>
      </c>
      <c r="D89" s="132"/>
      <c r="E89" s="132"/>
      <c r="F89" s="132"/>
      <c r="G89" s="132"/>
      <c r="H89" s="132"/>
      <c r="I89" s="42"/>
      <c r="J89" s="42"/>
      <c r="L89" s="4023"/>
      <c r="M89" s="4024"/>
      <c r="N89" s="4024"/>
      <c r="O89" s="4024"/>
      <c r="P89" s="4024"/>
      <c r="Q89" s="4025"/>
    </row>
    <row r="90" spans="1:31" ht="12.75" customHeight="1">
      <c r="A90" s="142"/>
      <c r="B90" s="451" t="s">
        <v>1487</v>
      </c>
      <c r="C90" s="3958" t="s">
        <v>3956</v>
      </c>
      <c r="D90" s="3958"/>
      <c r="E90" s="3958"/>
      <c r="F90" s="3958"/>
      <c r="G90" s="3958"/>
      <c r="H90" s="3958"/>
      <c r="I90" s="3958"/>
      <c r="J90" s="3958"/>
      <c r="K90" s="3958"/>
      <c r="L90" s="3958"/>
      <c r="M90" s="494"/>
      <c r="N90" s="382" t="s">
        <v>4232</v>
      </c>
      <c r="O90" s="817"/>
      <c r="P90" s="2493" t="s">
        <v>6902</v>
      </c>
      <c r="Q90" s="2956"/>
    </row>
    <row r="91" spans="1:31" ht="12.75" customHeight="1">
      <c r="A91" s="47"/>
      <c r="C91" s="3958"/>
      <c r="D91" s="3958"/>
      <c r="E91" s="3958"/>
      <c r="F91" s="3958"/>
      <c r="G91" s="3958"/>
      <c r="H91" s="3958"/>
      <c r="I91" s="3958"/>
      <c r="J91" s="3958"/>
      <c r="K91" s="3958"/>
      <c r="L91" s="3958"/>
      <c r="M91" s="494"/>
    </row>
    <row r="92" spans="1:31" ht="10.5" customHeight="1">
      <c r="B92" s="94" t="s">
        <v>3373</v>
      </c>
      <c r="D92" s="94"/>
      <c r="E92" s="94"/>
      <c r="F92" s="94"/>
      <c r="G92" s="94"/>
      <c r="H92" s="40"/>
      <c r="I92" s="2667"/>
      <c r="J92" s="2667"/>
      <c r="K92" s="135" t="s">
        <v>1781</v>
      </c>
      <c r="L92" s="1401"/>
      <c r="M92" s="1401"/>
      <c r="N92" s="1401"/>
      <c r="O92" s="1401"/>
      <c r="P92" s="1401"/>
      <c r="Q92" s="782"/>
    </row>
    <row r="93" spans="1:31" ht="62.45" customHeight="1">
      <c r="A93" s="3966" t="s">
        <v>6905</v>
      </c>
      <c r="B93" s="3967"/>
      <c r="C93" s="3967"/>
      <c r="D93" s="3967"/>
      <c r="E93" s="3967"/>
      <c r="F93" s="3967"/>
      <c r="G93" s="3967"/>
      <c r="H93" s="3967"/>
      <c r="I93" s="3967"/>
      <c r="J93" s="3968"/>
      <c r="K93" s="3960"/>
      <c r="L93" s="3961"/>
      <c r="M93" s="3961"/>
      <c r="N93" s="3961"/>
      <c r="O93" s="3961"/>
      <c r="P93" s="3961"/>
      <c r="Q93" s="3962"/>
      <c r="R93" s="427" t="s">
        <v>1208</v>
      </c>
      <c r="U93" s="134"/>
      <c r="V93" s="134"/>
      <c r="W93" s="134"/>
      <c r="X93" s="134"/>
      <c r="Y93" s="134"/>
      <c r="Z93" s="134"/>
      <c r="AA93" s="134"/>
      <c r="AB93" s="134"/>
      <c r="AC93" s="134"/>
      <c r="AD93" s="134"/>
      <c r="AE93" s="441"/>
    </row>
    <row r="94" spans="1:31" ht="3" customHeight="1">
      <c r="A94" s="1401"/>
      <c r="B94" s="2667"/>
      <c r="C94" s="2654"/>
      <c r="D94" s="2654"/>
      <c r="E94" s="2654"/>
      <c r="F94" s="2654"/>
      <c r="G94" s="2654"/>
      <c r="H94" s="2654"/>
      <c r="I94" s="2654"/>
      <c r="J94" s="2654"/>
      <c r="K94" s="2654"/>
      <c r="L94" s="2654"/>
      <c r="M94" s="2654"/>
      <c r="N94" s="2654"/>
      <c r="O94" s="2654"/>
      <c r="P94" s="2654"/>
      <c r="Q94" s="1401"/>
    </row>
    <row r="95" spans="1:31" ht="14.1" customHeight="1">
      <c r="A95" s="2648" t="s">
        <v>1713</v>
      </c>
      <c r="B95" s="2648" t="s">
        <v>4223</v>
      </c>
      <c r="C95" s="2648"/>
      <c r="D95" s="2654"/>
      <c r="E95" s="2654"/>
      <c r="F95" s="2654"/>
      <c r="G95" s="2654"/>
      <c r="H95" s="1409" t="str">
        <f>'Part I-Project Information'!$K$41</f>
        <v>Rural</v>
      </c>
      <c r="J95" s="47" t="s">
        <v>4226</v>
      </c>
      <c r="K95" s="557" t="str">
        <f>'Part I-Project Information'!$H$105</f>
        <v>Rural</v>
      </c>
      <c r="L95" s="63" t="s">
        <v>3988</v>
      </c>
      <c r="M95" s="1292" t="str">
        <f>'Part I-Project Information'!$H$77</f>
        <v>Family</v>
      </c>
      <c r="O95" s="130" t="s">
        <v>1782</v>
      </c>
      <c r="P95" s="3969"/>
      <c r="Q95" s="3970"/>
    </row>
    <row r="96" spans="1:31" ht="3" customHeight="1"/>
    <row r="97" spans="1:32" ht="12.75" customHeight="1">
      <c r="A97" s="47" t="s">
        <v>1894</v>
      </c>
      <c r="B97" s="39" t="s">
        <v>2349</v>
      </c>
      <c r="D97" s="132"/>
      <c r="E97" s="132"/>
      <c r="F97" s="132"/>
      <c r="G97" s="132"/>
      <c r="H97" s="132"/>
      <c r="I97" s="42"/>
      <c r="J97" s="42"/>
      <c r="K97" s="42"/>
      <c r="L97" s="439" t="s">
        <v>1894</v>
      </c>
      <c r="M97" s="4033" t="s">
        <v>6906</v>
      </c>
      <c r="N97" s="4034"/>
      <c r="O97" s="4034"/>
      <c r="P97" s="4065"/>
      <c r="Q97" s="2953"/>
    </row>
    <row r="98" spans="1:32" ht="12.75" customHeight="1">
      <c r="A98" s="47" t="s">
        <v>1896</v>
      </c>
      <c r="B98" s="52" t="s">
        <v>4149</v>
      </c>
      <c r="D98" s="132"/>
      <c r="E98" s="132"/>
      <c r="F98" s="132"/>
      <c r="L98" s="439" t="s">
        <v>1896</v>
      </c>
      <c r="M98" s="4101" t="s">
        <v>6991</v>
      </c>
      <c r="N98" s="4102"/>
      <c r="O98" s="4102"/>
      <c r="P98" s="4103"/>
      <c r="Q98" s="2954"/>
    </row>
    <row r="99" spans="1:32" ht="12.75" customHeight="1">
      <c r="A99" s="47" t="s">
        <v>719</v>
      </c>
      <c r="B99" s="52" t="s">
        <v>2672</v>
      </c>
      <c r="D99" s="132"/>
      <c r="E99" s="132"/>
      <c r="F99" s="132"/>
      <c r="L99" s="439" t="s">
        <v>719</v>
      </c>
      <c r="M99" s="4150">
        <v>0.97899999999999998</v>
      </c>
      <c r="N99" s="4151"/>
      <c r="O99" s="4151"/>
      <c r="P99" s="4152"/>
      <c r="Q99" s="2954"/>
    </row>
    <row r="100" spans="1:32" ht="12.75" customHeight="1">
      <c r="A100" s="47" t="s">
        <v>2022</v>
      </c>
      <c r="B100" s="52" t="s">
        <v>3445</v>
      </c>
      <c r="D100" s="132"/>
      <c r="E100" s="132"/>
      <c r="F100" s="132"/>
      <c r="J100" s="439" t="s">
        <v>3446</v>
      </c>
      <c r="K100" s="2494">
        <v>3.5999999999999997E-2</v>
      </c>
      <c r="L100" s="2957"/>
      <c r="M100" s="1601"/>
      <c r="N100" s="1600"/>
      <c r="O100" s="955" t="s">
        <v>3542</v>
      </c>
      <c r="P100" s="2495">
        <v>3.5999999999999997E-2</v>
      </c>
      <c r="Q100" s="2958"/>
    </row>
    <row r="101" spans="1:32" ht="12.75" customHeight="1">
      <c r="A101" s="47" t="s">
        <v>1656</v>
      </c>
      <c r="B101" s="52" t="s">
        <v>4150</v>
      </c>
      <c r="D101" s="138"/>
      <c r="E101" s="138"/>
      <c r="F101" s="138"/>
      <c r="G101" s="138"/>
      <c r="H101" s="138"/>
      <c r="I101" s="138"/>
      <c r="J101" s="138"/>
      <c r="K101" s="138"/>
      <c r="L101" s="138"/>
      <c r="M101" s="138"/>
      <c r="N101" s="138"/>
      <c r="O101" s="138"/>
      <c r="P101" s="138"/>
      <c r="Q101" s="138"/>
    </row>
    <row r="102" spans="1:32" ht="12.75" customHeight="1">
      <c r="B102" s="47"/>
      <c r="C102" s="52"/>
      <c r="D102" s="1673" t="s">
        <v>2273</v>
      </c>
      <c r="E102" s="783" t="s">
        <v>587</v>
      </c>
      <c r="F102" s="783"/>
      <c r="H102" s="52"/>
      <c r="I102" s="1673" t="s">
        <v>2273</v>
      </c>
      <c r="J102" s="783" t="s">
        <v>587</v>
      </c>
      <c r="K102" s="783"/>
      <c r="M102" s="52"/>
      <c r="N102" s="1673" t="s">
        <v>2273</v>
      </c>
      <c r="O102" s="783" t="s">
        <v>587</v>
      </c>
      <c r="P102" s="783"/>
      <c r="Q102" s="439"/>
    </row>
    <row r="103" spans="1:32" ht="12.75" customHeight="1">
      <c r="C103" s="439" t="s">
        <v>1658</v>
      </c>
      <c r="D103" s="2496" t="s">
        <v>7001</v>
      </c>
      <c r="E103" s="4036" t="s">
        <v>6992</v>
      </c>
      <c r="F103" s="4036"/>
      <c r="G103" s="4036"/>
      <c r="H103" s="65" t="s">
        <v>1660</v>
      </c>
      <c r="I103" s="2496" t="s">
        <v>6998</v>
      </c>
      <c r="J103" s="4036" t="s">
        <v>6994</v>
      </c>
      <c r="K103" s="4036"/>
      <c r="L103" s="4036"/>
      <c r="M103" s="64" t="s">
        <v>1487</v>
      </c>
      <c r="N103" s="2496" t="s">
        <v>7000</v>
      </c>
      <c r="O103" s="4036" t="s">
        <v>6996</v>
      </c>
      <c r="P103" s="4036"/>
      <c r="Q103" s="4036"/>
    </row>
    <row r="104" spans="1:32" ht="12.75" customHeight="1">
      <c r="C104" s="65" t="s">
        <v>1659</v>
      </c>
      <c r="D104" s="2497" t="s">
        <v>6999</v>
      </c>
      <c r="E104" s="3957" t="s">
        <v>6993</v>
      </c>
      <c r="F104" s="3957"/>
      <c r="G104" s="3957"/>
      <c r="H104" s="439" t="s">
        <v>2261</v>
      </c>
      <c r="I104" s="2497" t="s">
        <v>6997</v>
      </c>
      <c r="J104" s="3957" t="s">
        <v>6995</v>
      </c>
      <c r="K104" s="3957"/>
      <c r="L104" s="3957"/>
      <c r="M104" s="64" t="s">
        <v>1488</v>
      </c>
      <c r="N104" s="2497" t="s">
        <v>7003</v>
      </c>
      <c r="O104" s="3957" t="s">
        <v>7002</v>
      </c>
      <c r="P104" s="3957"/>
      <c r="Q104" s="3957"/>
    </row>
    <row r="105" spans="1:32" ht="12.75" customHeight="1">
      <c r="A105" s="47" t="s">
        <v>1657</v>
      </c>
      <c r="B105" s="52" t="s">
        <v>6328</v>
      </c>
      <c r="D105" s="132"/>
      <c r="E105" s="132"/>
      <c r="F105" s="132"/>
      <c r="G105" s="132"/>
      <c r="H105" s="132"/>
      <c r="I105" s="42"/>
      <c r="J105" s="42"/>
      <c r="K105" s="132"/>
      <c r="L105" s="2658"/>
      <c r="M105" s="2658"/>
      <c r="O105" s="439" t="s">
        <v>1657</v>
      </c>
      <c r="P105" s="2669" t="s">
        <v>2770</v>
      </c>
      <c r="Q105" s="2959"/>
    </row>
    <row r="106" spans="1:32" ht="12.75" customHeight="1">
      <c r="A106" s="47" t="s">
        <v>1859</v>
      </c>
      <c r="B106" s="52" t="s">
        <v>6330</v>
      </c>
      <c r="D106" s="132"/>
      <c r="E106" s="132"/>
      <c r="F106" s="132"/>
      <c r="G106" s="132"/>
      <c r="H106" s="132"/>
      <c r="I106" s="42"/>
      <c r="J106" s="42"/>
      <c r="K106" s="132"/>
      <c r="L106" s="2658"/>
      <c r="M106" s="2658"/>
      <c r="O106" s="439" t="s">
        <v>1859</v>
      </c>
      <c r="P106" s="2670" t="s">
        <v>2770</v>
      </c>
      <c r="Q106" s="2954"/>
    </row>
    <row r="107" spans="1:32" ht="10.5" customHeight="1">
      <c r="A107" s="47" t="s">
        <v>3125</v>
      </c>
      <c r="B107" s="52" t="s">
        <v>6332</v>
      </c>
      <c r="D107" s="132"/>
      <c r="E107" s="132"/>
      <c r="F107" s="132"/>
      <c r="G107" s="132"/>
      <c r="H107" s="132"/>
      <c r="I107" s="42"/>
      <c r="J107" s="42"/>
      <c r="K107" s="132"/>
      <c r="L107" s="2658"/>
      <c r="M107" s="2658"/>
      <c r="O107" s="439" t="s">
        <v>3125</v>
      </c>
      <c r="P107" s="2498">
        <v>0.93</v>
      </c>
      <c r="Q107" s="2960"/>
    </row>
    <row r="108" spans="1:32" s="131" customFormat="1" ht="60" customHeight="1">
      <c r="A108" s="140" t="s">
        <v>586</v>
      </c>
      <c r="B108" s="3971" t="s">
        <v>6329</v>
      </c>
      <c r="C108" s="3971"/>
      <c r="D108" s="3971"/>
      <c r="E108" s="3971"/>
      <c r="F108" s="3971"/>
      <c r="G108" s="3971"/>
      <c r="H108" s="3971"/>
      <c r="I108" s="3971"/>
      <c r="J108" s="3971"/>
      <c r="K108" s="3971"/>
      <c r="L108" s="3971"/>
      <c r="M108" s="3971"/>
      <c r="N108" s="3971"/>
      <c r="O108" s="1490" t="s">
        <v>6331</v>
      </c>
      <c r="P108" s="2665" t="s">
        <v>2770</v>
      </c>
      <c r="Q108" s="2961"/>
      <c r="AE108" s="442"/>
      <c r="AF108" s="442"/>
    </row>
    <row r="109" spans="1:32" s="42" customFormat="1" ht="12.75" customHeight="1">
      <c r="A109" s="47"/>
      <c r="B109" s="1305" t="s">
        <v>1659</v>
      </c>
      <c r="C109" s="52" t="s">
        <v>4279</v>
      </c>
      <c r="D109" s="132"/>
      <c r="E109" s="132"/>
      <c r="F109" s="132"/>
      <c r="G109" s="132"/>
      <c r="H109" s="132"/>
      <c r="K109" s="132"/>
      <c r="L109" s="2658"/>
      <c r="M109" s="2658"/>
      <c r="O109" s="439" t="s">
        <v>1659</v>
      </c>
      <c r="P109" s="2668" t="s">
        <v>2773</v>
      </c>
      <c r="Q109" s="2955"/>
      <c r="AE109" s="50"/>
      <c r="AF109" s="50"/>
    </row>
    <row r="110" spans="1:32" ht="9.75" customHeight="1">
      <c r="B110" s="139" t="s">
        <v>3373</v>
      </c>
      <c r="D110" s="139"/>
      <c r="E110" s="139"/>
      <c r="F110" s="139"/>
      <c r="G110" s="139"/>
      <c r="H110" s="40"/>
      <c r="I110" s="2667"/>
      <c r="J110" s="2667"/>
      <c r="K110" s="2667"/>
      <c r="L110" s="1401"/>
      <c r="M110" s="1401"/>
      <c r="N110" s="1401"/>
      <c r="O110" s="1401"/>
      <c r="P110" s="1401"/>
      <c r="Q110" s="782"/>
    </row>
    <row r="111" spans="1:32" ht="47.45" customHeight="1">
      <c r="A111" s="3966" t="s">
        <v>7004</v>
      </c>
      <c r="B111" s="3967"/>
      <c r="C111" s="3967"/>
      <c r="D111" s="3967"/>
      <c r="E111" s="3967"/>
      <c r="F111" s="3967"/>
      <c r="G111" s="3967"/>
      <c r="H111" s="3967"/>
      <c r="I111" s="3967"/>
      <c r="J111" s="3967"/>
      <c r="K111" s="3967"/>
      <c r="L111" s="3967"/>
      <c r="M111" s="3967"/>
      <c r="N111" s="3967"/>
      <c r="O111" s="3967"/>
      <c r="P111" s="3967"/>
      <c r="Q111" s="3968"/>
      <c r="U111" s="134"/>
      <c r="V111" s="134"/>
      <c r="W111" s="134"/>
      <c r="X111" s="134"/>
      <c r="Y111" s="134"/>
      <c r="Z111" s="134"/>
      <c r="AA111" s="134"/>
      <c r="AB111" s="134"/>
      <c r="AC111" s="134"/>
      <c r="AD111" s="134"/>
      <c r="AE111" s="441"/>
    </row>
    <row r="112" spans="1:32" ht="9.75" customHeight="1">
      <c r="B112" s="135" t="s">
        <v>1781</v>
      </c>
      <c r="C112" s="136"/>
      <c r="D112" s="2654"/>
      <c r="E112" s="2654"/>
      <c r="F112" s="2654"/>
      <c r="G112" s="2654"/>
      <c r="H112" s="2654"/>
      <c r="I112" s="2654"/>
      <c r="J112" s="2654"/>
      <c r="K112" s="2654"/>
      <c r="L112" s="2654"/>
      <c r="M112" s="2654"/>
      <c r="N112" s="2654"/>
      <c r="O112" s="2654"/>
      <c r="P112" s="2654"/>
      <c r="Q112" s="2654"/>
    </row>
    <row r="113" spans="1:32" ht="33" customHeight="1">
      <c r="A113" s="3960"/>
      <c r="B113" s="3961"/>
      <c r="C113" s="3961"/>
      <c r="D113" s="3961"/>
      <c r="E113" s="3961"/>
      <c r="F113" s="3961"/>
      <c r="G113" s="3961"/>
      <c r="H113" s="3961"/>
      <c r="I113" s="3961"/>
      <c r="J113" s="3961"/>
      <c r="K113" s="3961"/>
      <c r="L113" s="3961"/>
      <c r="M113" s="3961"/>
      <c r="N113" s="3961"/>
      <c r="O113" s="3961"/>
      <c r="P113" s="3961"/>
      <c r="Q113" s="3962"/>
    </row>
    <row r="114" spans="1:32" ht="14.1" customHeight="1">
      <c r="A114" s="2648" t="s">
        <v>505</v>
      </c>
      <c r="B114" s="2648" t="s">
        <v>2513</v>
      </c>
      <c r="C114" s="2648"/>
      <c r="D114" s="2654"/>
      <c r="E114" s="2654"/>
      <c r="F114" s="2654"/>
      <c r="G114" s="2654"/>
      <c r="H114" s="2654"/>
      <c r="I114" s="2654"/>
      <c r="J114" s="2654"/>
      <c r="K114" s="2654"/>
      <c r="L114" s="2654"/>
      <c r="M114" s="2654"/>
      <c r="O114" s="130" t="s">
        <v>1782</v>
      </c>
      <c r="P114" s="3969"/>
      <c r="Q114" s="3970"/>
    </row>
    <row r="115" spans="1:32" ht="3" customHeight="1"/>
    <row r="116" spans="1:32" ht="12.75" customHeight="1">
      <c r="A116" s="47" t="s">
        <v>1894</v>
      </c>
      <c r="B116" s="52" t="s">
        <v>4233</v>
      </c>
      <c r="C116" s="52"/>
      <c r="E116" s="52"/>
      <c r="F116" s="52"/>
      <c r="G116" s="52"/>
      <c r="H116" s="52"/>
      <c r="I116" s="52"/>
      <c r="J116" s="52"/>
      <c r="K116" s="52"/>
      <c r="L116" s="783"/>
      <c r="M116" s="783"/>
      <c r="O116" s="439" t="s">
        <v>1894</v>
      </c>
      <c r="P116" s="2493" t="s">
        <v>2773</v>
      </c>
      <c r="Q116" s="2959"/>
    </row>
    <row r="117" spans="1:32" ht="12.75" customHeight="1">
      <c r="B117" s="1305" t="s">
        <v>1658</v>
      </c>
      <c r="C117" s="39" t="s">
        <v>527</v>
      </c>
      <c r="E117" s="42"/>
      <c r="F117" s="42"/>
      <c r="G117" s="42"/>
      <c r="H117" s="42"/>
      <c r="I117" s="42"/>
      <c r="L117" s="65" t="s">
        <v>528</v>
      </c>
      <c r="M117" s="4023"/>
      <c r="N117" s="4024"/>
      <c r="O117" s="4024"/>
      <c r="P117" s="3499"/>
      <c r="Q117" s="2954"/>
    </row>
    <row r="118" spans="1:32" s="42" customFormat="1" ht="12.75" customHeight="1">
      <c r="B118" s="144" t="s">
        <v>1659</v>
      </c>
      <c r="C118" s="36" t="s">
        <v>4014</v>
      </c>
      <c r="O118" s="65" t="s">
        <v>1659</v>
      </c>
      <c r="P118" s="2669"/>
      <c r="Q118" s="2959"/>
      <c r="AE118" s="50"/>
      <c r="AF118" s="50"/>
    </row>
    <row r="119" spans="1:32" s="42" customFormat="1" ht="12.75" customHeight="1">
      <c r="B119" s="1305" t="s">
        <v>1660</v>
      </c>
      <c r="C119" s="36" t="s">
        <v>4260</v>
      </c>
      <c r="O119" s="147" t="s">
        <v>1660</v>
      </c>
      <c r="P119" s="2499"/>
      <c r="Q119" s="2962"/>
      <c r="AE119" s="50"/>
      <c r="AF119" s="50"/>
    </row>
    <row r="120" spans="1:32" ht="12.75" customHeight="1">
      <c r="A120" s="2667"/>
      <c r="B120" s="451" t="s">
        <v>2261</v>
      </c>
      <c r="C120" s="783" t="s">
        <v>3960</v>
      </c>
      <c r="D120" s="901"/>
      <c r="E120" s="901"/>
      <c r="F120" s="901"/>
      <c r="G120" s="901"/>
      <c r="H120" s="901"/>
      <c r="I120" s="901"/>
      <c r="J120" s="901"/>
      <c r="K120" s="901"/>
      <c r="L120" s="901"/>
      <c r="M120" s="901"/>
      <c r="O120" s="159" t="s">
        <v>2261</v>
      </c>
      <c r="P120" s="2500"/>
      <c r="Q120" s="2954"/>
    </row>
    <row r="121" spans="1:32" ht="12.75" customHeight="1">
      <c r="A121" s="2667"/>
      <c r="B121" s="451" t="s">
        <v>1487</v>
      </c>
      <c r="C121" s="783" t="s">
        <v>3200</v>
      </c>
      <c r="D121" s="901"/>
      <c r="E121" s="901"/>
      <c r="F121" s="901"/>
      <c r="G121" s="901"/>
      <c r="H121" s="901"/>
      <c r="I121" s="901"/>
      <c r="J121" s="901"/>
      <c r="K121" s="901"/>
      <c r="L121" s="901"/>
      <c r="M121" s="901"/>
      <c r="O121" s="159" t="s">
        <v>1487</v>
      </c>
      <c r="P121" s="2670"/>
      <c r="Q121" s="2954"/>
    </row>
    <row r="122" spans="1:32" ht="12.75" customHeight="1">
      <c r="A122" s="2667"/>
      <c r="B122" s="451" t="s">
        <v>1488</v>
      </c>
      <c r="C122" s="783" t="s">
        <v>3201</v>
      </c>
      <c r="D122" s="901"/>
      <c r="E122" s="901"/>
      <c r="F122" s="901"/>
      <c r="G122" s="901"/>
      <c r="H122" s="901"/>
      <c r="I122" s="901"/>
      <c r="J122" s="901"/>
      <c r="K122" s="901"/>
      <c r="L122" s="901"/>
      <c r="M122" s="901"/>
      <c r="O122" s="159" t="s">
        <v>1488</v>
      </c>
      <c r="P122" s="2670"/>
      <c r="Q122" s="2954"/>
    </row>
    <row r="123" spans="1:32" ht="12.75" customHeight="1">
      <c r="A123" s="2667"/>
      <c r="B123" s="451" t="s">
        <v>92</v>
      </c>
      <c r="C123" s="783" t="s">
        <v>2673</v>
      </c>
      <c r="D123" s="783"/>
      <c r="E123" s="783"/>
      <c r="F123" s="783"/>
      <c r="G123" s="783"/>
      <c r="H123" s="783"/>
      <c r="I123" s="783"/>
      <c r="J123" s="783"/>
      <c r="K123" s="783"/>
      <c r="L123" s="783"/>
      <c r="M123" s="986"/>
      <c r="O123" s="159" t="s">
        <v>92</v>
      </c>
      <c r="P123" s="2670"/>
      <c r="Q123" s="2954"/>
    </row>
    <row r="124" spans="1:32" s="131" customFormat="1" ht="23.25" customHeight="1">
      <c r="A124" s="420"/>
      <c r="B124" s="451" t="s">
        <v>489</v>
      </c>
      <c r="C124" s="3971" t="s">
        <v>4152</v>
      </c>
      <c r="D124" s="3971"/>
      <c r="E124" s="3971"/>
      <c r="F124" s="3971"/>
      <c r="G124" s="3971"/>
      <c r="H124" s="3971"/>
      <c r="I124" s="3971"/>
      <c r="J124" s="3971"/>
      <c r="K124" s="3971"/>
      <c r="L124" s="3971"/>
      <c r="M124" s="3971"/>
      <c r="N124" s="3971"/>
      <c r="O124" s="159" t="s">
        <v>489</v>
      </c>
      <c r="P124" s="2666"/>
      <c r="Q124" s="2963"/>
      <c r="AE124" s="442"/>
      <c r="AF124" s="442"/>
    </row>
    <row r="125" spans="1:32" ht="12.75" customHeight="1">
      <c r="A125" s="47" t="s">
        <v>1896</v>
      </c>
      <c r="B125" s="52" t="s">
        <v>4151</v>
      </c>
      <c r="C125" s="52"/>
      <c r="E125" s="52"/>
      <c r="F125" s="52"/>
      <c r="G125" s="52"/>
      <c r="H125" s="52"/>
      <c r="I125" s="52"/>
      <c r="J125" s="52"/>
      <c r="K125" s="52"/>
      <c r="L125" s="52"/>
      <c r="M125" s="52"/>
      <c r="O125" s="439" t="s">
        <v>1896</v>
      </c>
      <c r="P125" s="2669" t="s">
        <v>2773</v>
      </c>
      <c r="Q125" s="2959"/>
    </row>
    <row r="126" spans="1:32" ht="12.75" customHeight="1">
      <c r="B126" s="1305" t="s">
        <v>1658</v>
      </c>
      <c r="C126" s="52" t="s">
        <v>4282</v>
      </c>
      <c r="D126" s="52"/>
      <c r="E126" s="52"/>
      <c r="F126" s="52"/>
      <c r="G126" s="52"/>
      <c r="H126" s="52"/>
      <c r="I126" s="52"/>
      <c r="J126" s="52"/>
      <c r="K126" s="52"/>
      <c r="L126" s="52"/>
      <c r="M126" s="52"/>
      <c r="O126" s="147" t="s">
        <v>1658</v>
      </c>
      <c r="P126" s="2669"/>
      <c r="Q126" s="2959"/>
    </row>
    <row r="127" spans="1:32" ht="12.75" customHeight="1">
      <c r="A127" s="47"/>
      <c r="B127" s="144" t="s">
        <v>1659</v>
      </c>
      <c r="C127" s="52" t="s">
        <v>4281</v>
      </c>
      <c r="D127" s="52"/>
      <c r="E127" s="52"/>
      <c r="F127" s="52"/>
      <c r="G127" s="52"/>
      <c r="H127" s="52"/>
      <c r="I127" s="52"/>
      <c r="J127" s="52"/>
      <c r="K127" s="52"/>
      <c r="L127" s="52"/>
      <c r="M127" s="52"/>
      <c r="O127" s="65" t="s">
        <v>1659</v>
      </c>
      <c r="P127" s="2501"/>
      <c r="Q127" s="2964"/>
    </row>
    <row r="128" spans="1:32" ht="10.5" customHeight="1">
      <c r="B128" s="139" t="s">
        <v>3373</v>
      </c>
      <c r="D128" s="139"/>
      <c r="E128" s="139"/>
      <c r="F128" s="139"/>
      <c r="G128" s="139"/>
      <c r="H128" s="40"/>
      <c r="I128" s="2667"/>
      <c r="J128" s="2667"/>
      <c r="K128" s="2667"/>
      <c r="L128" s="1401"/>
      <c r="M128" s="1401"/>
      <c r="N128" s="1401"/>
      <c r="O128" s="1401"/>
      <c r="P128" s="1401"/>
      <c r="Q128" s="782"/>
    </row>
    <row r="129" spans="1:31" ht="22.5" customHeight="1">
      <c r="A129" s="3966" t="s">
        <v>6907</v>
      </c>
      <c r="B129" s="3967"/>
      <c r="C129" s="3967"/>
      <c r="D129" s="3967"/>
      <c r="E129" s="3967"/>
      <c r="F129" s="3967"/>
      <c r="G129" s="3967"/>
      <c r="H129" s="3967"/>
      <c r="I129" s="3967"/>
      <c r="J129" s="3967"/>
      <c r="K129" s="3967"/>
      <c r="L129" s="3967"/>
      <c r="M129" s="3967"/>
      <c r="N129" s="3967"/>
      <c r="O129" s="3967"/>
      <c r="P129" s="3967"/>
      <c r="Q129" s="3968"/>
      <c r="U129" s="134"/>
      <c r="V129" s="134"/>
      <c r="W129" s="134"/>
      <c r="X129" s="134"/>
      <c r="Y129" s="134"/>
      <c r="Z129" s="134"/>
      <c r="AA129" s="134"/>
      <c r="AB129" s="134"/>
      <c r="AC129" s="134"/>
      <c r="AD129" s="134"/>
      <c r="AE129" s="441"/>
    </row>
    <row r="130" spans="1:31" ht="11.25" customHeight="1">
      <c r="B130" s="135" t="s">
        <v>1781</v>
      </c>
      <c r="C130" s="136"/>
      <c r="D130" s="2654"/>
      <c r="E130" s="2654"/>
      <c r="F130" s="2654"/>
      <c r="G130" s="2654"/>
      <c r="H130" s="2654"/>
      <c r="I130" s="2654"/>
      <c r="J130" s="2654"/>
      <c r="K130" s="2654"/>
      <c r="L130" s="2654"/>
      <c r="M130" s="2654"/>
      <c r="N130" s="2654"/>
      <c r="O130" s="2654"/>
      <c r="P130" s="2654"/>
      <c r="Q130" s="2654"/>
    </row>
    <row r="131" spans="1:31" ht="22.5" customHeight="1">
      <c r="A131" s="3960"/>
      <c r="B131" s="3961"/>
      <c r="C131" s="3961"/>
      <c r="D131" s="3961"/>
      <c r="E131" s="3961"/>
      <c r="F131" s="3961"/>
      <c r="G131" s="3961"/>
      <c r="H131" s="3961"/>
      <c r="I131" s="3961"/>
      <c r="J131" s="3961"/>
      <c r="K131" s="3961"/>
      <c r="L131" s="3961"/>
      <c r="M131" s="3961"/>
      <c r="N131" s="3961"/>
      <c r="O131" s="3961"/>
      <c r="P131" s="3961"/>
      <c r="Q131" s="3962"/>
    </row>
    <row r="132" spans="1:31" ht="14.1" customHeight="1">
      <c r="A132" s="2648" t="s">
        <v>742</v>
      </c>
      <c r="B132" s="2648" t="s">
        <v>2514</v>
      </c>
      <c r="C132" s="40"/>
      <c r="D132" s="2654"/>
      <c r="E132" s="2654"/>
      <c r="F132" s="2654"/>
      <c r="G132" s="2654"/>
      <c r="H132" s="2654"/>
      <c r="I132" s="2654"/>
      <c r="J132" s="2654"/>
      <c r="K132" s="2654"/>
      <c r="L132" s="2654"/>
      <c r="M132" s="2654"/>
      <c r="O132" s="130" t="s">
        <v>1782</v>
      </c>
      <c r="P132" s="3969"/>
      <c r="Q132" s="3970"/>
    </row>
    <row r="133" spans="1:31" ht="6.6" customHeight="1"/>
    <row r="134" spans="1:31">
      <c r="A134" s="47" t="s">
        <v>1894</v>
      </c>
      <c r="B134" s="52" t="s">
        <v>6443</v>
      </c>
      <c r="D134" s="132"/>
      <c r="E134" s="132"/>
      <c r="F134" s="132"/>
      <c r="G134" s="132"/>
      <c r="H134" s="132"/>
      <c r="I134" s="42"/>
      <c r="J134" s="42"/>
      <c r="K134" s="439" t="s">
        <v>1894</v>
      </c>
      <c r="L134" s="3963" t="s">
        <v>6908</v>
      </c>
      <c r="M134" s="3963"/>
      <c r="N134" s="3963"/>
      <c r="O134" s="3963"/>
      <c r="P134" s="3963"/>
      <c r="Q134" s="2956"/>
    </row>
    <row r="135" spans="1:31" ht="12" customHeight="1">
      <c r="B135" s="55" t="s">
        <v>6444</v>
      </c>
      <c r="O135" s="65" t="s">
        <v>1659</v>
      </c>
      <c r="P135" s="2500" t="s">
        <v>2773</v>
      </c>
      <c r="Q135" s="2965"/>
    </row>
    <row r="136" spans="1:31" ht="12" customHeight="1">
      <c r="A136" s="47" t="s">
        <v>1896</v>
      </c>
      <c r="B136" s="52" t="s">
        <v>1476</v>
      </c>
      <c r="D136" s="132"/>
      <c r="E136" s="132"/>
      <c r="F136" s="132"/>
      <c r="G136" s="132"/>
      <c r="H136" s="132"/>
      <c r="I136" s="42"/>
      <c r="J136" s="42"/>
      <c r="K136" s="132"/>
      <c r="L136" s="2658"/>
      <c r="O136" s="439" t="s">
        <v>1896</v>
      </c>
      <c r="P136" s="2500" t="s">
        <v>2773</v>
      </c>
      <c r="Q136" s="2965"/>
    </row>
    <row r="137" spans="1:31" ht="12" customHeight="1">
      <c r="A137" s="47" t="s">
        <v>719</v>
      </c>
      <c r="B137" s="52" t="s">
        <v>143</v>
      </c>
      <c r="D137" s="132"/>
      <c r="E137" s="132"/>
      <c r="F137" s="132"/>
      <c r="G137" s="132"/>
      <c r="H137" s="132"/>
      <c r="I137" s="42"/>
      <c r="J137" s="42"/>
      <c r="K137" s="2658"/>
      <c r="L137" s="2658"/>
      <c r="O137" s="439" t="s">
        <v>719</v>
      </c>
      <c r="P137" s="2668" t="s">
        <v>2770</v>
      </c>
      <c r="Q137" s="2966"/>
    </row>
    <row r="138" spans="1:31" ht="12" customHeight="1">
      <c r="A138" s="47"/>
      <c r="B138" s="783" t="s">
        <v>1658</v>
      </c>
      <c r="C138" s="52" t="s">
        <v>2541</v>
      </c>
      <c r="E138" s="132"/>
      <c r="F138" s="132"/>
      <c r="G138" s="132"/>
      <c r="H138" s="132"/>
      <c r="I138" s="42"/>
      <c r="J138" s="42"/>
      <c r="K138" s="65" t="s">
        <v>1658</v>
      </c>
      <c r="L138" s="3963" t="s">
        <v>6908</v>
      </c>
      <c r="M138" s="3963"/>
      <c r="N138" s="3963"/>
      <c r="O138" s="3963"/>
      <c r="P138" s="3963"/>
      <c r="Q138" s="2956"/>
    </row>
    <row r="139" spans="1:31" ht="12" customHeight="1">
      <c r="A139" s="137"/>
      <c r="B139" s="144" t="s">
        <v>1659</v>
      </c>
      <c r="C139" s="36" t="s">
        <v>3202</v>
      </c>
      <c r="E139" s="42"/>
      <c r="F139" s="42"/>
      <c r="G139" s="42"/>
      <c r="H139" s="52"/>
      <c r="I139" s="42"/>
      <c r="J139" s="42"/>
      <c r="K139" s="132"/>
      <c r="L139" s="2658"/>
      <c r="M139" s="2658"/>
      <c r="O139" s="439" t="s">
        <v>1659</v>
      </c>
      <c r="P139" s="2669">
        <v>70</v>
      </c>
      <c r="Q139" s="2959"/>
    </row>
    <row r="140" spans="1:31" ht="12" customHeight="1">
      <c r="A140" s="137"/>
      <c r="B140" s="40" t="s">
        <v>1660</v>
      </c>
      <c r="C140" s="36" t="s">
        <v>3946</v>
      </c>
      <c r="D140" s="146"/>
      <c r="E140" s="42"/>
      <c r="F140" s="42"/>
      <c r="G140" s="42"/>
      <c r="H140" s="52"/>
      <c r="I140" s="42"/>
      <c r="J140" s="42"/>
      <c r="K140" s="132"/>
      <c r="L140" s="2658"/>
      <c r="M140" s="2658"/>
      <c r="O140" s="439" t="s">
        <v>1660</v>
      </c>
      <c r="P140" s="2668" t="s">
        <v>2770</v>
      </c>
      <c r="Q140" s="2955"/>
    </row>
    <row r="141" spans="1:31" ht="12" customHeight="1">
      <c r="A141" s="47" t="s">
        <v>2022</v>
      </c>
      <c r="B141" s="144" t="s">
        <v>2305</v>
      </c>
      <c r="D141" s="132"/>
      <c r="E141" s="132"/>
      <c r="F141" s="132"/>
      <c r="G141" s="132"/>
      <c r="H141" s="132"/>
      <c r="I141" s="42"/>
      <c r="J141" s="42"/>
      <c r="K141" s="132"/>
      <c r="M141" s="2658"/>
      <c r="N141" s="2658"/>
      <c r="O141" s="2658"/>
      <c r="P141" s="2658"/>
      <c r="Q141" s="2658"/>
    </row>
    <row r="142" spans="1:31" ht="12" customHeight="1">
      <c r="A142" s="47"/>
      <c r="B142" s="144" t="s">
        <v>1658</v>
      </c>
      <c r="C142" s="52" t="s">
        <v>1214</v>
      </c>
      <c r="D142" s="132"/>
      <c r="E142" s="144"/>
      <c r="F142" s="2492" t="s">
        <v>2770</v>
      </c>
      <c r="G142" s="2953"/>
      <c r="H142" s="439" t="s">
        <v>4042</v>
      </c>
      <c r="I142" s="52" t="s">
        <v>6333</v>
      </c>
      <c r="K142" s="2669" t="s">
        <v>2770</v>
      </c>
      <c r="L142" s="2959"/>
      <c r="M142" s="439" t="s">
        <v>4046</v>
      </c>
      <c r="N142" s="55" t="s">
        <v>3419</v>
      </c>
      <c r="O142" s="2658"/>
      <c r="P142" s="2492" t="s">
        <v>2773</v>
      </c>
      <c r="Q142" s="2953"/>
    </row>
    <row r="143" spans="1:31" ht="12.75" customHeight="1">
      <c r="B143" s="144" t="s">
        <v>1659</v>
      </c>
      <c r="C143" s="52" t="s">
        <v>6445</v>
      </c>
      <c r="E143" s="132"/>
      <c r="F143" s="2670" t="s">
        <v>2770</v>
      </c>
      <c r="G143" s="2954"/>
      <c r="H143" s="439" t="s">
        <v>4043</v>
      </c>
      <c r="I143" s="52" t="s">
        <v>6334</v>
      </c>
      <c r="K143" s="2670" t="s">
        <v>2773</v>
      </c>
      <c r="L143" s="2954"/>
      <c r="M143" s="439" t="s">
        <v>4047</v>
      </c>
      <c r="N143" s="52" t="s">
        <v>1489</v>
      </c>
      <c r="P143" s="2492" t="s">
        <v>2773</v>
      </c>
      <c r="Q143" s="2954"/>
    </row>
    <row r="144" spans="1:31" ht="12" customHeight="1">
      <c r="A144" s="36"/>
      <c r="B144" s="144" t="s">
        <v>1660</v>
      </c>
      <c r="C144" s="52" t="s">
        <v>6446</v>
      </c>
      <c r="E144" s="132"/>
      <c r="F144" s="2670" t="s">
        <v>2773</v>
      </c>
      <c r="G144" s="2954"/>
      <c r="H144" s="439" t="s">
        <v>4044</v>
      </c>
      <c r="I144" s="55" t="s">
        <v>6447</v>
      </c>
      <c r="K144" s="2668" t="s">
        <v>2773</v>
      </c>
      <c r="L144" s="2955"/>
      <c r="M144" s="439" t="s">
        <v>6448</v>
      </c>
      <c r="N144" s="55" t="s">
        <v>6335</v>
      </c>
      <c r="P144" s="2492" t="s">
        <v>2773</v>
      </c>
      <c r="Q144" s="2954"/>
    </row>
    <row r="145" spans="1:32" ht="12" customHeight="1">
      <c r="A145" s="36"/>
      <c r="B145" s="144" t="s">
        <v>2261</v>
      </c>
      <c r="C145" s="55" t="s">
        <v>2504</v>
      </c>
      <c r="E145" s="132"/>
      <c r="F145" s="2668" t="s">
        <v>2773</v>
      </c>
      <c r="G145" s="2954"/>
      <c r="H145" s="439" t="s">
        <v>4045</v>
      </c>
      <c r="I145" s="3971" t="s">
        <v>6450</v>
      </c>
      <c r="J145" s="3971"/>
      <c r="K145" s="784"/>
      <c r="M145" s="439" t="s">
        <v>6449</v>
      </c>
      <c r="N145" s="52" t="s">
        <v>141</v>
      </c>
      <c r="P145" s="2492" t="s">
        <v>2773</v>
      </c>
      <c r="Q145" s="2955"/>
    </row>
    <row r="146" spans="1:32" ht="12" customHeight="1">
      <c r="A146" s="36"/>
      <c r="B146" s="439" t="s">
        <v>4041</v>
      </c>
      <c r="C146" s="52" t="s">
        <v>2612</v>
      </c>
      <c r="E146" s="132"/>
      <c r="F146" s="2668" t="s">
        <v>2770</v>
      </c>
      <c r="G146" s="2955"/>
      <c r="I146" s="3971"/>
      <c r="J146" s="3971"/>
      <c r="K146" s="2493" t="s">
        <v>2773</v>
      </c>
      <c r="L146" s="2956"/>
    </row>
    <row r="147" spans="1:32" ht="12" customHeight="1">
      <c r="A147" s="36"/>
      <c r="B147" s="439" t="s">
        <v>6469</v>
      </c>
      <c r="C147" s="52" t="s">
        <v>2613</v>
      </c>
      <c r="E147" s="132"/>
      <c r="F147" s="132"/>
      <c r="G147" s="132"/>
      <c r="H147" s="132"/>
      <c r="I147" s="132"/>
      <c r="J147" s="132"/>
      <c r="K147" s="132"/>
      <c r="L147" s="132"/>
      <c r="M147" s="52"/>
      <c r="O147" s="65"/>
      <c r="P147" s="65"/>
    </row>
    <row r="148" spans="1:32" ht="12" customHeight="1">
      <c r="A148" s="36"/>
      <c r="C148" s="4153" t="s">
        <v>2626</v>
      </c>
      <c r="D148" s="4153"/>
      <c r="E148" s="4153"/>
      <c r="F148" s="4153"/>
      <c r="G148" s="4153"/>
      <c r="H148" s="4153"/>
      <c r="I148" s="4153"/>
      <c r="J148" s="4153"/>
      <c r="K148" s="4153"/>
      <c r="L148" s="4153"/>
      <c r="M148" s="4153"/>
      <c r="N148" s="4153"/>
      <c r="O148" s="4153"/>
      <c r="P148" s="4153"/>
      <c r="Q148" s="4153"/>
    </row>
    <row r="149" spans="1:32" ht="12" customHeight="1">
      <c r="A149" s="47" t="s">
        <v>1656</v>
      </c>
      <c r="B149" s="52" t="s">
        <v>3260</v>
      </c>
      <c r="D149" s="132"/>
      <c r="E149" s="132"/>
      <c r="F149" s="132"/>
      <c r="G149" s="132"/>
      <c r="H149" s="132"/>
      <c r="I149" s="42"/>
      <c r="J149" s="42"/>
      <c r="K149" s="132"/>
      <c r="L149" s="132"/>
      <c r="M149" s="2658"/>
    </row>
    <row r="150" spans="1:32" ht="12.75" customHeight="1">
      <c r="A150" s="42"/>
      <c r="B150" s="144" t="s">
        <v>1658</v>
      </c>
      <c r="C150" s="52" t="s">
        <v>2614</v>
      </c>
      <c r="E150" s="132"/>
      <c r="F150" s="132"/>
      <c r="G150" s="132"/>
      <c r="H150" s="132"/>
      <c r="O150" s="65" t="s">
        <v>1658</v>
      </c>
      <c r="P150" s="2492" t="s">
        <v>2773</v>
      </c>
      <c r="Q150" s="2953"/>
    </row>
    <row r="151" spans="1:32" ht="12.75" customHeight="1">
      <c r="A151" s="2667"/>
      <c r="B151" s="144" t="s">
        <v>1659</v>
      </c>
      <c r="C151" s="52" t="s">
        <v>469</v>
      </c>
      <c r="E151" s="52"/>
      <c r="F151" s="52"/>
      <c r="G151" s="52"/>
      <c r="H151" s="52"/>
      <c r="I151" s="42"/>
      <c r="J151" s="42"/>
      <c r="K151" s="52"/>
      <c r="L151" s="52"/>
      <c r="M151" s="52"/>
      <c r="O151" s="65" t="s">
        <v>1659</v>
      </c>
      <c r="P151" s="2492" t="s">
        <v>2773</v>
      </c>
      <c r="Q151" s="2954"/>
    </row>
    <row r="152" spans="1:32" ht="12.75" customHeight="1">
      <c r="A152" s="2667"/>
      <c r="B152" s="144" t="s">
        <v>1660</v>
      </c>
      <c r="C152" s="52" t="s">
        <v>651</v>
      </c>
      <c r="E152" s="52"/>
      <c r="F152" s="52"/>
      <c r="G152" s="52"/>
      <c r="H152" s="52"/>
      <c r="I152" s="42"/>
      <c r="J152" s="42"/>
      <c r="K152" s="52"/>
      <c r="L152" s="52"/>
      <c r="M152" s="52"/>
      <c r="O152" s="65" t="s">
        <v>1660</v>
      </c>
      <c r="P152" s="2492" t="s">
        <v>2773</v>
      </c>
      <c r="Q152" s="2954"/>
    </row>
    <row r="153" spans="1:32" ht="12.75" customHeight="1">
      <c r="A153" s="2667"/>
      <c r="B153" s="40" t="s">
        <v>2261</v>
      </c>
      <c r="C153" s="52" t="s">
        <v>4028</v>
      </c>
      <c r="E153" s="52"/>
      <c r="F153" s="52"/>
      <c r="G153" s="52"/>
      <c r="H153" s="52"/>
      <c r="I153" s="42"/>
      <c r="J153" s="42"/>
      <c r="K153" s="52"/>
      <c r="L153" s="52"/>
      <c r="M153" s="52"/>
      <c r="O153" s="439" t="s">
        <v>2261</v>
      </c>
      <c r="P153" s="2492" t="s">
        <v>2773</v>
      </c>
      <c r="Q153" s="2955"/>
    </row>
    <row r="154" spans="1:32" ht="12" customHeight="1">
      <c r="A154" s="399" t="s">
        <v>4153</v>
      </c>
      <c r="C154" s="52"/>
      <c r="D154" s="132"/>
      <c r="E154" s="132"/>
      <c r="F154" s="132"/>
      <c r="G154" s="132"/>
      <c r="H154" s="132"/>
      <c r="I154" s="42"/>
      <c r="J154" s="42"/>
      <c r="K154" s="132"/>
      <c r="L154" s="132"/>
      <c r="M154" s="2658"/>
      <c r="N154" s="2658"/>
      <c r="O154" s="2658"/>
      <c r="P154" s="2658"/>
      <c r="Q154" s="2658"/>
      <c r="R154" s="2658"/>
    </row>
    <row r="155" spans="1:32" s="1" customFormat="1" ht="24" customHeight="1">
      <c r="A155" s="140" t="s">
        <v>1657</v>
      </c>
      <c r="B155" s="3971" t="s">
        <v>140</v>
      </c>
      <c r="C155" s="3971"/>
      <c r="D155" s="3971"/>
      <c r="E155" s="3971"/>
      <c r="F155" s="3971"/>
      <c r="G155" s="3971"/>
      <c r="H155" s="3971"/>
      <c r="I155" s="3971"/>
      <c r="J155" s="3971"/>
      <c r="K155" s="3971"/>
      <c r="L155" s="3971"/>
      <c r="M155" s="439" t="s">
        <v>1859</v>
      </c>
      <c r="N155" s="4046" t="s">
        <v>1691</v>
      </c>
      <c r="O155" s="4047"/>
      <c r="P155" s="4048" t="s">
        <v>1691</v>
      </c>
      <c r="Q155" s="4049"/>
      <c r="AE155" s="5"/>
      <c r="AF155" s="5"/>
    </row>
    <row r="156" spans="1:32" ht="11.25" customHeight="1">
      <c r="B156" s="139" t="s">
        <v>3373</v>
      </c>
      <c r="D156" s="139"/>
      <c r="E156" s="139"/>
      <c r="F156" s="139"/>
      <c r="G156" s="139"/>
      <c r="H156" s="40"/>
      <c r="I156" s="2667"/>
      <c r="J156" s="2667"/>
      <c r="K156" s="2667"/>
      <c r="L156" s="1401"/>
      <c r="M156" s="1401"/>
      <c r="N156" s="1401"/>
      <c r="O156" s="1401"/>
      <c r="P156" s="1401"/>
      <c r="Q156" s="782"/>
    </row>
    <row r="157" spans="1:32" ht="121.5" customHeight="1">
      <c r="A157" s="3966" t="s">
        <v>7033</v>
      </c>
      <c r="B157" s="3967"/>
      <c r="C157" s="3967"/>
      <c r="D157" s="3967"/>
      <c r="E157" s="3967"/>
      <c r="F157" s="3967"/>
      <c r="G157" s="3967"/>
      <c r="H157" s="3967"/>
      <c r="I157" s="3967"/>
      <c r="J157" s="3967"/>
      <c r="K157" s="3967"/>
      <c r="L157" s="3967"/>
      <c r="M157" s="3967"/>
      <c r="N157" s="3967"/>
      <c r="O157" s="3967"/>
      <c r="P157" s="3967"/>
      <c r="Q157" s="3968"/>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1781</v>
      </c>
      <c r="C159" s="136"/>
      <c r="D159" s="2654"/>
      <c r="E159" s="2654"/>
      <c r="F159" s="2654"/>
      <c r="G159" s="2654"/>
      <c r="H159" s="2654"/>
      <c r="I159" s="2654"/>
      <c r="J159" s="2654"/>
      <c r="K159" s="2654"/>
      <c r="L159" s="2654"/>
      <c r="M159" s="2654"/>
      <c r="N159" s="2654"/>
      <c r="O159" s="2654"/>
      <c r="P159" s="2654"/>
      <c r="Q159" s="2654"/>
    </row>
    <row r="160" spans="1:32" ht="45" customHeight="1">
      <c r="A160" s="3960"/>
      <c r="B160" s="3961"/>
      <c r="C160" s="3961"/>
      <c r="D160" s="3961"/>
      <c r="E160" s="3961"/>
      <c r="F160" s="3961"/>
      <c r="G160" s="3961"/>
      <c r="H160" s="3961"/>
      <c r="I160" s="3961"/>
      <c r="J160" s="3961"/>
      <c r="K160" s="3961"/>
      <c r="L160" s="3961"/>
      <c r="M160" s="3961"/>
      <c r="N160" s="3961"/>
      <c r="O160" s="3961"/>
      <c r="P160" s="3961"/>
      <c r="Q160" s="3962"/>
    </row>
    <row r="161" spans="1:31" ht="3" customHeight="1">
      <c r="A161" s="1401"/>
      <c r="B161" s="2667"/>
      <c r="C161" s="2654"/>
      <c r="D161" s="2654"/>
      <c r="E161" s="2654"/>
      <c r="F161" s="2654"/>
      <c r="G161" s="2654"/>
      <c r="H161" s="2654"/>
      <c r="I161" s="2654"/>
      <c r="J161" s="2654"/>
      <c r="K161" s="2654"/>
      <c r="L161" s="2654"/>
      <c r="M161" s="2654"/>
      <c r="N161" s="2654"/>
      <c r="O161" s="2654"/>
      <c r="P161" s="2654"/>
      <c r="Q161" s="1401"/>
    </row>
    <row r="162" spans="1:31" ht="14.1" customHeight="1">
      <c r="A162" s="2648" t="s">
        <v>281</v>
      </c>
      <c r="B162" s="2648" t="s">
        <v>2515</v>
      </c>
      <c r="C162" s="2648"/>
      <c r="D162" s="2654"/>
      <c r="E162" s="2654"/>
      <c r="F162" s="2654"/>
      <c r="G162" s="2654"/>
      <c r="H162" s="2654"/>
      <c r="I162" s="2654"/>
      <c r="J162" s="2654"/>
      <c r="K162" s="2654"/>
      <c r="O162" s="130" t="s">
        <v>1782</v>
      </c>
      <c r="P162" s="3969"/>
      <c r="Q162" s="3970"/>
    </row>
    <row r="163" spans="1:31" ht="12" customHeight="1">
      <c r="A163" s="47" t="s">
        <v>1894</v>
      </c>
      <c r="B163" s="144" t="s">
        <v>1658</v>
      </c>
      <c r="C163" s="52" t="s">
        <v>6336</v>
      </c>
      <c r="D163" s="52"/>
      <c r="E163" s="52"/>
      <c r="F163" s="52"/>
      <c r="G163" s="52"/>
      <c r="K163" s="52" t="s">
        <v>2556</v>
      </c>
      <c r="M163" s="4050">
        <v>44531</v>
      </c>
      <c r="N163" s="4051"/>
      <c r="O163" s="65" t="s">
        <v>1658</v>
      </c>
      <c r="P163" s="2489" t="s">
        <v>2770</v>
      </c>
      <c r="Q163" s="2967"/>
    </row>
    <row r="164" spans="1:31" ht="12" customHeight="1">
      <c r="A164" s="47"/>
      <c r="B164" s="144" t="s">
        <v>1659</v>
      </c>
      <c r="C164" s="52" t="s">
        <v>4261</v>
      </c>
      <c r="D164" s="52"/>
      <c r="E164" s="52"/>
      <c r="F164" s="52"/>
      <c r="G164" s="52"/>
      <c r="K164" s="52" t="s">
        <v>2556</v>
      </c>
      <c r="M164" s="4050"/>
      <c r="N164" s="4051"/>
      <c r="O164" s="65" t="s">
        <v>1659</v>
      </c>
      <c r="P164" s="2489"/>
      <c r="Q164" s="2967"/>
    </row>
    <row r="165" spans="1:31" ht="12" customHeight="1">
      <c r="A165" s="47" t="s">
        <v>1896</v>
      </c>
      <c r="B165" s="138" t="s">
        <v>142</v>
      </c>
      <c r="D165" s="138"/>
      <c r="E165" s="138"/>
      <c r="F165" s="52" t="str">
        <f>IF(M165="Ground lease/Option","Ground lease/Option:","")</f>
        <v>Ground lease/Option:</v>
      </c>
      <c r="H165" s="36" t="str">
        <f>IF(M165="Ground lease/Option","Annual Pymt:","")</f>
        <v>Annual Pymt:</v>
      </c>
      <c r="I165" s="1315">
        <f>IF(M165="Ground lease/Option",'Part VI-Revenues &amp; Expenses'!$K$248,"")</f>
        <v>0</v>
      </c>
      <c r="J165" s="439" t="str">
        <f>IF(M165="Ground lease/Option","Term:","")</f>
        <v>Term:</v>
      </c>
      <c r="K165" s="1676">
        <f>IF(M165="Ground lease/Option",'Part VI-Revenues &amp; Expenses'!$N$248,"")</f>
        <v>0</v>
      </c>
      <c r="L165" s="439" t="s">
        <v>1896</v>
      </c>
      <c r="M165" s="4061" t="s">
        <v>6909</v>
      </c>
      <c r="N165" s="4062"/>
      <c r="P165" s="4063" t="s">
        <v>1691</v>
      </c>
      <c r="Q165" s="4064"/>
    </row>
    <row r="166" spans="1:31" ht="12" customHeight="1">
      <c r="A166" s="47" t="s">
        <v>719</v>
      </c>
      <c r="B166" s="138" t="s">
        <v>652</v>
      </c>
      <c r="D166" s="138"/>
      <c r="E166" s="138"/>
      <c r="F166" s="138"/>
      <c r="G166" s="138"/>
      <c r="H166" s="138"/>
      <c r="J166" s="439" t="s">
        <v>719</v>
      </c>
      <c r="K166" s="4023" t="s">
        <v>6963</v>
      </c>
      <c r="L166" s="4024"/>
      <c r="M166" s="4024"/>
      <c r="N166" s="4024"/>
      <c r="O166" s="4024"/>
      <c r="P166" s="4025"/>
      <c r="Q166" s="2967"/>
    </row>
    <row r="167" spans="1:31" ht="21.75" customHeight="1">
      <c r="A167" s="140" t="s">
        <v>2022</v>
      </c>
      <c r="B167" s="3971" t="s">
        <v>6451</v>
      </c>
      <c r="C167" s="3971"/>
      <c r="D167" s="3971"/>
      <c r="E167" s="3971"/>
      <c r="F167" s="3971"/>
      <c r="G167" s="3971"/>
      <c r="H167" s="3971"/>
      <c r="I167" s="3971"/>
      <c r="J167" s="3971"/>
      <c r="K167" s="3971"/>
      <c r="L167" s="3971"/>
      <c r="M167" s="3971"/>
      <c r="N167" s="3971"/>
      <c r="O167" s="159" t="s">
        <v>2022</v>
      </c>
      <c r="P167" s="2666" t="s">
        <v>6858</v>
      </c>
      <c r="Q167" s="2963"/>
    </row>
    <row r="168" spans="1:31" ht="12" customHeight="1">
      <c r="B168" s="139" t="s">
        <v>3373</v>
      </c>
      <c r="D168" s="139"/>
      <c r="E168" s="139"/>
      <c r="F168" s="139"/>
      <c r="G168" s="139"/>
      <c r="H168" s="40"/>
      <c r="I168" s="2667"/>
      <c r="J168" s="2667"/>
      <c r="K168" s="2667"/>
      <c r="L168" s="1401"/>
      <c r="M168" s="1401"/>
      <c r="N168" s="1401"/>
      <c r="O168" s="1401"/>
      <c r="P168" s="1401"/>
      <c r="Q168" s="782"/>
    </row>
    <row r="169" spans="1:31" ht="27.95" customHeight="1">
      <c r="A169" s="3966" t="s">
        <v>6910</v>
      </c>
      <c r="B169" s="3967"/>
      <c r="C169" s="3967"/>
      <c r="D169" s="3967"/>
      <c r="E169" s="3967"/>
      <c r="F169" s="3967"/>
      <c r="G169" s="3967"/>
      <c r="H169" s="3967"/>
      <c r="I169" s="3967"/>
      <c r="J169" s="3967"/>
      <c r="K169" s="3967"/>
      <c r="L169" s="3967"/>
      <c r="M169" s="3967"/>
      <c r="N169" s="3967"/>
      <c r="O169" s="3967"/>
      <c r="P169" s="3967"/>
      <c r="Q169" s="3968"/>
      <c r="U169" s="134"/>
      <c r="V169" s="134"/>
      <c r="W169" s="134"/>
      <c r="X169" s="134"/>
      <c r="Y169" s="134"/>
      <c r="Z169" s="134"/>
      <c r="AA169" s="134"/>
      <c r="AB169" s="134"/>
      <c r="AC169" s="134"/>
      <c r="AD169" s="134"/>
      <c r="AE169" s="441"/>
    </row>
    <row r="170" spans="1:31" ht="12" customHeight="1">
      <c r="B170" s="135" t="s">
        <v>1781</v>
      </c>
      <c r="C170" s="136"/>
      <c r="D170" s="2654"/>
      <c r="E170" s="2654"/>
      <c r="F170" s="2654"/>
      <c r="G170" s="2654"/>
      <c r="H170" s="2654"/>
      <c r="I170" s="2654"/>
      <c r="J170" s="2654"/>
      <c r="K170" s="2654"/>
      <c r="L170" s="2654"/>
      <c r="M170" s="2654"/>
      <c r="N170" s="2654"/>
      <c r="O170" s="2654"/>
      <c r="P170" s="2654"/>
      <c r="Q170" s="2654"/>
    </row>
    <row r="171" spans="1:31" ht="11.45" customHeight="1">
      <c r="A171" s="3960"/>
      <c r="B171" s="3961"/>
      <c r="C171" s="3961"/>
      <c r="D171" s="3961"/>
      <c r="E171" s="3961"/>
      <c r="F171" s="3961"/>
      <c r="G171" s="3961"/>
      <c r="H171" s="3961"/>
      <c r="I171" s="3961"/>
      <c r="J171" s="3961"/>
      <c r="K171" s="3961"/>
      <c r="L171" s="3961"/>
      <c r="M171" s="3961"/>
      <c r="N171" s="3961"/>
      <c r="O171" s="3961"/>
      <c r="P171" s="3961"/>
      <c r="Q171" s="3962"/>
    </row>
    <row r="172" spans="1:31" ht="3" customHeight="1">
      <c r="A172" s="1401"/>
      <c r="B172" s="2667"/>
      <c r="C172" s="2654"/>
      <c r="D172" s="2654"/>
      <c r="E172" s="2654"/>
      <c r="F172" s="2654"/>
      <c r="G172" s="2654"/>
      <c r="H172" s="2654"/>
      <c r="I172" s="2654"/>
      <c r="J172" s="2654"/>
      <c r="K172" s="2654"/>
      <c r="L172" s="2654"/>
      <c r="M172" s="2654"/>
      <c r="Q172" s="1401"/>
    </row>
    <row r="173" spans="1:31" ht="14.1" customHeight="1">
      <c r="A173" s="2648" t="s">
        <v>407</v>
      </c>
      <c r="B173" s="2648" t="s">
        <v>2516</v>
      </c>
      <c r="C173" s="2648"/>
      <c r="D173" s="2654"/>
      <c r="E173" s="2654"/>
      <c r="F173" s="2654"/>
      <c r="G173" s="2654"/>
      <c r="H173" s="2654"/>
      <c r="I173" s="2654"/>
      <c r="J173" s="2654"/>
      <c r="K173" s="2654"/>
      <c r="L173" s="2654"/>
      <c r="M173" s="2654"/>
      <c r="O173" s="130" t="s">
        <v>1782</v>
      </c>
      <c r="P173" s="3969"/>
      <c r="Q173" s="3970"/>
    </row>
    <row r="174" spans="1:31" ht="21.75" customHeight="1">
      <c r="A174" s="140" t="s">
        <v>1894</v>
      </c>
      <c r="B174" s="3971" t="s">
        <v>3367</v>
      </c>
      <c r="C174" s="3971"/>
      <c r="D174" s="3971"/>
      <c r="E174" s="3971"/>
      <c r="F174" s="3971"/>
      <c r="G174" s="3971"/>
      <c r="H174" s="3971"/>
      <c r="I174" s="3971"/>
      <c r="J174" s="3971"/>
      <c r="K174" s="3971"/>
      <c r="L174" s="3971"/>
      <c r="M174" s="3971"/>
      <c r="N174" s="3971"/>
      <c r="O174" s="159" t="s">
        <v>1894</v>
      </c>
      <c r="P174" s="2502" t="s">
        <v>2770</v>
      </c>
      <c r="Q174" s="2968"/>
    </row>
    <row r="175" spans="1:31" ht="22.35" customHeight="1">
      <c r="A175" s="140" t="s">
        <v>1896</v>
      </c>
      <c r="B175" s="3971" t="s">
        <v>3961</v>
      </c>
      <c r="C175" s="3971"/>
      <c r="D175" s="3971"/>
      <c r="E175" s="3971"/>
      <c r="F175" s="3971"/>
      <c r="G175" s="3971"/>
      <c r="H175" s="3971"/>
      <c r="I175" s="3971"/>
      <c r="J175" s="3971"/>
      <c r="K175" s="3971"/>
      <c r="L175" s="3971"/>
      <c r="M175" s="3971"/>
      <c r="N175" s="3971"/>
      <c r="O175" s="159" t="s">
        <v>1896</v>
      </c>
      <c r="P175" s="2665" t="s">
        <v>6904</v>
      </c>
      <c r="Q175" s="2961"/>
    </row>
    <row r="176" spans="1:31" ht="22.35" customHeight="1">
      <c r="A176" s="140" t="s">
        <v>719</v>
      </c>
      <c r="B176" s="3971" t="s">
        <v>3368</v>
      </c>
      <c r="C176" s="3971"/>
      <c r="D176" s="3971"/>
      <c r="E176" s="3971"/>
      <c r="F176" s="3971"/>
      <c r="G176" s="3971"/>
      <c r="H176" s="3971"/>
      <c r="I176" s="3971"/>
      <c r="J176" s="3971"/>
      <c r="K176" s="3971"/>
      <c r="L176" s="3971"/>
      <c r="M176" s="3971"/>
      <c r="N176" s="3971"/>
      <c r="O176" s="159" t="s">
        <v>719</v>
      </c>
      <c r="P176" s="2665" t="s">
        <v>6904</v>
      </c>
      <c r="Q176" s="2961"/>
    </row>
    <row r="177" spans="1:32" ht="21.75" customHeight="1">
      <c r="A177" s="140" t="s">
        <v>2022</v>
      </c>
      <c r="B177" s="3971" t="s">
        <v>4009</v>
      </c>
      <c r="C177" s="3971"/>
      <c r="D177" s="3971"/>
      <c r="E177" s="3971"/>
      <c r="F177" s="3971"/>
      <c r="G177" s="3971"/>
      <c r="H177" s="3971"/>
      <c r="I177" s="3971"/>
      <c r="J177" s="3971"/>
      <c r="K177" s="3971"/>
      <c r="L177" s="3971"/>
      <c r="M177" s="3971"/>
      <c r="N177" s="3971"/>
      <c r="O177" s="159" t="s">
        <v>2022</v>
      </c>
      <c r="P177" s="2666" t="s">
        <v>6904</v>
      </c>
      <c r="Q177" s="2963"/>
    </row>
    <row r="178" spans="1:32" ht="12" customHeight="1">
      <c r="B178" s="139" t="s">
        <v>3373</v>
      </c>
      <c r="D178" s="139"/>
      <c r="E178" s="139"/>
      <c r="F178" s="139"/>
      <c r="G178" s="139"/>
      <c r="H178" s="40"/>
      <c r="I178" s="2667"/>
      <c r="J178" s="2667"/>
      <c r="K178" s="2667"/>
      <c r="L178" s="1401"/>
      <c r="M178" s="1401"/>
      <c r="N178" s="1401"/>
      <c r="O178" s="1401"/>
      <c r="P178" s="1401"/>
      <c r="Q178" s="782"/>
    </row>
    <row r="179" spans="1:32" ht="11.45" customHeight="1">
      <c r="A179" s="3966" t="s">
        <v>6911</v>
      </c>
      <c r="B179" s="3967"/>
      <c r="C179" s="3967"/>
      <c r="D179" s="3967"/>
      <c r="E179" s="3967"/>
      <c r="F179" s="3967"/>
      <c r="G179" s="3967"/>
      <c r="H179" s="3967"/>
      <c r="I179" s="3967"/>
      <c r="J179" s="3967"/>
      <c r="K179" s="3967"/>
      <c r="L179" s="3967"/>
      <c r="M179" s="3967"/>
      <c r="N179" s="3967"/>
      <c r="O179" s="3967"/>
      <c r="P179" s="3967"/>
      <c r="Q179" s="3968"/>
      <c r="U179" s="134"/>
      <c r="V179" s="134"/>
      <c r="W179" s="134"/>
      <c r="X179" s="134"/>
      <c r="Y179" s="134"/>
      <c r="Z179" s="134"/>
      <c r="AA179" s="134"/>
      <c r="AB179" s="134"/>
      <c r="AC179" s="134"/>
      <c r="AD179" s="134"/>
      <c r="AE179" s="441"/>
    </row>
    <row r="180" spans="1:32" ht="12" customHeight="1">
      <c r="B180" s="135" t="s">
        <v>1781</v>
      </c>
      <c r="C180" s="136"/>
      <c r="D180" s="2654"/>
      <c r="E180" s="2654"/>
      <c r="F180" s="2654"/>
      <c r="G180" s="2654"/>
      <c r="H180" s="2654"/>
      <c r="I180" s="2654"/>
      <c r="J180" s="2654"/>
      <c r="K180" s="2654"/>
      <c r="L180" s="2654"/>
      <c r="M180" s="2654"/>
      <c r="N180" s="2654"/>
      <c r="O180" s="2654"/>
      <c r="P180" s="2654"/>
      <c r="Q180" s="2654"/>
    </row>
    <row r="181" spans="1:32" ht="11.45" customHeight="1">
      <c r="A181" s="3960"/>
      <c r="B181" s="3961"/>
      <c r="C181" s="3961"/>
      <c r="D181" s="3961"/>
      <c r="E181" s="3961"/>
      <c r="F181" s="3961"/>
      <c r="G181" s="3961"/>
      <c r="H181" s="3961"/>
      <c r="I181" s="3961"/>
      <c r="J181" s="3961"/>
      <c r="K181" s="3961"/>
      <c r="L181" s="3961"/>
      <c r="M181" s="3961"/>
      <c r="N181" s="3961"/>
      <c r="O181" s="3961"/>
      <c r="P181" s="3961"/>
      <c r="Q181" s="3962"/>
    </row>
    <row r="182" spans="1:32" ht="3" customHeight="1">
      <c r="B182" s="2667"/>
      <c r="C182" s="2654"/>
      <c r="D182" s="2654"/>
      <c r="E182" s="2654"/>
      <c r="F182" s="2654"/>
      <c r="G182" s="2654"/>
      <c r="H182" s="2654"/>
      <c r="I182" s="2654"/>
      <c r="J182" s="2654"/>
      <c r="K182" s="2654"/>
      <c r="L182" s="2654"/>
      <c r="M182" s="2654"/>
      <c r="N182" s="2654"/>
      <c r="O182" s="2654"/>
      <c r="P182" s="2654"/>
      <c r="Q182" s="1401"/>
    </row>
    <row r="183" spans="1:32" ht="14.1" customHeight="1">
      <c r="A183" s="2632" t="s">
        <v>346</v>
      </c>
      <c r="B183" s="3883" t="s">
        <v>2517</v>
      </c>
      <c r="C183" s="3883"/>
      <c r="D183" s="3883"/>
      <c r="F183" s="380" t="s">
        <v>6381</v>
      </c>
      <c r="O183" s="130" t="s">
        <v>1782</v>
      </c>
      <c r="P183" s="3969"/>
      <c r="Q183" s="3970"/>
    </row>
    <row r="184" spans="1:32" s="27" customFormat="1" ht="11.45" customHeight="1">
      <c r="B184" s="55" t="s">
        <v>6452</v>
      </c>
      <c r="N184" s="119"/>
      <c r="P184" s="2489" t="s">
        <v>2773</v>
      </c>
      <c r="Q184" s="2967"/>
      <c r="AE184" s="115"/>
      <c r="AF184" s="115"/>
    </row>
    <row r="185" spans="1:32" ht="12" customHeight="1">
      <c r="A185" s="140" t="s">
        <v>1894</v>
      </c>
      <c r="B185" s="773" t="s">
        <v>448</v>
      </c>
      <c r="D185" s="773"/>
      <c r="E185" s="773"/>
      <c r="F185" s="773"/>
      <c r="G185" s="773"/>
      <c r="H185" s="773"/>
      <c r="I185" s="773"/>
      <c r="J185" s="773"/>
      <c r="K185" s="773"/>
      <c r="L185" s="773"/>
      <c r="M185" s="773"/>
      <c r="O185" s="159" t="s">
        <v>1894</v>
      </c>
      <c r="P185" s="2492" t="s">
        <v>2770</v>
      </c>
      <c r="Q185" s="2953"/>
    </row>
    <row r="186" spans="1:32" ht="12" customHeight="1">
      <c r="A186" s="140" t="s">
        <v>1896</v>
      </c>
      <c r="B186" s="773" t="s">
        <v>6337</v>
      </c>
      <c r="D186" s="773"/>
      <c r="E186" s="773"/>
      <c r="F186" s="773"/>
      <c r="G186" s="773"/>
      <c r="H186" s="773"/>
      <c r="I186" s="773"/>
      <c r="J186" s="773"/>
      <c r="K186" s="773"/>
      <c r="L186" s="773"/>
      <c r="M186" s="773"/>
      <c r="O186" s="159" t="s">
        <v>1896</v>
      </c>
      <c r="P186" s="2670" t="s">
        <v>2770</v>
      </c>
      <c r="Q186" s="2954"/>
    </row>
    <row r="187" spans="1:32" ht="12" customHeight="1">
      <c r="A187" s="140" t="s">
        <v>719</v>
      </c>
      <c r="B187" s="773" t="s">
        <v>2505</v>
      </c>
      <c r="D187" s="773"/>
      <c r="E187" s="773"/>
      <c r="F187" s="773"/>
      <c r="G187" s="773"/>
      <c r="H187" s="773"/>
      <c r="I187" s="773"/>
      <c r="J187" s="138" t="s">
        <v>4011</v>
      </c>
      <c r="L187" s="773"/>
      <c r="M187" s="773"/>
      <c r="O187" s="159" t="s">
        <v>719</v>
      </c>
      <c r="P187" s="2670" t="s">
        <v>2770</v>
      </c>
      <c r="Q187" s="2954"/>
    </row>
    <row r="188" spans="1:32" ht="12" customHeight="1">
      <c r="B188" s="40" t="s">
        <v>1658</v>
      </c>
      <c r="C188" s="783" t="s">
        <v>2506</v>
      </c>
      <c r="G188" s="773"/>
      <c r="H188" s="773"/>
      <c r="J188" s="773"/>
      <c r="K188" s="773"/>
      <c r="L188" s="773"/>
      <c r="M188" s="773"/>
      <c r="O188" s="425" t="s">
        <v>1658</v>
      </c>
      <c r="P188" s="2670" t="s">
        <v>2770</v>
      </c>
      <c r="Q188" s="2954"/>
    </row>
    <row r="189" spans="1:32" ht="12" customHeight="1">
      <c r="A189" s="138"/>
      <c r="B189" s="40" t="s">
        <v>1659</v>
      </c>
      <c r="C189" s="783" t="s">
        <v>2507</v>
      </c>
      <c r="G189" s="773"/>
      <c r="H189" s="773"/>
      <c r="I189" s="773"/>
      <c r="J189" s="773"/>
      <c r="K189" s="773"/>
      <c r="L189" s="773"/>
      <c r="M189" s="773"/>
      <c r="O189" s="425" t="s">
        <v>1659</v>
      </c>
      <c r="P189" s="2670" t="s">
        <v>2770</v>
      </c>
      <c r="Q189" s="2954"/>
    </row>
    <row r="190" spans="1:32" s="131" customFormat="1" ht="21.75" customHeight="1">
      <c r="A190" s="140"/>
      <c r="B190" s="451" t="s">
        <v>1660</v>
      </c>
      <c r="C190" s="3971" t="s">
        <v>3369</v>
      </c>
      <c r="D190" s="3971"/>
      <c r="E190" s="3971"/>
      <c r="F190" s="3971"/>
      <c r="G190" s="3971"/>
      <c r="H190" s="3971"/>
      <c r="I190" s="3971"/>
      <c r="J190" s="3971"/>
      <c r="K190" s="3971"/>
      <c r="L190" s="3971"/>
      <c r="M190" s="3971"/>
      <c r="N190" s="3971"/>
      <c r="O190" s="159" t="s">
        <v>1660</v>
      </c>
      <c r="P190" s="2665" t="s">
        <v>2770</v>
      </c>
      <c r="Q190" s="2961"/>
      <c r="AE190" s="442"/>
      <c r="AF190" s="442"/>
    </row>
    <row r="191" spans="1:32" ht="12" customHeight="1">
      <c r="A191" s="140"/>
      <c r="B191" s="40" t="s">
        <v>2261</v>
      </c>
      <c r="C191" s="783" t="s">
        <v>2508</v>
      </c>
      <c r="G191" s="773"/>
      <c r="H191" s="773"/>
      <c r="I191" s="773"/>
      <c r="J191" s="773"/>
      <c r="K191" s="773"/>
      <c r="L191" s="773"/>
      <c r="M191" s="773"/>
      <c r="O191" s="425" t="s">
        <v>2261</v>
      </c>
      <c r="P191" s="2670" t="s">
        <v>2770</v>
      </c>
      <c r="Q191" s="2954"/>
    </row>
    <row r="192" spans="1:32" s="131" customFormat="1" ht="21.75" customHeight="1">
      <c r="A192" s="140"/>
      <c r="B192" s="451" t="s">
        <v>1487</v>
      </c>
      <c r="C192" s="3971" t="s">
        <v>2509</v>
      </c>
      <c r="D192" s="3971"/>
      <c r="E192" s="3971"/>
      <c r="F192" s="3971"/>
      <c r="G192" s="3971"/>
      <c r="H192" s="3971"/>
      <c r="I192" s="3971"/>
      <c r="J192" s="3971"/>
      <c r="K192" s="3971"/>
      <c r="L192" s="3971"/>
      <c r="M192" s="3971"/>
      <c r="N192" s="3971"/>
      <c r="O192" s="159" t="s">
        <v>1487</v>
      </c>
      <c r="P192" s="2665" t="s">
        <v>6904</v>
      </c>
      <c r="Q192" s="2961"/>
      <c r="AE192" s="442"/>
      <c r="AF192" s="442"/>
    </row>
    <row r="193" spans="1:32" s="131" customFormat="1" ht="21.75" customHeight="1">
      <c r="A193" s="140"/>
      <c r="B193" s="451" t="s">
        <v>1488</v>
      </c>
      <c r="C193" s="3971" t="s">
        <v>3447</v>
      </c>
      <c r="D193" s="3971"/>
      <c r="E193" s="3971"/>
      <c r="F193" s="3971"/>
      <c r="G193" s="3971"/>
      <c r="H193" s="3971"/>
      <c r="I193" s="3971"/>
      <c r="J193" s="3971"/>
      <c r="K193" s="3971"/>
      <c r="L193" s="3971"/>
      <c r="M193" s="3971"/>
      <c r="N193" s="3971"/>
      <c r="O193" s="159" t="s">
        <v>1488</v>
      </c>
      <c r="P193" s="2665" t="s">
        <v>6904</v>
      </c>
      <c r="Q193" s="2961"/>
      <c r="AE193" s="442"/>
      <c r="AF193" s="442"/>
    </row>
    <row r="194" spans="1:32" ht="21.75" customHeight="1">
      <c r="A194" s="140" t="s">
        <v>2022</v>
      </c>
      <c r="B194" s="3971" t="s">
        <v>2510</v>
      </c>
      <c r="C194" s="3971"/>
      <c r="D194" s="3971"/>
      <c r="E194" s="3971"/>
      <c r="F194" s="3971"/>
      <c r="G194" s="3971"/>
      <c r="H194" s="3971"/>
      <c r="I194" s="3971"/>
      <c r="J194" s="3971"/>
      <c r="K194" s="3971"/>
      <c r="L194" s="3971"/>
      <c r="M194" s="3971"/>
      <c r="N194" s="3971"/>
      <c r="O194" s="159" t="s">
        <v>2022</v>
      </c>
      <c r="P194" s="2665" t="s">
        <v>2770</v>
      </c>
      <c r="Q194" s="2961"/>
    </row>
    <row r="195" spans="1:32" ht="12" customHeight="1">
      <c r="A195" s="140" t="s">
        <v>1656</v>
      </c>
      <c r="B195" s="773" t="s">
        <v>2274</v>
      </c>
      <c r="D195" s="773"/>
      <c r="E195" s="773"/>
      <c r="F195" s="773"/>
      <c r="G195" s="773"/>
      <c r="H195" s="773"/>
      <c r="I195" s="773"/>
      <c r="J195" s="773"/>
      <c r="K195" s="773"/>
      <c r="L195" s="773"/>
      <c r="M195" s="773"/>
      <c r="O195" s="159" t="s">
        <v>1656</v>
      </c>
      <c r="P195" s="2668" t="s">
        <v>2770</v>
      </c>
      <c r="Q195" s="2955"/>
    </row>
    <row r="196" spans="1:32" ht="12" customHeight="1">
      <c r="B196" s="139" t="s">
        <v>3373</v>
      </c>
      <c r="D196" s="139"/>
      <c r="E196" s="139"/>
      <c r="F196" s="139"/>
      <c r="G196" s="139"/>
      <c r="H196" s="40"/>
      <c r="I196" s="2667"/>
      <c r="J196" s="2667"/>
      <c r="K196" s="2667"/>
      <c r="L196" s="1401"/>
      <c r="M196" s="1401"/>
      <c r="N196" s="1401"/>
      <c r="O196" s="1401"/>
      <c r="P196" s="1401"/>
      <c r="Q196" s="782"/>
    </row>
    <row r="197" spans="1:32" ht="22.5" customHeight="1">
      <c r="A197" s="3966" t="s">
        <v>6978</v>
      </c>
      <c r="B197" s="3967"/>
      <c r="C197" s="3967"/>
      <c r="D197" s="3967"/>
      <c r="E197" s="3967"/>
      <c r="F197" s="3967"/>
      <c r="G197" s="3967"/>
      <c r="H197" s="3967"/>
      <c r="I197" s="3967"/>
      <c r="J197" s="3967"/>
      <c r="K197" s="3967"/>
      <c r="L197" s="3967"/>
      <c r="M197" s="3967"/>
      <c r="N197" s="3967"/>
      <c r="O197" s="3967"/>
      <c r="P197" s="3967"/>
      <c r="Q197" s="3968"/>
      <c r="U197" s="134"/>
      <c r="V197" s="134"/>
      <c r="W197" s="134"/>
      <c r="X197" s="134"/>
      <c r="Y197" s="134"/>
      <c r="Z197" s="134"/>
      <c r="AA197" s="134"/>
      <c r="AB197" s="134"/>
      <c r="AC197" s="134"/>
      <c r="AD197" s="134"/>
      <c r="AE197" s="441"/>
    </row>
    <row r="198" spans="1:32" ht="12" customHeight="1">
      <c r="B198" s="135" t="s">
        <v>1781</v>
      </c>
      <c r="C198" s="136"/>
      <c r="D198" s="2654"/>
      <c r="E198" s="2654"/>
      <c r="F198" s="2654"/>
      <c r="G198" s="2654"/>
      <c r="H198" s="2654"/>
      <c r="I198" s="2654"/>
      <c r="J198" s="2654"/>
      <c r="K198" s="2654"/>
      <c r="L198" s="2654"/>
      <c r="M198" s="2654"/>
      <c r="N198" s="2654"/>
      <c r="O198" s="2654"/>
      <c r="P198" s="2654"/>
      <c r="Q198" s="2654"/>
    </row>
    <row r="199" spans="1:32" ht="11.45" customHeight="1">
      <c r="A199" s="3960"/>
      <c r="B199" s="3961"/>
      <c r="C199" s="3961"/>
      <c r="D199" s="3961"/>
      <c r="E199" s="3961"/>
      <c r="F199" s="3961"/>
      <c r="G199" s="3961"/>
      <c r="H199" s="3961"/>
      <c r="I199" s="3961"/>
      <c r="J199" s="3961"/>
      <c r="K199" s="3961"/>
      <c r="L199" s="3961"/>
      <c r="M199" s="3961"/>
      <c r="N199" s="3961"/>
      <c r="O199" s="3961"/>
      <c r="P199" s="3961"/>
      <c r="Q199" s="3962"/>
    </row>
    <row r="200" spans="1:32" ht="3" customHeight="1">
      <c r="A200" s="1401"/>
      <c r="B200" s="2667"/>
      <c r="C200" s="2654"/>
      <c r="D200" s="2654"/>
      <c r="E200" s="2654"/>
      <c r="F200" s="2654"/>
      <c r="G200" s="2654"/>
      <c r="H200" s="2654"/>
      <c r="I200" s="2654"/>
      <c r="J200" s="2654"/>
      <c r="K200" s="2654"/>
      <c r="L200" s="2654"/>
      <c r="M200" s="2654"/>
      <c r="N200" s="2654"/>
      <c r="O200" s="2654"/>
      <c r="P200" s="2654"/>
      <c r="Q200" s="1401"/>
    </row>
    <row r="201" spans="1:32" ht="14.1" customHeight="1">
      <c r="A201" s="2648" t="s">
        <v>347</v>
      </c>
      <c r="B201" s="2648" t="s">
        <v>2518</v>
      </c>
      <c r="C201" s="2648"/>
      <c r="D201" s="2654"/>
      <c r="E201" s="145"/>
      <c r="F201" s="380" t="s">
        <v>6381</v>
      </c>
      <c r="G201" s="2654"/>
      <c r="J201" s="784"/>
      <c r="K201" s="784"/>
      <c r="L201" s="784"/>
      <c r="M201" s="784"/>
      <c r="N201" s="784"/>
      <c r="O201" s="130" t="s">
        <v>1782</v>
      </c>
      <c r="P201" s="3969"/>
      <c r="Q201" s="3970"/>
    </row>
    <row r="202" spans="1:32" s="27" customFormat="1" ht="12.75" customHeight="1">
      <c r="B202" s="55" t="s">
        <v>6452</v>
      </c>
      <c r="N202" s="119"/>
      <c r="P202" s="2489" t="s">
        <v>2773</v>
      </c>
      <c r="Q202" s="2967"/>
      <c r="AE202" s="115"/>
      <c r="AF202" s="115"/>
    </row>
    <row r="203" spans="1:32" ht="33.75" customHeight="1">
      <c r="B203" s="4169" t="s">
        <v>6338</v>
      </c>
      <c r="C203" s="4169"/>
      <c r="D203" s="4169"/>
      <c r="E203" s="4169"/>
      <c r="F203" s="4169"/>
      <c r="G203" s="4169"/>
      <c r="H203" s="4169"/>
      <c r="I203" s="4169"/>
      <c r="J203" s="4169"/>
      <c r="K203" s="4169"/>
      <c r="L203" s="4169"/>
      <c r="M203" s="4169"/>
      <c r="N203" s="4169"/>
      <c r="O203" s="4169"/>
      <c r="P203" s="963"/>
      <c r="Q203" s="963"/>
    </row>
    <row r="204" spans="1:32" ht="12.75" customHeight="1">
      <c r="A204" s="137"/>
      <c r="B204" s="138" t="s">
        <v>91</v>
      </c>
      <c r="D204" s="138"/>
      <c r="E204" s="138"/>
      <c r="F204" s="138"/>
      <c r="G204" s="138"/>
      <c r="H204" s="65" t="s">
        <v>1658</v>
      </c>
      <c r="I204" s="52" t="s">
        <v>144</v>
      </c>
      <c r="J204" s="4033" t="s">
        <v>1759</v>
      </c>
      <c r="K204" s="4034"/>
      <c r="L204" s="4034"/>
      <c r="M204" s="4034"/>
      <c r="N204" s="4035"/>
      <c r="O204" s="65" t="s">
        <v>1658</v>
      </c>
      <c r="P204" s="2492" t="s">
        <v>2773</v>
      </c>
      <c r="Q204" s="2953"/>
    </row>
    <row r="205" spans="1:32" ht="12.75" customHeight="1">
      <c r="A205" s="137"/>
      <c r="B205" s="139" t="s">
        <v>3373</v>
      </c>
      <c r="C205" s="103"/>
      <c r="D205" s="103"/>
      <c r="E205" s="103"/>
      <c r="F205" s="103"/>
      <c r="H205" s="65" t="s">
        <v>1659</v>
      </c>
      <c r="I205" s="52" t="s">
        <v>1530</v>
      </c>
      <c r="J205" s="3972" t="s">
        <v>6979</v>
      </c>
      <c r="K205" s="3973"/>
      <c r="L205" s="3973"/>
      <c r="M205" s="3973"/>
      <c r="N205" s="3974"/>
      <c r="O205" s="65" t="s">
        <v>1659</v>
      </c>
      <c r="P205" s="2668" t="s">
        <v>2770</v>
      </c>
      <c r="Q205" s="2955"/>
    </row>
    <row r="206" spans="1:32" ht="25.5" customHeight="1">
      <c r="A206" s="3966" t="s">
        <v>7005</v>
      </c>
      <c r="B206" s="3967"/>
      <c r="C206" s="3967"/>
      <c r="D206" s="3967"/>
      <c r="E206" s="3967"/>
      <c r="F206" s="3967"/>
      <c r="G206" s="3967"/>
      <c r="H206" s="3967"/>
      <c r="I206" s="3967"/>
      <c r="J206" s="3967"/>
      <c r="K206" s="3967"/>
      <c r="L206" s="3967"/>
      <c r="M206" s="3967"/>
      <c r="N206" s="3967"/>
      <c r="O206" s="3967"/>
      <c r="P206" s="3967"/>
      <c r="Q206" s="3968"/>
      <c r="U206" s="134"/>
      <c r="V206" s="134"/>
      <c r="W206" s="134"/>
      <c r="X206" s="134"/>
      <c r="Y206" s="134"/>
      <c r="Z206" s="134"/>
      <c r="AA206" s="134"/>
      <c r="AB206" s="134"/>
      <c r="AC206" s="134"/>
      <c r="AD206" s="134"/>
      <c r="AE206" s="441"/>
    </row>
    <row r="207" spans="1:32" ht="12.75" customHeight="1">
      <c r="B207" s="135" t="s">
        <v>1781</v>
      </c>
      <c r="C207" s="136"/>
      <c r="D207" s="2654"/>
      <c r="E207" s="2654"/>
      <c r="F207" s="2654"/>
      <c r="G207" s="2654"/>
      <c r="H207" s="2654"/>
      <c r="I207" s="2654"/>
      <c r="J207" s="2654"/>
      <c r="K207" s="2654"/>
      <c r="L207" s="2654"/>
      <c r="M207" s="2654"/>
      <c r="N207" s="2654"/>
      <c r="O207" s="2654"/>
      <c r="P207" s="2654"/>
      <c r="Q207" s="2654"/>
    </row>
    <row r="208" spans="1:32" ht="12.75" customHeight="1">
      <c r="A208" s="3960"/>
      <c r="B208" s="3961"/>
      <c r="C208" s="3961"/>
      <c r="D208" s="3961"/>
      <c r="E208" s="3961"/>
      <c r="F208" s="3961"/>
      <c r="G208" s="3961"/>
      <c r="H208" s="3961"/>
      <c r="I208" s="3961"/>
      <c r="J208" s="3961"/>
      <c r="K208" s="3961"/>
      <c r="L208" s="3961"/>
      <c r="M208" s="3961"/>
      <c r="N208" s="3961"/>
      <c r="O208" s="3961"/>
      <c r="P208" s="3961"/>
      <c r="Q208" s="3962"/>
    </row>
    <row r="209" spans="1:32" ht="4.3499999999999996" customHeight="1">
      <c r="B209" s="2667"/>
      <c r="C209" s="2654"/>
      <c r="D209" s="2654"/>
      <c r="E209" s="2654"/>
      <c r="F209" s="2654"/>
      <c r="G209" s="2654"/>
      <c r="H209" s="2654"/>
      <c r="I209" s="2654"/>
      <c r="J209" s="2654"/>
      <c r="K209" s="2654"/>
      <c r="L209" s="2654"/>
      <c r="M209" s="2654"/>
      <c r="Q209" s="782"/>
    </row>
    <row r="210" spans="1:32" ht="14.1" customHeight="1">
      <c r="A210" s="2648" t="s">
        <v>348</v>
      </c>
      <c r="B210" s="4" t="s">
        <v>2519</v>
      </c>
      <c r="C210" s="4"/>
      <c r="D210" s="86"/>
      <c r="E210" s="86"/>
      <c r="F210" s="86"/>
      <c r="G210" s="2654"/>
      <c r="H210" s="2654"/>
      <c r="I210" s="1619" t="s">
        <v>6382</v>
      </c>
      <c r="J210" s="2654"/>
      <c r="K210" s="2654"/>
      <c r="L210" s="2654"/>
      <c r="M210" s="2654"/>
      <c r="O210" s="130" t="s">
        <v>1782</v>
      </c>
      <c r="P210" s="3969"/>
      <c r="Q210" s="3970"/>
    </row>
    <row r="211" spans="1:32" s="27" customFormat="1" ht="12.75" customHeight="1">
      <c r="B211" s="55" t="s">
        <v>6452</v>
      </c>
      <c r="N211" s="119"/>
      <c r="P211" s="2489" t="s">
        <v>2773</v>
      </c>
      <c r="Q211" s="2967"/>
      <c r="AE211" s="115"/>
      <c r="AF211" s="115"/>
    </row>
    <row r="212" spans="1:32" ht="12.75" customHeight="1">
      <c r="A212" s="140" t="s">
        <v>1894</v>
      </c>
      <c r="B212" s="3971" t="s">
        <v>1764</v>
      </c>
      <c r="C212" s="3971"/>
      <c r="D212" s="3971"/>
      <c r="E212" s="3971"/>
      <c r="F212" s="3971"/>
      <c r="G212" s="3971"/>
      <c r="H212" s="65" t="s">
        <v>1658</v>
      </c>
      <c r="I212" s="52" t="s">
        <v>605</v>
      </c>
      <c r="J212" s="4033" t="s">
        <v>6980</v>
      </c>
      <c r="K212" s="4034"/>
      <c r="L212" s="4034"/>
      <c r="M212" s="4034"/>
      <c r="N212" s="4035"/>
      <c r="O212" s="159" t="s">
        <v>1427</v>
      </c>
      <c r="P212" s="2669" t="s">
        <v>2770</v>
      </c>
      <c r="Q212" s="2959"/>
    </row>
    <row r="213" spans="1:32" ht="12.75" customHeight="1">
      <c r="A213" s="148"/>
      <c r="B213" s="3971"/>
      <c r="C213" s="3971"/>
      <c r="D213" s="3971"/>
      <c r="E213" s="3971"/>
      <c r="F213" s="3971"/>
      <c r="G213" s="3971"/>
      <c r="H213" s="65" t="s">
        <v>1659</v>
      </c>
      <c r="I213" s="52" t="s">
        <v>109</v>
      </c>
      <c r="J213" s="4033" t="s">
        <v>6980</v>
      </c>
      <c r="K213" s="4034"/>
      <c r="L213" s="4034"/>
      <c r="M213" s="4034"/>
      <c r="N213" s="4035"/>
      <c r="O213" s="159" t="s">
        <v>1659</v>
      </c>
      <c r="P213" s="2670" t="s">
        <v>2770</v>
      </c>
      <c r="Q213" s="2954"/>
    </row>
    <row r="214" spans="1:32" ht="12.75" customHeight="1">
      <c r="A214" s="140" t="s">
        <v>1896</v>
      </c>
      <c r="B214" s="52" t="s">
        <v>3451</v>
      </c>
      <c r="D214" s="52"/>
      <c r="E214" s="52"/>
      <c r="F214" s="52"/>
      <c r="G214" s="52"/>
      <c r="H214" s="52"/>
      <c r="I214" s="52"/>
      <c r="J214" s="52"/>
      <c r="K214" s="42"/>
      <c r="L214" s="52"/>
      <c r="M214" s="52"/>
      <c r="O214" s="439" t="s">
        <v>1896</v>
      </c>
      <c r="P214" s="2670"/>
      <c r="Q214" s="2954"/>
    </row>
    <row r="215" spans="1:32" ht="12.75" customHeight="1">
      <c r="A215" s="47" t="s">
        <v>719</v>
      </c>
      <c r="B215" s="52" t="s">
        <v>3452</v>
      </c>
      <c r="D215" s="52"/>
      <c r="E215" s="52"/>
      <c r="F215" s="52"/>
      <c r="G215" s="52"/>
      <c r="H215" s="52"/>
      <c r="I215" s="52"/>
      <c r="J215" s="52"/>
      <c r="K215" s="42"/>
      <c r="L215" s="52"/>
      <c r="M215" s="52"/>
      <c r="O215" s="439" t="s">
        <v>719</v>
      </c>
      <c r="P215" s="2668"/>
      <c r="Q215" s="2955"/>
    </row>
    <row r="216" spans="1:32" ht="12.75" customHeight="1">
      <c r="B216" s="139" t="s">
        <v>3373</v>
      </c>
      <c r="D216" s="139"/>
      <c r="E216" s="139"/>
      <c r="F216" s="139"/>
      <c r="G216" s="139"/>
      <c r="H216" s="40"/>
      <c r="I216" s="2667"/>
      <c r="J216" s="2667"/>
      <c r="K216" s="2667"/>
      <c r="L216" s="1401"/>
      <c r="M216" s="1401"/>
      <c r="N216" s="1401"/>
      <c r="O216" s="1401"/>
      <c r="P216" s="1401"/>
      <c r="Q216" s="782"/>
    </row>
    <row r="217" spans="1:32" ht="46.5" customHeight="1">
      <c r="A217" s="3966" t="s">
        <v>7034</v>
      </c>
      <c r="B217" s="3967"/>
      <c r="C217" s="3967"/>
      <c r="D217" s="3967"/>
      <c r="E217" s="3967"/>
      <c r="F217" s="3967"/>
      <c r="G217" s="3967"/>
      <c r="H217" s="3967"/>
      <c r="I217" s="3967"/>
      <c r="J217" s="3967"/>
      <c r="K217" s="3967"/>
      <c r="L217" s="3967"/>
      <c r="M217" s="3967"/>
      <c r="N217" s="3967"/>
      <c r="O217" s="3967"/>
      <c r="P217" s="3967"/>
      <c r="Q217" s="3968"/>
      <c r="U217" s="134"/>
      <c r="V217" s="134"/>
      <c r="W217" s="134"/>
      <c r="X217" s="134"/>
      <c r="Y217" s="134"/>
      <c r="Z217" s="134"/>
      <c r="AA217" s="134"/>
      <c r="AB217" s="134"/>
      <c r="AC217" s="134"/>
      <c r="AD217" s="134"/>
      <c r="AE217" s="441"/>
    </row>
    <row r="218" spans="1:32" ht="12.75" customHeight="1">
      <c r="B218" s="135" t="s">
        <v>1781</v>
      </c>
      <c r="C218" s="136"/>
      <c r="D218" s="2654"/>
      <c r="E218" s="2654"/>
      <c r="F218" s="2654"/>
      <c r="G218" s="2654"/>
      <c r="H218" s="2654"/>
      <c r="I218" s="2654"/>
      <c r="J218" s="2654"/>
      <c r="K218" s="2654"/>
      <c r="L218" s="2654"/>
      <c r="M218" s="2654"/>
      <c r="N218" s="2654"/>
      <c r="O218" s="2654"/>
      <c r="P218" s="2654"/>
      <c r="Q218" s="2654"/>
    </row>
    <row r="219" spans="1:32" ht="12.75" customHeight="1">
      <c r="A219" s="3960"/>
      <c r="B219" s="3961"/>
      <c r="C219" s="3961"/>
      <c r="D219" s="3961"/>
      <c r="E219" s="3961"/>
      <c r="F219" s="3961"/>
      <c r="G219" s="3961"/>
      <c r="H219" s="3961"/>
      <c r="I219" s="3961"/>
      <c r="J219" s="3961"/>
      <c r="K219" s="3961"/>
      <c r="L219" s="3961"/>
      <c r="M219" s="3961"/>
      <c r="N219" s="3961"/>
      <c r="O219" s="3961"/>
      <c r="P219" s="3961"/>
      <c r="Q219" s="3962"/>
    </row>
    <row r="220" spans="1:32" ht="3" customHeight="1">
      <c r="A220" s="1401"/>
      <c r="B220" s="2667"/>
      <c r="C220" s="2654"/>
      <c r="D220" s="2654"/>
      <c r="E220" s="2654"/>
      <c r="F220" s="2654"/>
      <c r="G220" s="2654"/>
      <c r="H220" s="2654"/>
      <c r="I220" s="2654"/>
      <c r="J220" s="2654"/>
      <c r="K220" s="2654"/>
      <c r="L220" s="2654"/>
      <c r="M220" s="2654"/>
      <c r="Q220" s="1401"/>
    </row>
    <row r="221" spans="1:32" ht="14.1" customHeight="1">
      <c r="A221" s="2648" t="s">
        <v>1648</v>
      </c>
      <c r="B221" s="2648" t="s">
        <v>2520</v>
      </c>
      <c r="C221" s="112"/>
      <c r="D221" s="2654"/>
      <c r="E221" s="2654"/>
      <c r="F221" s="2654"/>
      <c r="G221" s="2654"/>
      <c r="H221" s="2654"/>
      <c r="I221" s="2654"/>
      <c r="J221" s="2654"/>
      <c r="K221" s="2654"/>
      <c r="L221" s="2654"/>
      <c r="M221" s="2654"/>
      <c r="O221" s="130" t="s">
        <v>1782</v>
      </c>
      <c r="P221" s="3969"/>
      <c r="Q221" s="3970"/>
    </row>
    <row r="222" spans="1:32" s="27" customFormat="1" ht="12.75" customHeight="1">
      <c r="B222" s="143" t="s">
        <v>1147</v>
      </c>
      <c r="N222" s="119"/>
      <c r="P222" s="2489" t="s">
        <v>2773</v>
      </c>
      <c r="Q222" s="2967"/>
      <c r="AE222" s="115"/>
      <c r="AF222" s="115"/>
    </row>
    <row r="223" spans="1:32" ht="12.75" customHeight="1">
      <c r="A223" s="47" t="s">
        <v>1894</v>
      </c>
      <c r="B223" s="36" t="s">
        <v>4234</v>
      </c>
      <c r="D223" s="42"/>
      <c r="E223" s="42"/>
      <c r="F223" s="42"/>
      <c r="G223" s="42"/>
      <c r="H223" s="42"/>
      <c r="I223" s="42"/>
      <c r="J223" s="42"/>
      <c r="K223" s="42"/>
      <c r="L223" s="42"/>
      <c r="M223" s="42"/>
      <c r="O223" s="439" t="s">
        <v>1894</v>
      </c>
      <c r="P223" s="2489" t="s">
        <v>6902</v>
      </c>
      <c r="Q223" s="2953"/>
    </row>
    <row r="224" spans="1:32" ht="12.75" customHeight="1">
      <c r="A224" s="47"/>
      <c r="B224" s="144" t="s">
        <v>1658</v>
      </c>
      <c r="C224" s="52" t="s">
        <v>1843</v>
      </c>
      <c r="E224" s="52"/>
      <c r="F224" s="52"/>
      <c r="G224" s="52"/>
      <c r="H224" s="52"/>
      <c r="I224" s="42"/>
      <c r="J224" s="65" t="s">
        <v>1427</v>
      </c>
      <c r="K224" s="4033" t="s">
        <v>6912</v>
      </c>
      <c r="L224" s="4035"/>
      <c r="Q224" s="2954"/>
    </row>
    <row r="225" spans="1:32" ht="12.75" customHeight="1">
      <c r="A225" s="47"/>
      <c r="B225" s="144" t="s">
        <v>1659</v>
      </c>
      <c r="C225" s="783" t="s">
        <v>3947</v>
      </c>
      <c r="E225" s="783"/>
      <c r="F225" s="783"/>
      <c r="G225" s="783"/>
      <c r="H225" s="783"/>
      <c r="I225" s="42"/>
      <c r="J225" s="65" t="s">
        <v>1428</v>
      </c>
      <c r="K225" s="4029" t="s">
        <v>7035</v>
      </c>
      <c r="L225" s="4030"/>
      <c r="M225" s="4170" t="s">
        <v>6453</v>
      </c>
      <c r="N225" s="4171"/>
      <c r="O225" s="4171"/>
      <c r="P225" s="4172"/>
      <c r="Q225" s="2954"/>
    </row>
    <row r="226" spans="1:32" ht="12.75" customHeight="1">
      <c r="A226" s="47"/>
      <c r="B226" s="40" t="s">
        <v>1660</v>
      </c>
      <c r="C226" s="783" t="s">
        <v>3948</v>
      </c>
      <c r="D226" s="146"/>
      <c r="E226" s="783"/>
      <c r="F226" s="783"/>
      <c r="G226" s="783"/>
      <c r="H226" s="783"/>
      <c r="I226" s="93"/>
      <c r="J226" s="439" t="s">
        <v>1429</v>
      </c>
      <c r="K226" s="3972" t="s">
        <v>6913</v>
      </c>
      <c r="L226" s="3973"/>
      <c r="M226" s="3973"/>
      <c r="N226" s="3974"/>
      <c r="O226" s="1601"/>
      <c r="P226" s="987"/>
      <c r="Q226" s="2955"/>
      <c r="R226" s="42"/>
    </row>
    <row r="227" spans="1:32" ht="12.75" customHeight="1">
      <c r="A227" s="47" t="s">
        <v>1896</v>
      </c>
      <c r="B227" s="52" t="s">
        <v>4235</v>
      </c>
      <c r="D227" s="52"/>
      <c r="E227" s="52"/>
      <c r="F227" s="52"/>
      <c r="G227" s="52"/>
      <c r="H227" s="52"/>
      <c r="I227" s="52"/>
      <c r="J227" s="52"/>
      <c r="K227" s="42"/>
      <c r="L227" s="42"/>
      <c r="M227" s="42"/>
      <c r="N227" s="42"/>
      <c r="O227" s="439" t="s">
        <v>1896</v>
      </c>
      <c r="P227" s="2489" t="s">
        <v>6902</v>
      </c>
      <c r="Q227" s="2967"/>
    </row>
    <row r="228" spans="1:32" ht="12.75" customHeight="1">
      <c r="A228" s="47"/>
      <c r="B228" s="52" t="s">
        <v>4036</v>
      </c>
      <c r="D228" s="52"/>
      <c r="E228" s="52"/>
      <c r="F228" s="52"/>
      <c r="G228" s="52"/>
      <c r="H228" s="52"/>
      <c r="I228" s="52"/>
      <c r="J228" s="52"/>
      <c r="K228" s="42"/>
      <c r="L228" s="42"/>
      <c r="M228" s="42"/>
      <c r="N228" s="439" t="s">
        <v>3274</v>
      </c>
      <c r="O228" s="1312">
        <f>'Part VI-Revenues &amp; Expenses'!$P$67</f>
        <v>48</v>
      </c>
      <c r="P228" s="4052" t="s">
        <v>4038</v>
      </c>
      <c r="Q228" s="4053"/>
    </row>
    <row r="229" spans="1:32" ht="12.75" customHeight="1">
      <c r="A229" s="47"/>
      <c r="B229" s="144" t="s">
        <v>1658</v>
      </c>
      <c r="C229" s="52" t="s">
        <v>4039</v>
      </c>
      <c r="D229" s="52"/>
      <c r="E229" s="52"/>
      <c r="F229" s="52"/>
      <c r="H229" s="439" t="s">
        <v>4040</v>
      </c>
      <c r="I229" s="52" t="s">
        <v>4049</v>
      </c>
      <c r="M229" s="42"/>
      <c r="N229" s="42"/>
      <c r="O229" s="288"/>
      <c r="P229" s="1303" t="s">
        <v>743</v>
      </c>
      <c r="Q229" s="1304" t="s">
        <v>4037</v>
      </c>
    </row>
    <row r="230" spans="1:32" s="43" customFormat="1" ht="12.75" customHeight="1">
      <c r="A230" s="51"/>
      <c r="B230" s="439" t="s">
        <v>2023</v>
      </c>
      <c r="C230" s="4054" t="s">
        <v>4093</v>
      </c>
      <c r="D230" s="4055"/>
      <c r="E230" s="4055"/>
      <c r="F230" s="4055"/>
      <c r="G230" s="4056"/>
      <c r="H230" s="439" t="s">
        <v>2023</v>
      </c>
      <c r="I230" s="4057" t="s">
        <v>3555</v>
      </c>
      <c r="J230" s="4058"/>
      <c r="K230" s="4058"/>
      <c r="L230" s="4058"/>
      <c r="M230" s="4058"/>
      <c r="N230" s="4058"/>
      <c r="O230" s="4059"/>
      <c r="P230" s="2953"/>
      <c r="Q230" s="2969"/>
      <c r="AE230" s="54"/>
      <c r="AF230" s="54"/>
    </row>
    <row r="231" spans="1:32" s="43" customFormat="1" ht="12.75" customHeight="1">
      <c r="A231" s="51"/>
      <c r="B231" s="439" t="s">
        <v>2024</v>
      </c>
      <c r="C231" s="4026" t="s">
        <v>4034</v>
      </c>
      <c r="D231" s="4027"/>
      <c r="E231" s="4027"/>
      <c r="F231" s="4027"/>
      <c r="G231" s="4028"/>
      <c r="H231" s="439" t="s">
        <v>2024</v>
      </c>
      <c r="I231" s="3430"/>
      <c r="J231" s="3376"/>
      <c r="K231" s="3376"/>
      <c r="L231" s="3376"/>
      <c r="M231" s="3376"/>
      <c r="N231" s="3376"/>
      <c r="O231" s="3377"/>
      <c r="P231" s="2954"/>
      <c r="Q231" s="2970"/>
      <c r="AE231" s="54"/>
      <c r="AF231" s="54"/>
    </row>
    <row r="232" spans="1:32" s="43" customFormat="1" ht="12.75" customHeight="1">
      <c r="A232" s="51"/>
      <c r="B232" s="439" t="s">
        <v>1655</v>
      </c>
      <c r="C232" s="4026" t="s">
        <v>975</v>
      </c>
      <c r="D232" s="4027"/>
      <c r="E232" s="4027"/>
      <c r="F232" s="4027"/>
      <c r="G232" s="4028"/>
      <c r="H232" s="439" t="s">
        <v>1655</v>
      </c>
      <c r="I232" s="3430" t="s">
        <v>3555</v>
      </c>
      <c r="J232" s="3376"/>
      <c r="K232" s="3376"/>
      <c r="L232" s="3376"/>
      <c r="M232" s="3376"/>
      <c r="N232" s="3376"/>
      <c r="O232" s="3377"/>
      <c r="P232" s="2954"/>
      <c r="Q232" s="2970"/>
      <c r="AE232" s="54"/>
      <c r="AF232" s="54"/>
    </row>
    <row r="233" spans="1:32" s="43" customFormat="1" ht="12.75" customHeight="1">
      <c r="A233" s="51"/>
      <c r="B233" s="439" t="s">
        <v>4048</v>
      </c>
      <c r="C233" s="3998" t="s">
        <v>975</v>
      </c>
      <c r="D233" s="3999"/>
      <c r="E233" s="3999"/>
      <c r="F233" s="3999"/>
      <c r="G233" s="4000"/>
      <c r="H233" s="439" t="s">
        <v>4048</v>
      </c>
      <c r="I233" s="3419"/>
      <c r="J233" s="3373"/>
      <c r="K233" s="3373"/>
      <c r="L233" s="3373"/>
      <c r="M233" s="3373"/>
      <c r="N233" s="3373"/>
      <c r="O233" s="3374"/>
      <c r="P233" s="2955"/>
      <c r="Q233" s="2971"/>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6902</v>
      </c>
      <c r="Q234" s="2953"/>
    </row>
    <row r="235" spans="1:32" ht="12.75" customHeight="1">
      <c r="A235" s="47"/>
      <c r="B235" s="144" t="s">
        <v>1658</v>
      </c>
      <c r="C235" s="52" t="s">
        <v>3195</v>
      </c>
      <c r="E235" s="52"/>
      <c r="F235" s="52"/>
      <c r="L235" s="33"/>
      <c r="M235" s="33"/>
      <c r="O235" s="65" t="s">
        <v>1658</v>
      </c>
      <c r="P235" s="2670" t="s">
        <v>2770</v>
      </c>
      <c r="Q235" s="2954"/>
    </row>
    <row r="236" spans="1:32" ht="12.75" customHeight="1">
      <c r="B236" s="144" t="s">
        <v>1659</v>
      </c>
      <c r="C236" s="783" t="s">
        <v>2615</v>
      </c>
      <c r="E236" s="783"/>
      <c r="F236" s="783"/>
      <c r="L236" s="33"/>
      <c r="M236" s="33"/>
      <c r="O236" s="65" t="s">
        <v>1659</v>
      </c>
      <c r="P236" s="2670" t="s">
        <v>2770</v>
      </c>
      <c r="Q236" s="2954"/>
    </row>
    <row r="237" spans="1:32" ht="12.75" customHeight="1">
      <c r="B237" s="144" t="s">
        <v>1660</v>
      </c>
      <c r="C237" s="783" t="s">
        <v>6339</v>
      </c>
      <c r="E237" s="783"/>
      <c r="F237" s="783"/>
      <c r="G237" s="783"/>
      <c r="H237" s="783"/>
      <c r="I237" s="42"/>
      <c r="J237" s="33"/>
      <c r="K237" s="42"/>
      <c r="L237" s="33"/>
      <c r="M237" s="33"/>
      <c r="O237" s="65" t="s">
        <v>1660</v>
      </c>
      <c r="P237" s="2670" t="s">
        <v>2770</v>
      </c>
      <c r="Q237" s="2954"/>
    </row>
    <row r="238" spans="1:32" ht="12.75" customHeight="1">
      <c r="A238" s="47"/>
      <c r="B238" s="144" t="s">
        <v>2261</v>
      </c>
      <c r="C238" s="783" t="s">
        <v>2616</v>
      </c>
      <c r="E238" s="783"/>
      <c r="F238" s="783"/>
      <c r="G238" s="783"/>
      <c r="H238" s="783"/>
      <c r="I238" s="42"/>
      <c r="J238" s="33"/>
      <c r="K238" s="42"/>
      <c r="L238" s="33"/>
      <c r="M238" s="33"/>
      <c r="O238" s="65" t="s">
        <v>2261</v>
      </c>
      <c r="P238" s="2670" t="s">
        <v>2770</v>
      </c>
      <c r="Q238" s="2954"/>
    </row>
    <row r="239" spans="1:32" ht="12.75" customHeight="1">
      <c r="A239" s="47"/>
      <c r="B239" s="144" t="s">
        <v>1487</v>
      </c>
      <c r="C239" s="783" t="s">
        <v>2617</v>
      </c>
      <c r="E239" s="783"/>
      <c r="F239" s="783"/>
      <c r="G239" s="783"/>
      <c r="H239" s="783"/>
      <c r="I239" s="42"/>
      <c r="J239" s="33"/>
      <c r="K239" s="42"/>
      <c r="L239" s="33"/>
      <c r="M239" s="33"/>
      <c r="O239" s="65" t="s">
        <v>1487</v>
      </c>
      <c r="P239" s="2670" t="s">
        <v>2770</v>
      </c>
      <c r="Q239" s="2954"/>
    </row>
    <row r="240" spans="1:32" ht="23.25" customHeight="1">
      <c r="A240" s="47"/>
      <c r="B240" s="451" t="s">
        <v>1488</v>
      </c>
      <c r="C240" s="4014" t="s">
        <v>6454</v>
      </c>
      <c r="D240" s="4014"/>
      <c r="E240" s="4014"/>
      <c r="F240" s="4014"/>
      <c r="G240" s="4014"/>
      <c r="H240" s="4014"/>
      <c r="I240" s="4014"/>
      <c r="J240" s="4014"/>
      <c r="K240" s="4014"/>
      <c r="L240" s="4014"/>
      <c r="M240" s="4014"/>
      <c r="N240" s="4014"/>
      <c r="O240" s="159" t="s">
        <v>1488</v>
      </c>
      <c r="P240" s="2670" t="s">
        <v>2770</v>
      </c>
      <c r="Q240" s="2963"/>
    </row>
    <row r="241" spans="1:32" ht="12" customHeight="1">
      <c r="A241" s="47" t="s">
        <v>2022</v>
      </c>
      <c r="B241" s="52" t="s">
        <v>6315</v>
      </c>
      <c r="C241" s="52"/>
      <c r="E241" s="52"/>
      <c r="F241" s="52"/>
      <c r="G241" s="52"/>
      <c r="H241" s="52"/>
      <c r="I241" s="52"/>
      <c r="J241" s="52"/>
      <c r="K241" s="42"/>
      <c r="M241" s="1292" t="str">
        <f>'Part I-Project Information'!$H$77</f>
        <v>Family</v>
      </c>
      <c r="O241" s="439" t="s">
        <v>2022</v>
      </c>
      <c r="P241" s="2668" t="s">
        <v>2773</v>
      </c>
      <c r="Q241" s="2953"/>
    </row>
    <row r="242" spans="1:32" ht="12" customHeight="1">
      <c r="B242" s="144" t="s">
        <v>1658</v>
      </c>
      <c r="C242" s="39" t="s">
        <v>1209</v>
      </c>
      <c r="E242" s="42"/>
      <c r="F242" s="42"/>
      <c r="G242" s="39"/>
      <c r="H242" s="783"/>
      <c r="I242" s="42"/>
      <c r="J242" s="783"/>
      <c r="K242" s="42"/>
      <c r="L242" s="783"/>
      <c r="M242" s="783"/>
      <c r="O242" s="65" t="s">
        <v>1658</v>
      </c>
      <c r="P242" s="2670"/>
      <c r="Q242" s="2954"/>
    </row>
    <row r="243" spans="1:32" ht="12" customHeight="1">
      <c r="B243" s="144" t="s">
        <v>1659</v>
      </c>
      <c r="C243" s="36" t="s">
        <v>3962</v>
      </c>
      <c r="E243" s="42"/>
      <c r="F243" s="42"/>
      <c r="G243" s="783"/>
      <c r="H243" s="783"/>
      <c r="I243" s="42"/>
      <c r="J243" s="783"/>
      <c r="K243" s="42"/>
      <c r="L243" s="783"/>
      <c r="M243" s="783"/>
      <c r="O243" s="65" t="s">
        <v>1659</v>
      </c>
      <c r="P243" s="2668"/>
      <c r="Q243" s="2955"/>
    </row>
    <row r="244" spans="1:32" ht="11.25" customHeight="1">
      <c r="B244" s="139" t="s">
        <v>3373</v>
      </c>
      <c r="D244" s="139"/>
      <c r="E244" s="139"/>
      <c r="F244" s="139"/>
      <c r="G244" s="139"/>
      <c r="H244" s="40"/>
      <c r="I244" s="2667"/>
      <c r="J244" s="2667"/>
      <c r="K244" s="2667"/>
      <c r="L244" s="1401"/>
      <c r="M244" s="1401"/>
      <c r="N244" s="1401"/>
      <c r="O244" s="1401"/>
      <c r="P244" s="1401"/>
      <c r="Q244" s="782"/>
    </row>
    <row r="245" spans="1:32" ht="30" customHeight="1">
      <c r="A245" s="3966" t="s">
        <v>7021</v>
      </c>
      <c r="B245" s="3967"/>
      <c r="C245" s="3967"/>
      <c r="D245" s="3967"/>
      <c r="E245" s="3967"/>
      <c r="F245" s="3967"/>
      <c r="G245" s="3967"/>
      <c r="H245" s="3967"/>
      <c r="I245" s="3967"/>
      <c r="J245" s="3967"/>
      <c r="K245" s="3967"/>
      <c r="L245" s="3967"/>
      <c r="M245" s="3967"/>
      <c r="N245" s="3967"/>
      <c r="O245" s="3967"/>
      <c r="P245" s="3967"/>
      <c r="Q245" s="3968"/>
      <c r="R245" s="427" t="s">
        <v>1208</v>
      </c>
      <c r="S245" s="428"/>
      <c r="U245" s="134"/>
      <c r="V245" s="134"/>
      <c r="W245" s="134"/>
      <c r="X245" s="134"/>
      <c r="Y245" s="134"/>
      <c r="Z245" s="134"/>
      <c r="AA245" s="134"/>
      <c r="AB245" s="134"/>
      <c r="AC245" s="134"/>
      <c r="AD245" s="134"/>
      <c r="AE245" s="441"/>
    </row>
    <row r="246" spans="1:32" ht="11.25" customHeight="1">
      <c r="B246" s="135" t="s">
        <v>1781</v>
      </c>
      <c r="C246" s="136"/>
      <c r="D246" s="2654"/>
      <c r="E246" s="2654"/>
      <c r="F246" s="2654"/>
      <c r="G246" s="2654"/>
      <c r="H246" s="2654"/>
      <c r="I246" s="2654"/>
      <c r="J246" s="2654"/>
      <c r="K246" s="2654"/>
      <c r="L246" s="2654"/>
      <c r="M246" s="2654"/>
      <c r="N246" s="2654"/>
      <c r="O246" s="2654"/>
      <c r="P246" s="2654"/>
      <c r="Q246" s="2654"/>
    </row>
    <row r="247" spans="1:32" ht="12" customHeight="1">
      <c r="A247" s="3960"/>
      <c r="B247" s="3961"/>
      <c r="C247" s="3961"/>
      <c r="D247" s="3961"/>
      <c r="E247" s="3961"/>
      <c r="F247" s="3961"/>
      <c r="G247" s="3961"/>
      <c r="H247" s="3961"/>
      <c r="I247" s="3961"/>
      <c r="J247" s="3961"/>
      <c r="K247" s="3961"/>
      <c r="L247" s="3961"/>
      <c r="M247" s="3961"/>
      <c r="N247" s="3961"/>
      <c r="O247" s="3961"/>
      <c r="P247" s="3961"/>
      <c r="Q247" s="3962"/>
    </row>
    <row r="248" spans="1:32" ht="14.1" customHeight="1">
      <c r="A248" s="2648" t="s">
        <v>2606</v>
      </c>
      <c r="B248" s="2648" t="s">
        <v>6340</v>
      </c>
      <c r="C248" s="40"/>
      <c r="D248" s="2654"/>
      <c r="E248" s="2654"/>
      <c r="F248" s="2654"/>
      <c r="G248" s="2654"/>
      <c r="H248" s="2654"/>
      <c r="I248" s="2654"/>
      <c r="J248" s="2654"/>
      <c r="K248" s="1409" t="s">
        <v>431</v>
      </c>
      <c r="L248" s="1409" t="str">
        <f>'Part I-Project Information'!$N$40</f>
        <v>No</v>
      </c>
      <c r="M248" s="2654"/>
      <c r="O248" s="130" t="s">
        <v>1782</v>
      </c>
      <c r="P248" s="3969"/>
      <c r="Q248" s="3970"/>
    </row>
    <row r="249" spans="1:32" ht="11.25" customHeight="1">
      <c r="A249" s="140" t="s">
        <v>1894</v>
      </c>
      <c r="B249" s="138" t="s">
        <v>6343</v>
      </c>
    </row>
    <row r="250" spans="1:32" ht="10.5" customHeight="1">
      <c r="A250" s="140"/>
      <c r="B250" s="52" t="s">
        <v>6345</v>
      </c>
      <c r="C250" s="42"/>
      <c r="D250" s="42"/>
      <c r="E250" s="42"/>
      <c r="F250" s="42"/>
      <c r="G250" s="42"/>
      <c r="H250" s="42"/>
      <c r="I250" s="42"/>
      <c r="J250" s="2644" t="s">
        <v>6344</v>
      </c>
      <c r="K250" s="52" t="s">
        <v>6345</v>
      </c>
      <c r="L250" s="42"/>
      <c r="M250" s="42"/>
      <c r="N250" s="42"/>
      <c r="O250" s="42"/>
      <c r="P250" s="42"/>
      <c r="Q250" s="2644" t="s">
        <v>6344</v>
      </c>
    </row>
    <row r="251" spans="1:32" s="131" customFormat="1" ht="12" customHeight="1">
      <c r="B251" s="4057"/>
      <c r="C251" s="4058"/>
      <c r="D251" s="4058"/>
      <c r="E251" s="4058"/>
      <c r="F251" s="4058"/>
      <c r="G251" s="4058"/>
      <c r="H251" s="4058"/>
      <c r="I251" s="4058"/>
      <c r="J251" s="2503"/>
      <c r="K251" s="4057"/>
      <c r="L251" s="4058"/>
      <c r="M251" s="4058"/>
      <c r="N251" s="4058"/>
      <c r="O251" s="4058"/>
      <c r="P251" s="4058"/>
      <c r="Q251" s="2503"/>
      <c r="AE251" s="442"/>
      <c r="AF251" s="442"/>
    </row>
    <row r="252" spans="1:32" s="131" customFormat="1" ht="12" customHeight="1">
      <c r="A252" s="140"/>
      <c r="B252" s="3430"/>
      <c r="C252" s="3376"/>
      <c r="D252" s="3376"/>
      <c r="E252" s="3376"/>
      <c r="F252" s="3376"/>
      <c r="G252" s="3376"/>
      <c r="H252" s="3376"/>
      <c r="I252" s="3376"/>
      <c r="J252" s="2504"/>
      <c r="K252" s="3430"/>
      <c r="L252" s="3376"/>
      <c r="M252" s="3376"/>
      <c r="N252" s="3376"/>
      <c r="O252" s="3376"/>
      <c r="P252" s="3376"/>
      <c r="Q252" s="2504"/>
      <c r="AE252" s="442"/>
      <c r="AF252" s="442"/>
    </row>
    <row r="253" spans="1:32" s="131" customFormat="1" ht="12" customHeight="1">
      <c r="A253" s="140"/>
      <c r="B253" s="3430"/>
      <c r="C253" s="3376"/>
      <c r="D253" s="3376"/>
      <c r="E253" s="3376"/>
      <c r="F253" s="3376"/>
      <c r="G253" s="3376"/>
      <c r="H253" s="3376"/>
      <c r="I253" s="3376"/>
      <c r="J253" s="2504"/>
      <c r="K253" s="3430"/>
      <c r="L253" s="3376"/>
      <c r="M253" s="3376"/>
      <c r="N253" s="3376"/>
      <c r="O253" s="3376"/>
      <c r="P253" s="3376"/>
      <c r="Q253" s="2504"/>
      <c r="AE253" s="442"/>
      <c r="AF253" s="442"/>
    </row>
    <row r="254" spans="1:32" s="131" customFormat="1" ht="12" customHeight="1">
      <c r="A254" s="140"/>
      <c r="B254" s="3430"/>
      <c r="C254" s="3376"/>
      <c r="D254" s="3376"/>
      <c r="E254" s="3376"/>
      <c r="F254" s="3376"/>
      <c r="G254" s="3376"/>
      <c r="H254" s="3376"/>
      <c r="I254" s="3376"/>
      <c r="J254" s="2504"/>
      <c r="K254" s="3430"/>
      <c r="L254" s="3376"/>
      <c r="M254" s="3376"/>
      <c r="N254" s="3376"/>
      <c r="O254" s="3376"/>
      <c r="P254" s="3376"/>
      <c r="Q254" s="2504"/>
      <c r="AE254" s="442"/>
      <c r="AF254" s="442"/>
    </row>
    <row r="255" spans="1:32" s="131" customFormat="1" ht="12" customHeight="1">
      <c r="A255" s="140"/>
      <c r="B255" s="3430"/>
      <c r="C255" s="3376"/>
      <c r="D255" s="3376"/>
      <c r="E255" s="3376"/>
      <c r="F255" s="3376"/>
      <c r="G255" s="3376"/>
      <c r="H255" s="3376"/>
      <c r="I255" s="3376"/>
      <c r="J255" s="2504"/>
      <c r="K255" s="3430"/>
      <c r="L255" s="3376"/>
      <c r="M255" s="3376"/>
      <c r="N255" s="3376"/>
      <c r="O255" s="3376"/>
      <c r="P255" s="3376"/>
      <c r="Q255" s="2504"/>
      <c r="AE255" s="442"/>
      <c r="AF255" s="442"/>
    </row>
    <row r="256" spans="1:32" s="131" customFormat="1" ht="12" customHeight="1">
      <c r="A256" s="140"/>
      <c r="B256" s="3430"/>
      <c r="C256" s="3376"/>
      <c r="D256" s="3376"/>
      <c r="E256" s="3376"/>
      <c r="F256" s="3376"/>
      <c r="G256" s="3376"/>
      <c r="H256" s="3376"/>
      <c r="I256" s="3376"/>
      <c r="J256" s="2504"/>
      <c r="K256" s="3430"/>
      <c r="L256" s="3376"/>
      <c r="M256" s="3376"/>
      <c r="N256" s="3376"/>
      <c r="O256" s="3376"/>
      <c r="P256" s="3376"/>
      <c r="Q256" s="2504"/>
      <c r="AE256" s="442"/>
      <c r="AF256" s="442"/>
    </row>
    <row r="257" spans="1:32" s="131" customFormat="1" ht="12" customHeight="1">
      <c r="A257" s="140"/>
      <c r="B257" s="3430"/>
      <c r="C257" s="3376"/>
      <c r="D257" s="3376"/>
      <c r="E257" s="3376"/>
      <c r="F257" s="3376"/>
      <c r="G257" s="3376"/>
      <c r="H257" s="3376"/>
      <c r="I257" s="3376"/>
      <c r="J257" s="2504"/>
      <c r="K257" s="3430"/>
      <c r="L257" s="3376"/>
      <c r="M257" s="3376"/>
      <c r="N257" s="3376"/>
      <c r="O257" s="3376"/>
      <c r="P257" s="3376"/>
      <c r="Q257" s="2504"/>
      <c r="AE257" s="442"/>
      <c r="AF257" s="442"/>
    </row>
    <row r="258" spans="1:32" s="131" customFormat="1" ht="12" customHeight="1">
      <c r="B258" s="3419"/>
      <c r="C258" s="3373"/>
      <c r="D258" s="3373"/>
      <c r="E258" s="3373"/>
      <c r="F258" s="3373"/>
      <c r="G258" s="3373"/>
      <c r="H258" s="3373"/>
      <c r="I258" s="3373"/>
      <c r="J258" s="2505"/>
      <c r="K258" s="3419"/>
      <c r="L258" s="3373"/>
      <c r="M258" s="3373"/>
      <c r="N258" s="3373"/>
      <c r="O258" s="3373"/>
      <c r="P258" s="3373"/>
      <c r="Q258" s="2505"/>
      <c r="AE258" s="442"/>
      <c r="AF258" s="442"/>
    </row>
    <row r="259" spans="1:32" ht="12" customHeight="1">
      <c r="A259" s="140" t="s">
        <v>1896</v>
      </c>
      <c r="B259" s="1602" t="s">
        <v>6346</v>
      </c>
      <c r="C259" s="1603"/>
      <c r="D259" s="1604"/>
      <c r="E259" s="1604"/>
      <c r="F259" s="1604"/>
      <c r="G259" s="1604"/>
      <c r="H259" s="1604"/>
      <c r="I259" s="1605"/>
      <c r="J259" s="1605"/>
      <c r="K259" s="1604"/>
      <c r="L259" s="1606"/>
      <c r="M259" s="1603"/>
      <c r="N259" s="1603"/>
      <c r="O259" s="159" t="s">
        <v>1896</v>
      </c>
      <c r="P259" s="2669"/>
      <c r="Q259" s="2959"/>
    </row>
    <row r="260" spans="1:32" s="403" customFormat="1" ht="23.25" customHeight="1">
      <c r="A260" s="140" t="s">
        <v>719</v>
      </c>
      <c r="B260" s="3971" t="s">
        <v>6342</v>
      </c>
      <c r="C260" s="3971"/>
      <c r="D260" s="3971"/>
      <c r="E260" s="3971"/>
      <c r="F260" s="3971"/>
      <c r="G260" s="3971"/>
      <c r="H260" s="3971"/>
      <c r="I260" s="3971"/>
      <c r="J260" s="3971"/>
      <c r="K260" s="3971"/>
      <c r="L260" s="3971"/>
      <c r="M260" s="3971"/>
      <c r="N260" s="3971"/>
      <c r="O260" s="159" t="s">
        <v>719</v>
      </c>
      <c r="P260" s="2665"/>
      <c r="Q260" s="2961"/>
      <c r="AE260" s="444"/>
      <c r="AF260" s="444"/>
    </row>
    <row r="261" spans="1:32" s="403" customFormat="1" ht="12" customHeight="1">
      <c r="A261" s="47" t="s">
        <v>2022</v>
      </c>
      <c r="B261" s="138" t="s">
        <v>6341</v>
      </c>
      <c r="D261" s="138"/>
      <c r="E261" s="138"/>
      <c r="F261" s="138"/>
      <c r="G261" s="138"/>
      <c r="H261" s="138"/>
      <c r="I261" s="138"/>
      <c r="J261" s="138"/>
      <c r="K261" s="138"/>
      <c r="L261" s="138"/>
      <c r="M261" s="138"/>
      <c r="O261" s="439" t="s">
        <v>2022</v>
      </c>
      <c r="P261" s="2666"/>
      <c r="Q261" s="2963"/>
      <c r="AE261" s="444"/>
      <c r="AF261" s="444"/>
    </row>
    <row r="262" spans="1:32" ht="11.25" customHeight="1">
      <c r="B262" s="139" t="s">
        <v>3373</v>
      </c>
      <c r="D262" s="139"/>
      <c r="E262" s="139"/>
      <c r="F262" s="139"/>
      <c r="G262" s="139"/>
      <c r="H262" s="40"/>
      <c r="I262" s="2667"/>
      <c r="J262" s="2667"/>
      <c r="K262" s="2667"/>
      <c r="L262" s="1401"/>
      <c r="M262" s="1401"/>
      <c r="N262" s="1401"/>
      <c r="O262" s="1401"/>
      <c r="P262" s="1401"/>
      <c r="Q262" s="782"/>
    </row>
    <row r="263" spans="1:32" ht="12" customHeight="1">
      <c r="A263" s="3966" t="s">
        <v>7006</v>
      </c>
      <c r="B263" s="3967"/>
      <c r="C263" s="3967"/>
      <c r="D263" s="3967"/>
      <c r="E263" s="3967"/>
      <c r="F263" s="3967"/>
      <c r="G263" s="3967"/>
      <c r="H263" s="3967"/>
      <c r="I263" s="3967"/>
      <c r="J263" s="3967"/>
      <c r="K263" s="3967"/>
      <c r="L263" s="3967"/>
      <c r="M263" s="3967"/>
      <c r="N263" s="3967"/>
      <c r="O263" s="3967"/>
      <c r="P263" s="3967"/>
      <c r="Q263" s="3968"/>
      <c r="R263" s="427" t="s">
        <v>1208</v>
      </c>
      <c r="S263" s="428"/>
      <c r="U263" s="134"/>
      <c r="V263" s="134"/>
      <c r="W263" s="134"/>
      <c r="X263" s="134"/>
      <c r="Y263" s="134"/>
      <c r="Z263" s="134"/>
      <c r="AA263" s="134"/>
      <c r="AB263" s="134"/>
      <c r="AC263" s="134"/>
      <c r="AD263" s="134"/>
      <c r="AE263" s="441"/>
    </row>
    <row r="264" spans="1:32" ht="11.25" customHeight="1">
      <c r="B264" s="135" t="s">
        <v>1781</v>
      </c>
      <c r="C264" s="136"/>
      <c r="D264" s="2654"/>
      <c r="E264" s="2654"/>
      <c r="F264" s="2654"/>
      <c r="G264" s="2654"/>
      <c r="H264" s="2654"/>
      <c r="I264" s="2654"/>
      <c r="J264" s="2654"/>
      <c r="K264" s="2654"/>
      <c r="L264" s="2654"/>
      <c r="M264" s="2654"/>
      <c r="N264" s="2654"/>
      <c r="O264" s="2654"/>
      <c r="P264" s="2654"/>
      <c r="Q264" s="2654"/>
    </row>
    <row r="265" spans="1:32" ht="12" customHeight="1">
      <c r="A265" s="3960"/>
      <c r="B265" s="3961"/>
      <c r="C265" s="3961"/>
      <c r="D265" s="3961"/>
      <c r="E265" s="3961"/>
      <c r="F265" s="3961"/>
      <c r="G265" s="3961"/>
      <c r="H265" s="3961"/>
      <c r="I265" s="3961"/>
      <c r="J265" s="3961"/>
      <c r="K265" s="3961"/>
      <c r="L265" s="3961"/>
      <c r="M265" s="3961"/>
      <c r="N265" s="3961"/>
      <c r="O265" s="3961"/>
      <c r="P265" s="3961"/>
      <c r="Q265" s="3962"/>
    </row>
    <row r="266" spans="1:32" ht="3" customHeight="1">
      <c r="A266" s="1401"/>
      <c r="B266" s="2667"/>
      <c r="C266" s="2654"/>
      <c r="D266" s="2654"/>
      <c r="E266" s="2654"/>
      <c r="F266" s="2654"/>
      <c r="G266" s="2654"/>
      <c r="H266" s="2654"/>
      <c r="I266" s="2654"/>
      <c r="J266" s="2654"/>
      <c r="K266" s="2654"/>
      <c r="L266" s="2654"/>
      <c r="M266" s="2654"/>
      <c r="Q266" s="1401"/>
    </row>
    <row r="267" spans="1:32" ht="14.1" customHeight="1">
      <c r="A267" s="2648" t="s">
        <v>2150</v>
      </c>
      <c r="B267" s="4" t="s">
        <v>4154</v>
      </c>
      <c r="C267" s="4"/>
      <c r="D267" s="86"/>
      <c r="E267" s="86"/>
      <c r="F267" s="86"/>
      <c r="G267" s="86"/>
      <c r="H267" s="2654"/>
      <c r="I267" s="2654"/>
      <c r="J267" s="2654"/>
      <c r="K267" s="2654"/>
      <c r="L267" s="1343"/>
      <c r="M267" s="1344"/>
      <c r="O267" s="130" t="s">
        <v>1782</v>
      </c>
      <c r="P267" s="3969"/>
      <c r="Q267" s="3970"/>
    </row>
    <row r="268" spans="1:32" s="27" customFormat="1" ht="12" customHeight="1">
      <c r="B268" s="55" t="s">
        <v>6455</v>
      </c>
      <c r="N268" s="119"/>
      <c r="P268" s="2489"/>
      <c r="Q268" s="2967"/>
      <c r="AE268" s="115"/>
      <c r="AF268" s="115"/>
    </row>
    <row r="269" spans="1:32" ht="11.45" customHeight="1">
      <c r="A269" s="47" t="s">
        <v>1894</v>
      </c>
      <c r="B269" s="52" t="s">
        <v>1220</v>
      </c>
      <c r="D269" s="42"/>
      <c r="E269" s="52"/>
      <c r="F269" s="52"/>
      <c r="J269" s="439" t="s">
        <v>1894</v>
      </c>
      <c r="K269" s="4023"/>
      <c r="L269" s="4024"/>
      <c r="M269" s="4024"/>
      <c r="N269" s="4024"/>
      <c r="O269" s="4025"/>
      <c r="P269" s="4158" t="s">
        <v>1691</v>
      </c>
      <c r="Q269" s="4159"/>
    </row>
    <row r="270" spans="1:32" s="27" customFormat="1" ht="34.5" customHeight="1">
      <c r="B270" s="3958" t="s">
        <v>6456</v>
      </c>
      <c r="C270" s="3958"/>
      <c r="D270" s="3958"/>
      <c r="E270" s="3958"/>
      <c r="F270" s="3958"/>
      <c r="G270" s="3958"/>
      <c r="H270" s="3958"/>
      <c r="I270" s="3958"/>
      <c r="J270" s="3958"/>
      <c r="K270" s="3958"/>
      <c r="L270" s="3958"/>
      <c r="M270" s="3958"/>
      <c r="N270" s="3958"/>
      <c r="O270" s="3984"/>
      <c r="P270" s="2506"/>
      <c r="Q270" s="2972"/>
      <c r="AE270" s="115"/>
      <c r="AF270" s="115"/>
    </row>
    <row r="271" spans="1:32" ht="12" customHeight="1">
      <c r="A271" s="47" t="s">
        <v>1896</v>
      </c>
      <c r="B271" s="52" t="s">
        <v>2618</v>
      </c>
      <c r="D271" s="52"/>
      <c r="E271" s="52"/>
      <c r="F271" s="52"/>
      <c r="J271" s="439" t="s">
        <v>1896</v>
      </c>
      <c r="K271" s="4134"/>
      <c r="L271" s="4135"/>
      <c r="M271" s="4135"/>
      <c r="N271" s="4135"/>
      <c r="O271" s="4136"/>
      <c r="P271" s="4130"/>
      <c r="Q271" s="4131"/>
    </row>
    <row r="272" spans="1:32" s="146" customFormat="1" ht="12" customHeight="1">
      <c r="A272" s="47"/>
      <c r="B272" s="2654" t="s">
        <v>1658</v>
      </c>
      <c r="C272" s="52" t="s">
        <v>1857</v>
      </c>
      <c r="D272" s="52"/>
      <c r="E272" s="52"/>
      <c r="F272" s="52"/>
      <c r="J272" s="65" t="s">
        <v>1658</v>
      </c>
      <c r="K272" s="3972"/>
      <c r="L272" s="3973"/>
      <c r="M272" s="3973"/>
      <c r="N272" s="3973"/>
      <c r="O272" s="3974"/>
      <c r="P272" s="4132"/>
      <c r="Q272" s="4133"/>
      <c r="AE272" s="443"/>
      <c r="AF272" s="443"/>
    </row>
    <row r="273" spans="1:32" s="146" customFormat="1" ht="12" customHeight="1">
      <c r="A273" s="47"/>
      <c r="B273" s="2654" t="s">
        <v>1659</v>
      </c>
      <c r="C273" s="52" t="s">
        <v>6457</v>
      </c>
      <c r="D273" s="52"/>
      <c r="E273" s="52"/>
      <c r="F273" s="52"/>
      <c r="G273" s="52"/>
      <c r="H273" s="52"/>
      <c r="I273" s="93"/>
      <c r="J273" s="93"/>
      <c r="M273" s="36"/>
      <c r="N273" s="896"/>
      <c r="O273" s="65" t="s">
        <v>1659</v>
      </c>
      <c r="P273" s="2500"/>
      <c r="Q273" s="2965"/>
      <c r="AE273" s="443"/>
      <c r="AF273" s="443"/>
    </row>
    <row r="274" spans="1:32" s="146" customFormat="1" ht="34.5" customHeight="1">
      <c r="A274" s="47"/>
      <c r="B274" s="2654" t="s">
        <v>1660</v>
      </c>
      <c r="C274" s="3971" t="s">
        <v>6467</v>
      </c>
      <c r="D274" s="3971"/>
      <c r="E274" s="3971"/>
      <c r="F274" s="3971"/>
      <c r="G274" s="3971"/>
      <c r="H274" s="3971"/>
      <c r="I274" s="3971"/>
      <c r="J274" s="3971"/>
      <c r="K274" s="3971"/>
      <c r="L274" s="3971"/>
      <c r="M274" s="3971"/>
      <c r="N274" s="3971"/>
      <c r="O274" s="147" t="s">
        <v>1660</v>
      </c>
      <c r="P274" s="2656"/>
      <c r="Q274" s="2973"/>
      <c r="AE274" s="443"/>
      <c r="AF274" s="443"/>
    </row>
    <row r="275" spans="1:32" s="146" customFormat="1" ht="24" customHeight="1">
      <c r="A275" s="47"/>
      <c r="B275" s="2654" t="s">
        <v>2261</v>
      </c>
      <c r="C275" s="3971" t="s">
        <v>6468</v>
      </c>
      <c r="D275" s="3971"/>
      <c r="E275" s="3971"/>
      <c r="F275" s="3971"/>
      <c r="G275" s="3971"/>
      <c r="H275" s="3971"/>
      <c r="I275" s="3971"/>
      <c r="J275" s="3971"/>
      <c r="K275" s="3971"/>
      <c r="L275" s="3971"/>
      <c r="M275" s="3971"/>
      <c r="N275" s="3971"/>
      <c r="O275" s="159" t="s">
        <v>2261</v>
      </c>
      <c r="P275" s="2666"/>
      <c r="Q275" s="2963"/>
      <c r="AE275" s="443"/>
      <c r="AF275" s="443"/>
    </row>
    <row r="276" spans="1:32" s="146" customFormat="1" ht="12" customHeight="1">
      <c r="A276" s="47" t="s">
        <v>719</v>
      </c>
      <c r="B276" s="52" t="s">
        <v>3453</v>
      </c>
      <c r="D276" s="52"/>
      <c r="E276" s="52"/>
      <c r="F276" s="52"/>
      <c r="G276" s="52"/>
      <c r="H276" s="52"/>
      <c r="I276" s="93"/>
      <c r="J276" s="93"/>
      <c r="K276" s="93"/>
      <c r="M276" s="36"/>
      <c r="N276" s="896"/>
      <c r="P276" s="2492"/>
      <c r="Q276" s="2953"/>
      <c r="AE276" s="443"/>
      <c r="AF276" s="443"/>
    </row>
    <row r="277" spans="1:32" s="146" customFormat="1" ht="12" customHeight="1">
      <c r="A277" s="47"/>
      <c r="B277" s="3971" t="s">
        <v>3378</v>
      </c>
      <c r="C277" s="3971"/>
      <c r="D277" s="3971"/>
      <c r="E277" s="3971"/>
      <c r="F277" s="3971"/>
      <c r="G277" s="3971"/>
      <c r="H277" s="418" t="s">
        <v>3534</v>
      </c>
      <c r="K277" s="93"/>
      <c r="M277" s="36"/>
      <c r="N277" s="896"/>
      <c r="O277" s="65" t="s">
        <v>1658</v>
      </c>
      <c r="P277" s="2670"/>
      <c r="Q277" s="2954"/>
      <c r="AE277" s="443"/>
      <c r="AF277" s="443"/>
    </row>
    <row r="278" spans="1:32" s="146" customFormat="1" ht="12" customHeight="1">
      <c r="A278" s="47"/>
      <c r="B278" s="3971"/>
      <c r="C278" s="3971"/>
      <c r="D278" s="3971"/>
      <c r="E278" s="3971"/>
      <c r="F278" s="3971"/>
      <c r="G278" s="3971"/>
      <c r="H278" s="55" t="s">
        <v>3535</v>
      </c>
      <c r="K278" s="93"/>
      <c r="M278" s="36"/>
      <c r="N278" s="896"/>
      <c r="O278" s="65" t="s">
        <v>1659</v>
      </c>
      <c r="P278" s="2670"/>
      <c r="Q278" s="2954"/>
      <c r="AE278" s="443"/>
      <c r="AF278" s="443"/>
    </row>
    <row r="279" spans="1:32" s="146" customFormat="1" ht="12" customHeight="1">
      <c r="A279" s="47"/>
      <c r="B279" s="52"/>
      <c r="D279" s="52"/>
      <c r="E279" s="52"/>
      <c r="F279" s="52"/>
      <c r="G279" s="52"/>
      <c r="H279" s="55" t="s">
        <v>3536</v>
      </c>
      <c r="K279" s="93"/>
      <c r="M279" s="36"/>
      <c r="N279" s="896"/>
      <c r="O279" s="65" t="s">
        <v>1660</v>
      </c>
      <c r="P279" s="2670"/>
      <c r="Q279" s="2954"/>
      <c r="AE279" s="443"/>
      <c r="AF279" s="443"/>
    </row>
    <row r="280" spans="1:32" s="146" customFormat="1" ht="12" customHeight="1">
      <c r="A280" s="47"/>
      <c r="B280" s="52"/>
      <c r="D280" s="52"/>
      <c r="E280" s="52"/>
      <c r="F280" s="52"/>
      <c r="G280" s="52"/>
      <c r="H280" s="55" t="s">
        <v>3537</v>
      </c>
      <c r="K280" s="93"/>
      <c r="M280" s="36"/>
      <c r="N280" s="896"/>
      <c r="O280" s="439" t="s">
        <v>2261</v>
      </c>
      <c r="P280" s="2670"/>
      <c r="Q280" s="2954"/>
      <c r="AE280" s="443"/>
      <c r="AF280" s="443"/>
    </row>
    <row r="281" spans="1:32" s="146" customFormat="1" ht="23.25" customHeight="1">
      <c r="B281" s="784" t="s">
        <v>6826</v>
      </c>
      <c r="C281" s="3971" t="s">
        <v>6825</v>
      </c>
      <c r="D281" s="3971"/>
      <c r="E281" s="3971"/>
      <c r="F281" s="3971"/>
      <c r="G281" s="3971"/>
      <c r="H281" s="3971"/>
      <c r="I281" s="3971"/>
      <c r="J281" s="3971"/>
      <c r="K281" s="3971"/>
      <c r="L281" s="3971"/>
      <c r="M281" s="3971"/>
      <c r="N281" s="3971"/>
      <c r="O281" s="159" t="s">
        <v>1487</v>
      </c>
      <c r="P281" s="2666"/>
      <c r="Q281" s="2963"/>
      <c r="T281" s="443"/>
      <c r="AE281" s="443"/>
      <c r="AF281" s="443"/>
    </row>
    <row r="282" spans="1:32" ht="12" customHeight="1">
      <c r="B282" s="139" t="s">
        <v>3373</v>
      </c>
      <c r="D282" s="139"/>
      <c r="E282" s="139"/>
      <c r="F282" s="139"/>
      <c r="G282" s="139"/>
      <c r="H282" s="40"/>
      <c r="I282" s="2667"/>
      <c r="J282" s="2667"/>
      <c r="K282" s="2667"/>
      <c r="L282" s="1401"/>
      <c r="M282" s="1401"/>
      <c r="N282" s="1401"/>
      <c r="O282" s="1401"/>
      <c r="P282" s="1401"/>
      <c r="Q282" s="782"/>
    </row>
    <row r="283" spans="1:32" ht="12" customHeight="1">
      <c r="A283" s="3966" t="s">
        <v>6914</v>
      </c>
      <c r="B283" s="3967"/>
      <c r="C283" s="3967"/>
      <c r="D283" s="3967"/>
      <c r="E283" s="3967"/>
      <c r="F283" s="3967"/>
      <c r="G283" s="3967"/>
      <c r="H283" s="3967"/>
      <c r="I283" s="3967"/>
      <c r="J283" s="3967"/>
      <c r="K283" s="3967"/>
      <c r="L283" s="3967"/>
      <c r="M283" s="3967"/>
      <c r="N283" s="3967"/>
      <c r="O283" s="3967"/>
      <c r="P283" s="3967"/>
      <c r="Q283" s="3968"/>
      <c r="R283" s="427" t="s">
        <v>1208</v>
      </c>
      <c r="S283" s="428"/>
      <c r="U283" s="134"/>
      <c r="V283" s="134"/>
      <c r="W283" s="134"/>
      <c r="X283" s="134"/>
      <c r="Y283" s="134"/>
      <c r="Z283" s="134"/>
      <c r="AA283" s="134"/>
      <c r="AB283" s="134"/>
      <c r="AC283" s="134"/>
      <c r="AD283" s="134"/>
      <c r="AE283" s="441"/>
    </row>
    <row r="284" spans="1:32" ht="12" customHeight="1">
      <c r="B284" s="135" t="s">
        <v>1781</v>
      </c>
      <c r="C284" s="136"/>
      <c r="D284" s="2654"/>
      <c r="E284" s="2654"/>
      <c r="F284" s="2654"/>
      <c r="G284" s="2654"/>
      <c r="H284" s="2654"/>
      <c r="I284" s="2654"/>
      <c r="J284" s="2654"/>
      <c r="K284" s="2654"/>
      <c r="L284" s="2654"/>
      <c r="M284" s="2654"/>
      <c r="N284" s="2654"/>
      <c r="O284" s="2654"/>
      <c r="P284" s="2654"/>
      <c r="Q284" s="2654"/>
    </row>
    <row r="285" spans="1:32" ht="12" customHeight="1">
      <c r="A285" s="3960"/>
      <c r="B285" s="3961"/>
      <c r="C285" s="3961"/>
      <c r="D285" s="3961"/>
      <c r="E285" s="3961"/>
      <c r="F285" s="3961"/>
      <c r="G285" s="3961"/>
      <c r="H285" s="3961"/>
      <c r="I285" s="3961"/>
      <c r="J285" s="3961"/>
      <c r="K285" s="3961"/>
      <c r="L285" s="3961"/>
      <c r="M285" s="3961"/>
      <c r="N285" s="3961"/>
      <c r="O285" s="3961"/>
      <c r="P285" s="3961"/>
      <c r="Q285" s="3962"/>
    </row>
    <row r="286" spans="1:32" ht="3" customHeight="1">
      <c r="A286" s="1401"/>
      <c r="B286" s="2667"/>
      <c r="C286" s="2654"/>
      <c r="D286" s="2654"/>
      <c r="E286" s="2654"/>
      <c r="F286" s="2654"/>
      <c r="G286" s="2654"/>
      <c r="H286" s="2654"/>
      <c r="I286" s="2654"/>
      <c r="J286" s="2654"/>
      <c r="K286" s="2654"/>
      <c r="L286" s="2654"/>
      <c r="M286" s="2654"/>
      <c r="Q286" s="1401"/>
    </row>
    <row r="287" spans="1:32" ht="14.1" customHeight="1">
      <c r="A287" s="2648" t="s">
        <v>3522</v>
      </c>
      <c r="B287" s="4" t="s">
        <v>2521</v>
      </c>
      <c r="C287" s="4"/>
      <c r="D287" s="86"/>
      <c r="E287" s="86"/>
      <c r="F287" s="86"/>
      <c r="G287" s="86"/>
      <c r="H287" s="2654"/>
      <c r="I287" s="2654"/>
      <c r="J287" s="2654"/>
      <c r="K287" s="2654"/>
      <c r="L287" s="2654"/>
      <c r="M287" s="2654"/>
      <c r="O287" s="130" t="s">
        <v>1782</v>
      </c>
      <c r="P287" s="3969"/>
      <c r="Q287" s="3970"/>
    </row>
    <row r="288" spans="1:32" s="403" customFormat="1" ht="21.75" customHeight="1">
      <c r="A288" s="140" t="s">
        <v>1894</v>
      </c>
      <c r="B288" s="2654" t="s">
        <v>1658</v>
      </c>
      <c r="C288" s="3971" t="s">
        <v>4236</v>
      </c>
      <c r="D288" s="3971"/>
      <c r="E288" s="3971"/>
      <c r="F288" s="3971"/>
      <c r="G288" s="3971"/>
      <c r="H288" s="3971"/>
      <c r="I288" s="3971"/>
      <c r="J288" s="3971"/>
      <c r="K288" s="3971"/>
      <c r="L288" s="3971"/>
      <c r="M288" s="3971"/>
      <c r="N288" s="3971"/>
      <c r="O288" s="1490" t="s">
        <v>1427</v>
      </c>
      <c r="P288" s="2502" t="s">
        <v>2770</v>
      </c>
      <c r="Q288" s="2968"/>
      <c r="AE288" s="444"/>
      <c r="AF288" s="444"/>
    </row>
    <row r="289" spans="1:32" s="146" customFormat="1" ht="11.45" customHeight="1">
      <c r="A289" s="47"/>
      <c r="B289" s="2654" t="s">
        <v>1659</v>
      </c>
      <c r="C289" s="52" t="s">
        <v>3375</v>
      </c>
      <c r="D289" s="52"/>
      <c r="E289" s="52"/>
      <c r="F289" s="52"/>
      <c r="G289" s="52"/>
      <c r="H289" s="52"/>
      <c r="I289" s="52"/>
      <c r="J289" s="52"/>
      <c r="K289" s="52"/>
      <c r="L289" s="52"/>
      <c r="M289" s="52"/>
      <c r="O289" s="1490" t="s">
        <v>1659</v>
      </c>
      <c r="P289" s="2668" t="s">
        <v>2770</v>
      </c>
      <c r="Q289" s="2955"/>
      <c r="AE289" s="443"/>
      <c r="AF289" s="443"/>
    </row>
    <row r="290" spans="1:32" s="146" customFormat="1" ht="11.45" customHeight="1">
      <c r="A290" s="47" t="s">
        <v>1896</v>
      </c>
      <c r="B290" s="52" t="s">
        <v>3376</v>
      </c>
      <c r="D290" s="52"/>
      <c r="E290" s="52"/>
      <c r="F290" s="52"/>
      <c r="G290" s="52"/>
      <c r="H290" s="52"/>
      <c r="I290" s="52"/>
      <c r="J290" s="52"/>
      <c r="K290" s="52"/>
      <c r="L290" s="52"/>
      <c r="M290" s="52"/>
      <c r="O290" s="439" t="s">
        <v>1896</v>
      </c>
      <c r="P290" s="2668" t="s">
        <v>2770</v>
      </c>
      <c r="Q290" s="2955"/>
      <c r="AE290" s="443"/>
      <c r="AF290" s="443"/>
    </row>
    <row r="291" spans="1:32" s="403" customFormat="1" ht="23.25" customHeight="1">
      <c r="A291" s="140" t="s">
        <v>719</v>
      </c>
      <c r="B291" s="2654" t="s">
        <v>1658</v>
      </c>
      <c r="C291" s="3971" t="s">
        <v>4263</v>
      </c>
      <c r="D291" s="3971"/>
      <c r="E291" s="3971"/>
      <c r="F291" s="3971"/>
      <c r="G291" s="3971"/>
      <c r="H291" s="3971"/>
      <c r="I291" s="3971"/>
      <c r="J291" s="3971"/>
      <c r="K291" s="3971"/>
      <c r="L291" s="3971"/>
      <c r="M291" s="3971"/>
      <c r="N291" s="3971"/>
      <c r="O291" s="1490" t="s">
        <v>4264</v>
      </c>
      <c r="P291" s="2502" t="s">
        <v>2770</v>
      </c>
      <c r="Q291" s="2968"/>
      <c r="AE291" s="444"/>
      <c r="AF291" s="444"/>
    </row>
    <row r="292" spans="1:32" s="146" customFormat="1" ht="11.45" customHeight="1">
      <c r="A292" s="47"/>
      <c r="B292" s="2654" t="s">
        <v>1659</v>
      </c>
      <c r="C292" s="52" t="s">
        <v>3377</v>
      </c>
      <c r="D292" s="52"/>
      <c r="E292" s="52"/>
      <c r="F292" s="52"/>
      <c r="G292" s="52"/>
      <c r="H292" s="52"/>
      <c r="I292" s="52"/>
      <c r="J292" s="52"/>
      <c r="K292" s="52"/>
      <c r="L292" s="52"/>
      <c r="M292" s="52"/>
      <c r="O292" s="1490" t="s">
        <v>1659</v>
      </c>
      <c r="P292" s="2668" t="s">
        <v>2770</v>
      </c>
      <c r="Q292" s="2955"/>
      <c r="AE292" s="443"/>
      <c r="AF292" s="443"/>
    </row>
    <row r="293" spans="1:32" s="146" customFormat="1" ht="22.5" customHeight="1">
      <c r="A293" s="140" t="s">
        <v>2022</v>
      </c>
      <c r="B293" s="3971" t="s">
        <v>6347</v>
      </c>
      <c r="C293" s="3971"/>
      <c r="D293" s="3971"/>
      <c r="E293" s="3971"/>
      <c r="F293" s="3971"/>
      <c r="G293" s="3971"/>
      <c r="H293" s="3971"/>
      <c r="I293" s="3971"/>
      <c r="J293" s="3971"/>
      <c r="K293" s="3971"/>
      <c r="L293" s="3971"/>
      <c r="M293" s="3971"/>
      <c r="N293" s="3971"/>
      <c r="O293" s="159" t="s">
        <v>2022</v>
      </c>
      <c r="P293" s="2666" t="s">
        <v>2770</v>
      </c>
      <c r="Q293" s="2963"/>
      <c r="AE293" s="443"/>
      <c r="AF293" s="443"/>
    </row>
    <row r="294" spans="1:32" ht="11.25" customHeight="1">
      <c r="B294" s="139" t="s">
        <v>3373</v>
      </c>
      <c r="D294" s="139"/>
      <c r="E294" s="139"/>
      <c r="F294" s="139"/>
      <c r="G294" s="139"/>
      <c r="H294" s="40"/>
      <c r="I294" s="2667"/>
      <c r="J294" s="2667"/>
      <c r="K294" s="2667"/>
      <c r="L294" s="1401"/>
      <c r="M294" s="1401"/>
      <c r="N294" s="1401"/>
      <c r="O294" s="1401"/>
      <c r="P294" s="1401"/>
      <c r="Q294" s="782"/>
    </row>
    <row r="295" spans="1:32" ht="28.5" customHeight="1">
      <c r="A295" s="3966" t="s">
        <v>6915</v>
      </c>
      <c r="B295" s="3967"/>
      <c r="C295" s="3967"/>
      <c r="D295" s="3967"/>
      <c r="E295" s="3967"/>
      <c r="F295" s="3967"/>
      <c r="G295" s="3967"/>
      <c r="H295" s="3967"/>
      <c r="I295" s="3967"/>
      <c r="J295" s="3967"/>
      <c r="K295" s="3967"/>
      <c r="L295" s="3967"/>
      <c r="M295" s="3967"/>
      <c r="N295" s="3967"/>
      <c r="O295" s="3967"/>
      <c r="P295" s="3967"/>
      <c r="Q295" s="3968"/>
      <c r="R295" s="427" t="s">
        <v>1208</v>
      </c>
      <c r="S295" s="428"/>
      <c r="U295" s="134"/>
      <c r="V295" s="134"/>
      <c r="W295" s="134"/>
      <c r="X295" s="134"/>
      <c r="Y295" s="134"/>
      <c r="Z295" s="134"/>
      <c r="AA295" s="134"/>
      <c r="AB295" s="134"/>
      <c r="AC295" s="134"/>
      <c r="AD295" s="134"/>
      <c r="AE295" s="441"/>
    </row>
    <row r="296" spans="1:32" ht="11.25" customHeight="1">
      <c r="B296" s="135" t="s">
        <v>1781</v>
      </c>
      <c r="C296" s="136"/>
      <c r="D296" s="2654"/>
      <c r="E296" s="2654"/>
      <c r="F296" s="2654"/>
      <c r="G296" s="2654"/>
      <c r="H296" s="2654"/>
      <c r="I296" s="2654"/>
      <c r="J296" s="2654"/>
      <c r="K296" s="2654"/>
      <c r="L296" s="2654"/>
      <c r="M296" s="2654"/>
      <c r="N296" s="2654"/>
      <c r="O296" s="2654"/>
      <c r="P296" s="2654"/>
      <c r="Q296" s="2654"/>
    </row>
    <row r="297" spans="1:32" ht="13.35" customHeight="1">
      <c r="A297" s="3960"/>
      <c r="B297" s="3961"/>
      <c r="C297" s="3961"/>
      <c r="D297" s="3961"/>
      <c r="E297" s="3961"/>
      <c r="F297" s="3961"/>
      <c r="G297" s="3961"/>
      <c r="H297" s="3961"/>
      <c r="I297" s="3961"/>
      <c r="J297" s="3961"/>
      <c r="K297" s="3961"/>
      <c r="L297" s="3961"/>
      <c r="M297" s="3961"/>
      <c r="N297" s="3961"/>
      <c r="O297" s="3961"/>
      <c r="P297" s="3961"/>
      <c r="Q297" s="3962"/>
    </row>
    <row r="298" spans="1:32" ht="3" customHeight="1"/>
    <row r="299" spans="1:32" ht="14.1" customHeight="1">
      <c r="A299" s="2648" t="s">
        <v>3523</v>
      </c>
      <c r="B299" s="2648" t="s">
        <v>2522</v>
      </c>
      <c r="C299" s="2648"/>
      <c r="D299" s="2654"/>
      <c r="E299" s="2654"/>
      <c r="F299" s="2654"/>
      <c r="G299" s="2654"/>
      <c r="H299" s="2654"/>
      <c r="I299" s="2654"/>
      <c r="J299" s="2654"/>
      <c r="K299" s="2654"/>
      <c r="L299" s="2654"/>
      <c r="M299" s="2654"/>
      <c r="O299" s="130" t="s">
        <v>1782</v>
      </c>
      <c r="P299" s="3969"/>
      <c r="Q299" s="3970"/>
    </row>
    <row r="300" spans="1:32" s="27" customFormat="1" ht="11.45" customHeight="1">
      <c r="B300" s="55" t="s">
        <v>6455</v>
      </c>
      <c r="N300" s="119"/>
      <c r="P300" s="2489" t="s">
        <v>2773</v>
      </c>
      <c r="Q300" s="2967"/>
      <c r="AE300" s="115"/>
      <c r="AF300" s="115"/>
    </row>
    <row r="301" spans="1:32" s="33" customFormat="1" ht="11.45" customHeight="1">
      <c r="A301" s="47" t="s">
        <v>1894</v>
      </c>
      <c r="B301" s="175" t="s">
        <v>6459</v>
      </c>
      <c r="C301" s="522"/>
      <c r="D301" s="522"/>
      <c r="E301" s="522"/>
      <c r="F301" s="522"/>
      <c r="H301" s="522"/>
      <c r="I301" s="522"/>
      <c r="O301" s="159" t="s">
        <v>1894</v>
      </c>
      <c r="R301" s="1295"/>
    </row>
    <row r="302" spans="1:32" s="403" customFormat="1" ht="33" customHeight="1">
      <c r="B302" s="784" t="s">
        <v>1658</v>
      </c>
      <c r="C302" s="3971" t="s">
        <v>4029</v>
      </c>
      <c r="D302" s="3971"/>
      <c r="E302" s="3971"/>
      <c r="F302" s="3971"/>
      <c r="G302" s="3971"/>
      <c r="H302" s="3971"/>
      <c r="I302" s="3971"/>
      <c r="J302" s="3971"/>
      <c r="K302" s="3971"/>
      <c r="L302" s="3971"/>
      <c r="M302" s="3971"/>
      <c r="N302" s="3971"/>
      <c r="O302" s="1490" t="s">
        <v>1658</v>
      </c>
      <c r="P302" s="2502" t="s">
        <v>6902</v>
      </c>
      <c r="Q302" s="2968"/>
      <c r="AE302" s="444"/>
      <c r="AF302" s="444"/>
    </row>
    <row r="303" spans="1:32" s="403" customFormat="1" ht="21.75" customHeight="1">
      <c r="A303" s="140"/>
      <c r="B303" s="784" t="s">
        <v>1659</v>
      </c>
      <c r="C303" s="3971" t="s">
        <v>2619</v>
      </c>
      <c r="D303" s="3971"/>
      <c r="E303" s="3971"/>
      <c r="F303" s="3971"/>
      <c r="G303" s="3971"/>
      <c r="H303" s="3971"/>
      <c r="I303" s="3971"/>
      <c r="J303" s="3971"/>
      <c r="K303" s="3971"/>
      <c r="L303" s="3971"/>
      <c r="M303" s="3971"/>
      <c r="N303" s="3971"/>
      <c r="O303" s="1490" t="s">
        <v>1659</v>
      </c>
      <c r="P303" s="2666" t="s">
        <v>6902</v>
      </c>
      <c r="Q303" s="2963"/>
      <c r="AE303" s="444"/>
      <c r="AF303" s="444"/>
    </row>
    <row r="304" spans="1:32" s="27" customFormat="1" ht="12.75" customHeight="1">
      <c r="A304" s="137" t="s">
        <v>1896</v>
      </c>
      <c r="B304" s="175" t="s">
        <v>299</v>
      </c>
      <c r="C304" s="157"/>
      <c r="D304" s="522"/>
      <c r="E304" s="522"/>
      <c r="F304" s="157"/>
      <c r="J304" s="439" t="s">
        <v>1896</v>
      </c>
      <c r="K304" s="4106" t="s">
        <v>3387</v>
      </c>
      <c r="L304" s="4107"/>
      <c r="M304" s="4107"/>
      <c r="N304" s="4107"/>
      <c r="O304" s="4107"/>
      <c r="P304" s="4108"/>
      <c r="Q304" s="2974"/>
    </row>
    <row r="305" spans="1:32" s="33" customFormat="1" ht="11.45" customHeight="1">
      <c r="A305" s="137" t="s">
        <v>719</v>
      </c>
      <c r="B305" s="175" t="s">
        <v>6458</v>
      </c>
      <c r="C305" s="522"/>
      <c r="D305" s="522"/>
      <c r="E305" s="522"/>
      <c r="F305" s="522"/>
      <c r="H305" s="522"/>
      <c r="I305" s="522"/>
      <c r="R305" s="1295"/>
    </row>
    <row r="306" spans="1:32" s="27" customFormat="1" ht="11.45" customHeight="1">
      <c r="A306" s="137"/>
      <c r="B306" s="133" t="s">
        <v>6460</v>
      </c>
      <c r="C306" s="157"/>
      <c r="D306" s="522"/>
      <c r="E306" s="522"/>
      <c r="F306" s="157"/>
      <c r="H306" s="157"/>
      <c r="I306" s="157"/>
      <c r="N306" s="1666" t="s">
        <v>6461</v>
      </c>
      <c r="O306" s="439" t="s">
        <v>719</v>
      </c>
      <c r="P306" s="2507" t="s">
        <v>6902</v>
      </c>
      <c r="Q306" s="2974"/>
      <c r="R306" s="439"/>
    </row>
    <row r="307" spans="1:32" s="101" customFormat="1" ht="11.45" customHeight="1">
      <c r="A307" s="42"/>
      <c r="B307" s="139" t="s">
        <v>3373</v>
      </c>
      <c r="C307" s="42"/>
      <c r="D307" s="48"/>
      <c r="E307" s="48"/>
      <c r="F307" s="48"/>
      <c r="G307" s="48"/>
      <c r="K307" s="36"/>
      <c r="M307" s="46"/>
      <c r="N307" s="6"/>
      <c r="O307" s="3"/>
      <c r="P307" s="2651"/>
    </row>
    <row r="308" spans="1:32" s="43" customFormat="1" ht="25.5" customHeight="1">
      <c r="A308" s="3966" t="s">
        <v>6916</v>
      </c>
      <c r="B308" s="3967"/>
      <c r="C308" s="3967"/>
      <c r="D308" s="3967"/>
      <c r="E308" s="3967"/>
      <c r="F308" s="3967"/>
      <c r="G308" s="3967"/>
      <c r="H308" s="3967"/>
      <c r="I308" s="3967"/>
      <c r="J308" s="3967"/>
      <c r="K308" s="3967"/>
      <c r="L308" s="3967"/>
      <c r="M308" s="3967"/>
      <c r="N308" s="3967"/>
      <c r="O308" s="3967"/>
      <c r="P308" s="3967"/>
      <c r="Q308" s="3968"/>
      <c r="R308" s="427" t="s">
        <v>1208</v>
      </c>
    </row>
    <row r="309" spans="1:32" s="43" customFormat="1" ht="11.25" customHeight="1">
      <c r="A309" s="35"/>
      <c r="B309" s="135" t="s">
        <v>1781</v>
      </c>
      <c r="C309" s="136"/>
      <c r="D309" s="2654"/>
      <c r="E309" s="2654"/>
      <c r="F309" s="2654"/>
      <c r="G309" s="2654"/>
      <c r="H309" s="2654"/>
      <c r="I309" s="2654"/>
      <c r="J309" s="2654"/>
      <c r="K309" s="2654"/>
      <c r="L309" s="2654"/>
      <c r="M309" s="2654"/>
      <c r="N309" s="2654"/>
      <c r="O309" s="2654"/>
      <c r="P309" s="2654"/>
      <c r="Q309" s="2654"/>
      <c r="R309" s="35"/>
    </row>
    <row r="310" spans="1:32" s="43" customFormat="1" ht="11.25" customHeight="1">
      <c r="A310" s="3960"/>
      <c r="B310" s="3961"/>
      <c r="C310" s="3961"/>
      <c r="D310" s="3961"/>
      <c r="E310" s="3961"/>
      <c r="F310" s="3961"/>
      <c r="G310" s="3961"/>
      <c r="H310" s="3961"/>
      <c r="I310" s="3961"/>
      <c r="J310" s="3961"/>
      <c r="K310" s="3961"/>
      <c r="L310" s="3961"/>
      <c r="M310" s="3961"/>
      <c r="N310" s="3961"/>
      <c r="O310" s="3961"/>
      <c r="P310" s="3961"/>
      <c r="Q310" s="3962"/>
      <c r="R310" s="35"/>
    </row>
    <row r="311" spans="1:32" s="43" customFormat="1" ht="3" customHeight="1">
      <c r="A311" s="42"/>
      <c r="D311" s="39"/>
      <c r="E311" s="36"/>
      <c r="F311" s="777"/>
      <c r="G311" s="777"/>
      <c r="H311" s="777"/>
      <c r="I311" s="777"/>
      <c r="J311" s="783"/>
      <c r="K311" s="783"/>
      <c r="L311" s="783"/>
      <c r="M311" s="60"/>
      <c r="N311" s="777"/>
      <c r="O311" s="2653"/>
      <c r="P311" s="3"/>
    </row>
    <row r="312" spans="1:32" ht="14.1" customHeight="1">
      <c r="A312" s="2648" t="s">
        <v>3521</v>
      </c>
      <c r="B312" s="2648" t="s">
        <v>2523</v>
      </c>
      <c r="C312" s="2650"/>
      <c r="D312" s="2664"/>
      <c r="E312" s="2654"/>
      <c r="F312" s="2654"/>
      <c r="G312" s="2654"/>
      <c r="H312" s="2654"/>
      <c r="I312" s="2654"/>
      <c r="J312" s="2654"/>
      <c r="K312" s="2654"/>
      <c r="L312" s="2654"/>
      <c r="M312" s="2654"/>
      <c r="O312" s="130" t="s">
        <v>1782</v>
      </c>
      <c r="P312" s="3969"/>
      <c r="Q312" s="3970"/>
    </row>
    <row r="313" spans="1:32" s="27" customFormat="1" ht="11.45" customHeight="1">
      <c r="B313" s="55" t="s">
        <v>6455</v>
      </c>
      <c r="N313" s="119"/>
      <c r="P313" s="2489" t="s">
        <v>2773</v>
      </c>
      <c r="Q313" s="2967"/>
      <c r="AE313" s="115"/>
      <c r="AF313" s="115"/>
    </row>
    <row r="314" spans="1:32" ht="12.75" customHeight="1">
      <c r="A314" s="137" t="s">
        <v>1894</v>
      </c>
      <c r="B314" s="177" t="s">
        <v>3538</v>
      </c>
    </row>
    <row r="315" spans="1:32" s="146" customFormat="1" ht="44.25" customHeight="1">
      <c r="A315" s="140"/>
      <c r="B315" s="1305" t="s">
        <v>1658</v>
      </c>
      <c r="C315" s="3971" t="s">
        <v>3454</v>
      </c>
      <c r="D315" s="3971"/>
      <c r="E315" s="3971"/>
      <c r="F315" s="3971"/>
      <c r="G315" s="3971"/>
      <c r="H315" s="3971"/>
      <c r="I315" s="3971"/>
      <c r="J315" s="3971"/>
      <c r="K315" s="3971"/>
      <c r="L315" s="3971"/>
      <c r="M315" s="3971"/>
      <c r="N315" s="3971"/>
      <c r="O315" s="159" t="s">
        <v>2569</v>
      </c>
      <c r="P315" s="2502" t="s">
        <v>2770</v>
      </c>
      <c r="Q315" s="2968"/>
      <c r="AE315" s="443"/>
      <c r="AF315" s="443"/>
    </row>
    <row r="316" spans="1:32" s="403" customFormat="1" ht="12" customHeight="1">
      <c r="A316" s="140"/>
      <c r="B316" s="1305" t="s">
        <v>1659</v>
      </c>
      <c r="C316" s="3971" t="s">
        <v>4262</v>
      </c>
      <c r="D316" s="3971"/>
      <c r="E316" s="3971"/>
      <c r="F316" s="3971"/>
      <c r="G316" s="3971"/>
      <c r="H316" s="3971"/>
      <c r="I316" s="3971"/>
      <c r="J316" s="3971"/>
      <c r="K316" s="3971"/>
      <c r="L316" s="3971"/>
      <c r="M316" s="3971"/>
      <c r="N316" s="3971"/>
      <c r="O316" s="147" t="s">
        <v>1659</v>
      </c>
      <c r="P316" s="2665" t="s">
        <v>2770</v>
      </c>
      <c r="Q316" s="2961"/>
      <c r="AE316" s="444"/>
      <c r="AF316" s="444"/>
    </row>
    <row r="317" spans="1:32" s="403" customFormat="1" ht="21.75" customHeight="1">
      <c r="A317" s="140"/>
      <c r="B317" s="451" t="s">
        <v>1660</v>
      </c>
      <c r="C317" s="3971" t="s">
        <v>6462</v>
      </c>
      <c r="D317" s="3971"/>
      <c r="E317" s="3971"/>
      <c r="F317" s="3971"/>
      <c r="G317" s="3971"/>
      <c r="H317" s="3971"/>
      <c r="I317" s="3971"/>
      <c r="J317" s="3971"/>
      <c r="K317" s="3971"/>
      <c r="L317" s="3971"/>
      <c r="M317" s="3971"/>
      <c r="N317" s="3971"/>
      <c r="O317" s="159" t="s">
        <v>1660</v>
      </c>
      <c r="P317" s="2666" t="s">
        <v>2770</v>
      </c>
      <c r="Q317" s="2963"/>
      <c r="AE317" s="444"/>
      <c r="AF317" s="444"/>
    </row>
    <row r="318" spans="1:32" s="93" customFormat="1" ht="12.75" customHeight="1">
      <c r="A318" s="137" t="s">
        <v>1896</v>
      </c>
      <c r="B318" s="177" t="s">
        <v>3434</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2023</v>
      </c>
      <c r="D319" s="3971" t="s">
        <v>6465</v>
      </c>
      <c r="E319" s="3971"/>
      <c r="F319" s="3971"/>
      <c r="G319" s="3971"/>
      <c r="H319" s="3971"/>
      <c r="I319" s="138"/>
      <c r="J319" s="3959" t="s">
        <v>3401</v>
      </c>
      <c r="K319" s="4137"/>
      <c r="L319" s="4137"/>
      <c r="M319" s="4031" t="s">
        <v>3380</v>
      </c>
      <c r="N319" s="4031"/>
      <c r="AE319" s="445"/>
      <c r="AF319" s="445"/>
    </row>
    <row r="320" spans="1:32" s="289" customFormat="1" ht="10.5" customHeight="1">
      <c r="A320" s="300"/>
      <c r="B320" s="2619"/>
      <c r="D320" s="3971"/>
      <c r="E320" s="3971"/>
      <c r="F320" s="3971"/>
      <c r="G320" s="3971"/>
      <c r="H320" s="3971"/>
      <c r="I320" s="2630"/>
      <c r="J320" s="4137"/>
      <c r="K320" s="4137"/>
      <c r="L320" s="4137"/>
      <c r="M320" s="36" t="s">
        <v>3381</v>
      </c>
      <c r="N320" s="2667" t="s">
        <v>3400</v>
      </c>
      <c r="P320" s="298"/>
    </row>
    <row r="321" spans="1:33" s="289" customFormat="1" ht="13.35" customHeight="1">
      <c r="A321" s="300"/>
      <c r="B321" s="2619"/>
      <c r="D321" s="3971"/>
      <c r="E321" s="3971"/>
      <c r="F321" s="3971"/>
      <c r="G321" s="3971"/>
      <c r="H321" s="3971"/>
      <c r="I321" s="52" t="s">
        <v>3539</v>
      </c>
      <c r="K321" s="2508">
        <v>3</v>
      </c>
      <c r="L321" s="892" t="str">
        <f>IF(K321&lt;M321,"Check!!!","")</f>
        <v/>
      </c>
      <c r="M321" s="1667">
        <f>ROUNDUP('Part VI-Revenues &amp; Expenses'!$P$67*'Part VIII-Threshold Criteria'!N321,0)</f>
        <v>3</v>
      </c>
      <c r="N321" s="1291">
        <f>'DCA Underwriting Assumptions'!$Q$155</f>
        <v>0.05</v>
      </c>
      <c r="O321" s="439" t="s">
        <v>3289</v>
      </c>
      <c r="P321" s="2669" t="s">
        <v>2770</v>
      </c>
      <c r="Q321" s="2959"/>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2024</v>
      </c>
      <c r="D322" s="3971" t="s">
        <v>6466</v>
      </c>
      <c r="E322" s="3971"/>
      <c r="F322" s="3971"/>
      <c r="G322" s="3971"/>
      <c r="H322" s="3971"/>
      <c r="I322" s="774" t="s">
        <v>3540</v>
      </c>
      <c r="J322" s="289"/>
      <c r="K322" s="2509">
        <v>3</v>
      </c>
      <c r="L322" s="892" t="str">
        <f>IF(K322&lt;M322,"Check!!!","")</f>
        <v/>
      </c>
      <c r="M322" s="1668">
        <f>ROUNDUP(K321*'Part VIII-Threshold Criteria'!N322,0)</f>
        <v>2</v>
      </c>
      <c r="N322" s="1291">
        <f>'DCA Underwriting Assumptions'!$Q$156</f>
        <v>0.4</v>
      </c>
      <c r="O322" s="439" t="s">
        <v>2024</v>
      </c>
      <c r="P322" s="4006" t="s">
        <v>2770</v>
      </c>
      <c r="Q322" s="4004"/>
      <c r="T322" s="138"/>
      <c r="U322" s="138"/>
      <c r="V322" s="138"/>
      <c r="W322" s="138"/>
      <c r="X322" s="138"/>
      <c r="Y322" s="138"/>
      <c r="Z322" s="138"/>
      <c r="AA322" s="138"/>
      <c r="AB322" s="138"/>
      <c r="AC322" s="138"/>
      <c r="AD322" s="138"/>
      <c r="AE322" s="138"/>
      <c r="AF322" s="138"/>
      <c r="AG322" s="138"/>
    </row>
    <row r="323" spans="1:33" s="289" customFormat="1" ht="10.5" customHeight="1">
      <c r="A323" s="300"/>
      <c r="B323" s="2619"/>
      <c r="C323" s="784"/>
      <c r="D323" s="3971"/>
      <c r="E323" s="3971"/>
      <c r="F323" s="3971"/>
      <c r="G323" s="3971"/>
      <c r="H323" s="3971"/>
      <c r="O323" s="40"/>
      <c r="P323" s="4007"/>
      <c r="Q323" s="4005"/>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71" t="s">
        <v>3372</v>
      </c>
      <c r="D324" s="3971"/>
      <c r="E324" s="3971"/>
      <c r="F324" s="3971"/>
      <c r="G324" s="3971"/>
      <c r="H324" s="3971"/>
      <c r="I324" s="52" t="s">
        <v>3541</v>
      </c>
      <c r="J324" s="289"/>
      <c r="K324" s="2510">
        <v>1</v>
      </c>
      <c r="L324" s="892" t="str">
        <f>IF(K324&lt;M324,"Check!!!","")</f>
        <v/>
      </c>
      <c r="M324" s="893">
        <f>ROUNDUP('Part VI-Revenues &amp; Expenses'!$P$67*'Part VIII-Threshold Criteria'!N324,0)</f>
        <v>1</v>
      </c>
      <c r="N324" s="1291">
        <f>'DCA Underwriting Assumptions'!$Q$157</f>
        <v>0.02</v>
      </c>
      <c r="O324" s="439" t="s">
        <v>1659</v>
      </c>
      <c r="P324" s="2501" t="s">
        <v>2770</v>
      </c>
      <c r="Q324" s="2964"/>
      <c r="T324" s="138"/>
      <c r="U324" s="138"/>
      <c r="V324" s="138"/>
      <c r="W324" s="138"/>
      <c r="X324" s="138"/>
      <c r="Y324" s="138"/>
      <c r="Z324" s="138"/>
      <c r="AA324" s="138"/>
      <c r="AB324" s="138"/>
      <c r="AC324" s="138"/>
      <c r="AD324" s="138"/>
      <c r="AE324" s="138"/>
      <c r="AF324" s="138"/>
      <c r="AG324" s="138"/>
    </row>
    <row r="325" spans="1:33" s="289" customFormat="1" ht="3" customHeight="1">
      <c r="A325" s="300"/>
      <c r="C325" s="3971"/>
      <c r="D325" s="3971"/>
      <c r="E325" s="3971"/>
      <c r="F325" s="3971"/>
      <c r="G325" s="3971"/>
      <c r="H325" s="3971"/>
      <c r="J325" s="36"/>
      <c r="K325" s="36"/>
      <c r="L325" s="783"/>
      <c r="M325" s="1673"/>
      <c r="O325" s="36"/>
      <c r="P325" s="2667"/>
      <c r="Q325" s="36"/>
      <c r="T325" s="36"/>
      <c r="U325" s="774"/>
      <c r="V325" s="36"/>
      <c r="W325" s="774"/>
      <c r="X325" s="36"/>
      <c r="Y325" s="36"/>
      <c r="Z325" s="36"/>
      <c r="AA325" s="36"/>
      <c r="AB325" s="36"/>
      <c r="AC325" s="36"/>
      <c r="AD325" s="36"/>
      <c r="AE325" s="36"/>
      <c r="AF325" s="36"/>
      <c r="AG325" s="36"/>
    </row>
    <row r="326" spans="1:33" s="289" customFormat="1" ht="10.5" customHeight="1">
      <c r="A326" s="300"/>
      <c r="C326" s="3971"/>
      <c r="D326" s="3971"/>
      <c r="E326" s="3971"/>
      <c r="F326" s="3971"/>
      <c r="G326" s="3971"/>
      <c r="H326" s="3971"/>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3435</v>
      </c>
      <c r="D327" s="2654"/>
      <c r="E327" s="2654"/>
      <c r="F327" s="2654"/>
      <c r="G327" s="2654"/>
      <c r="H327" s="2654"/>
      <c r="O327" s="40"/>
      <c r="P327" s="439"/>
      <c r="V327" s="36"/>
      <c r="W327" s="774"/>
      <c r="X327" s="36"/>
      <c r="Z327" s="892"/>
      <c r="AA327" s="892"/>
      <c r="AB327" s="892"/>
      <c r="AC327" s="892"/>
      <c r="AD327" s="892"/>
      <c r="AE327" s="892"/>
      <c r="AF327" s="892"/>
      <c r="AG327" s="892"/>
    </row>
    <row r="328" spans="1:33" s="93" customFormat="1" ht="21.75" customHeight="1">
      <c r="B328" s="3958" t="s">
        <v>3291</v>
      </c>
      <c r="C328" s="3958"/>
      <c r="D328" s="3958"/>
      <c r="E328" s="3958"/>
      <c r="F328" s="3958"/>
      <c r="G328" s="3958"/>
      <c r="H328" s="3958"/>
      <c r="I328" s="3958"/>
      <c r="J328" s="3958"/>
      <c r="K328" s="3958"/>
      <c r="L328" s="3958"/>
      <c r="M328" s="3958"/>
      <c r="N328" s="3958"/>
      <c r="O328" s="159" t="s">
        <v>719</v>
      </c>
      <c r="P328" s="2507" t="s">
        <v>2770</v>
      </c>
      <c r="Q328" s="2974"/>
      <c r="AE328" s="445"/>
      <c r="AF328" s="445"/>
    </row>
    <row r="329" spans="1:33" s="93" customFormat="1" ht="11.25" customHeight="1">
      <c r="B329" s="382" t="s">
        <v>3292</v>
      </c>
      <c r="D329" s="382"/>
      <c r="E329" s="382"/>
      <c r="F329" s="382"/>
      <c r="G329" s="382"/>
      <c r="H329" s="382"/>
      <c r="I329" s="382" t="s">
        <v>3379</v>
      </c>
      <c r="J329" s="382"/>
      <c r="K329" s="382"/>
      <c r="L329" s="3981" t="s">
        <v>6981</v>
      </c>
      <c r="M329" s="3982"/>
      <c r="N329" s="3982"/>
      <c r="O329" s="3982"/>
      <c r="P329" s="3982"/>
      <c r="Q329" s="3983"/>
      <c r="R329" s="382"/>
      <c r="AE329" s="445"/>
      <c r="AF329" s="445"/>
    </row>
    <row r="330" spans="1:33" s="403" customFormat="1" ht="44.25" customHeight="1">
      <c r="B330" s="1305" t="s">
        <v>1658</v>
      </c>
      <c r="C330" s="3971" t="s">
        <v>3290</v>
      </c>
      <c r="D330" s="3971"/>
      <c r="E330" s="3971"/>
      <c r="F330" s="3971"/>
      <c r="G330" s="3971"/>
      <c r="H330" s="3971"/>
      <c r="I330" s="3971"/>
      <c r="J330" s="3971"/>
      <c r="K330" s="3971"/>
      <c r="L330" s="3971"/>
      <c r="M330" s="3971"/>
      <c r="N330" s="3971"/>
      <c r="O330" s="159" t="s">
        <v>3295</v>
      </c>
      <c r="P330" s="2502" t="s">
        <v>2770</v>
      </c>
      <c r="Q330" s="2968"/>
      <c r="AE330" s="444"/>
      <c r="AF330" s="444"/>
    </row>
    <row r="331" spans="1:33" s="403" customFormat="1" ht="34.5" customHeight="1">
      <c r="B331" s="1305" t="s">
        <v>1659</v>
      </c>
      <c r="C331" s="3971" t="s">
        <v>4010</v>
      </c>
      <c r="D331" s="3971"/>
      <c r="E331" s="3971"/>
      <c r="F331" s="3971"/>
      <c r="G331" s="3971"/>
      <c r="H331" s="3971"/>
      <c r="I331" s="3971"/>
      <c r="J331" s="3971"/>
      <c r="K331" s="3971"/>
      <c r="L331" s="3971"/>
      <c r="M331" s="3971"/>
      <c r="N331" s="3971"/>
      <c r="O331" s="159" t="s">
        <v>3296</v>
      </c>
      <c r="P331" s="2665" t="s">
        <v>2770</v>
      </c>
      <c r="Q331" s="2961"/>
      <c r="AE331" s="444"/>
      <c r="AF331" s="444"/>
    </row>
    <row r="332" spans="1:33" s="403" customFormat="1" ht="22.5" customHeight="1">
      <c r="B332" s="451" t="s">
        <v>1660</v>
      </c>
      <c r="C332" s="3971" t="s">
        <v>3293</v>
      </c>
      <c r="D332" s="3971"/>
      <c r="E332" s="3971"/>
      <c r="F332" s="3971"/>
      <c r="G332" s="3971"/>
      <c r="H332" s="3971"/>
      <c r="I332" s="3971"/>
      <c r="J332" s="3971"/>
      <c r="K332" s="3971"/>
      <c r="L332" s="3971"/>
      <c r="M332" s="3971"/>
      <c r="N332" s="3971"/>
      <c r="O332" s="159" t="s">
        <v>3297</v>
      </c>
      <c r="P332" s="2665" t="s">
        <v>2770</v>
      </c>
      <c r="Q332" s="2961"/>
      <c r="AE332" s="444"/>
      <c r="AF332" s="444"/>
    </row>
    <row r="333" spans="1:33" s="403" customFormat="1" ht="34.5" customHeight="1">
      <c r="B333" s="451" t="s">
        <v>2261</v>
      </c>
      <c r="C333" s="3971" t="s">
        <v>3294</v>
      </c>
      <c r="D333" s="3971"/>
      <c r="E333" s="3971"/>
      <c r="F333" s="3971"/>
      <c r="G333" s="3971"/>
      <c r="H333" s="3971"/>
      <c r="I333" s="3971"/>
      <c r="J333" s="3971"/>
      <c r="K333" s="3971"/>
      <c r="L333" s="3971"/>
      <c r="M333" s="3971"/>
      <c r="N333" s="3971"/>
      <c r="O333" s="159" t="s">
        <v>3298</v>
      </c>
      <c r="P333" s="2666" t="s">
        <v>2770</v>
      </c>
      <c r="Q333" s="2963"/>
      <c r="AE333" s="444"/>
      <c r="AF333" s="444"/>
    </row>
    <row r="334" spans="1:33" ht="11.25" customHeight="1">
      <c r="B334" s="139" t="s">
        <v>3373</v>
      </c>
      <c r="D334" s="139"/>
      <c r="E334" s="139"/>
      <c r="F334" s="139"/>
      <c r="G334" s="139"/>
      <c r="H334" s="40"/>
      <c r="I334" s="2667"/>
      <c r="J334" s="2667"/>
      <c r="K334" s="2667"/>
      <c r="L334" s="1401"/>
      <c r="M334" s="1401"/>
      <c r="N334" s="1401"/>
      <c r="O334" s="1401"/>
      <c r="P334" s="1401"/>
      <c r="Q334" s="782"/>
    </row>
    <row r="335" spans="1:33" ht="32.25" customHeight="1">
      <c r="A335" s="3966" t="s">
        <v>6982</v>
      </c>
      <c r="B335" s="3967"/>
      <c r="C335" s="3967"/>
      <c r="D335" s="3967"/>
      <c r="E335" s="3967"/>
      <c r="F335" s="3967"/>
      <c r="G335" s="3967"/>
      <c r="H335" s="3967"/>
      <c r="I335" s="3967"/>
      <c r="J335" s="3967"/>
      <c r="K335" s="3967"/>
      <c r="L335" s="3967"/>
      <c r="M335" s="3967"/>
      <c r="N335" s="3967"/>
      <c r="O335" s="3967"/>
      <c r="P335" s="3967"/>
      <c r="Q335" s="3968"/>
      <c r="R335" s="427" t="s">
        <v>1208</v>
      </c>
      <c r="S335" s="428"/>
      <c r="U335" s="134"/>
      <c r="V335" s="134"/>
      <c r="W335" s="134"/>
      <c r="X335" s="134"/>
      <c r="Y335" s="134"/>
      <c r="Z335" s="134"/>
      <c r="AA335" s="134"/>
      <c r="AB335" s="134"/>
      <c r="AC335" s="134"/>
      <c r="AD335" s="134"/>
      <c r="AE335" s="441"/>
    </row>
    <row r="336" spans="1:33" ht="11.25" customHeight="1">
      <c r="B336" s="135" t="s">
        <v>1781</v>
      </c>
      <c r="C336" s="136"/>
      <c r="D336" s="2654"/>
      <c r="E336" s="2654"/>
      <c r="F336" s="2654"/>
      <c r="G336" s="2654"/>
      <c r="H336" s="2654"/>
      <c r="I336" s="2654"/>
      <c r="J336" s="2654"/>
      <c r="K336" s="2654"/>
      <c r="L336" s="2654"/>
      <c r="M336" s="2654"/>
      <c r="N336" s="2654"/>
      <c r="O336" s="2654"/>
      <c r="P336" s="2654"/>
      <c r="Q336" s="2654"/>
    </row>
    <row r="337" spans="1:256 1523:1523" ht="45.75" customHeight="1">
      <c r="A337" s="4008"/>
      <c r="B337" s="4009"/>
      <c r="C337" s="4009"/>
      <c r="D337" s="4009"/>
      <c r="E337" s="4009"/>
      <c r="F337" s="4009"/>
      <c r="G337" s="4009"/>
      <c r="H337" s="4009"/>
      <c r="I337" s="4009"/>
      <c r="J337" s="4009"/>
      <c r="K337" s="4009"/>
      <c r="L337" s="4009"/>
      <c r="M337" s="4009"/>
      <c r="N337" s="4009"/>
      <c r="O337" s="4009"/>
      <c r="P337" s="4009"/>
      <c r="Q337" s="4010"/>
    </row>
    <row r="338" spans="1:256 1523:1523" ht="14.1" customHeight="1">
      <c r="A338" s="2648" t="s">
        <v>3524</v>
      </c>
      <c r="B338" s="10" t="s">
        <v>2524</v>
      </c>
      <c r="C338" s="10"/>
      <c r="D338" s="10"/>
      <c r="E338" s="10"/>
      <c r="F338" s="10"/>
      <c r="G338" s="10"/>
      <c r="H338" s="2654"/>
      <c r="I338" s="2654"/>
      <c r="J338" s="2654"/>
      <c r="K338" s="2654"/>
      <c r="L338" s="2654"/>
      <c r="M338" s="2654"/>
      <c r="O338" s="130" t="s">
        <v>1782</v>
      </c>
      <c r="P338" s="4160"/>
      <c r="Q338" s="4161"/>
    </row>
    <row r="339" spans="1:256 1523:1523" ht="11.45" customHeight="1">
      <c r="B339" s="143" t="s">
        <v>2151</v>
      </c>
      <c r="P339" s="2492" t="s">
        <v>2773</v>
      </c>
      <c r="Q339" s="2953"/>
    </row>
    <row r="340" spans="1:256 1523:1523" ht="12" customHeight="1">
      <c r="B340" s="773" t="s">
        <v>2111</v>
      </c>
      <c r="C340" s="773"/>
      <c r="D340" s="773"/>
      <c r="E340" s="773"/>
      <c r="F340" s="773"/>
      <c r="G340" s="773"/>
      <c r="H340" s="773"/>
      <c r="I340" s="773"/>
      <c r="J340" s="773"/>
      <c r="K340" s="773"/>
      <c r="L340" s="773"/>
      <c r="O340" s="126"/>
      <c r="P340" s="2668" t="s">
        <v>2770</v>
      </c>
      <c r="Q340" s="2955"/>
    </row>
    <row r="341" spans="1:256 1523:1523" s="157" customFormat="1" ht="11.45" customHeight="1">
      <c r="A341" s="2511"/>
      <c r="B341" s="419" t="s">
        <v>3949</v>
      </c>
      <c r="E341" s="419"/>
      <c r="F341" s="419"/>
      <c r="G341" s="419"/>
      <c r="H341" s="419"/>
      <c r="I341" s="522"/>
      <c r="J341" s="378"/>
      <c r="K341" s="4023" t="s">
        <v>6917</v>
      </c>
      <c r="L341" s="4024"/>
      <c r="M341" s="4024"/>
      <c r="N341" s="4025"/>
      <c r="O341" s="559"/>
      <c r="P341" s="2512"/>
      <c r="Q341" s="2956"/>
      <c r="R341" s="522"/>
    </row>
    <row r="342" spans="1:256 1523:1523" ht="11.45" customHeight="1">
      <c r="A342" s="140" t="s">
        <v>1894</v>
      </c>
      <c r="B342" s="178" t="s">
        <v>439</v>
      </c>
      <c r="D342" s="783"/>
      <c r="E342" s="783"/>
      <c r="F342" s="783"/>
      <c r="G342" s="783"/>
      <c r="H342" s="783"/>
      <c r="I342" s="783"/>
      <c r="J342" s="783"/>
      <c r="K342" s="783"/>
      <c r="L342" s="783"/>
      <c r="M342" s="783"/>
      <c r="N342" s="159"/>
    </row>
    <row r="343" spans="1:256 1523:1523" ht="22.5" customHeight="1">
      <c r="B343" s="3971" t="s">
        <v>2674</v>
      </c>
      <c r="C343" s="3971"/>
      <c r="D343" s="3971"/>
      <c r="E343" s="3971"/>
      <c r="F343" s="3971"/>
      <c r="G343" s="3971"/>
      <c r="H343" s="3971"/>
      <c r="I343" s="3971"/>
      <c r="J343" s="3971"/>
      <c r="K343" s="3971"/>
      <c r="L343" s="3971"/>
      <c r="M343" s="3971"/>
      <c r="N343" s="3971"/>
      <c r="O343" s="159" t="s">
        <v>1894</v>
      </c>
      <c r="P343" s="2506"/>
      <c r="Q343" s="2972"/>
    </row>
    <row r="344" spans="1:256 1523:1523" ht="12.6" customHeight="1">
      <c r="A344" s="140" t="s">
        <v>1896</v>
      </c>
      <c r="B344" s="211" t="s">
        <v>440</v>
      </c>
      <c r="D344" s="211"/>
      <c r="E344" s="211"/>
      <c r="F344" s="211"/>
      <c r="G344" s="211"/>
      <c r="H344" s="211"/>
      <c r="I344" s="211"/>
      <c r="J344" s="211"/>
      <c r="K344" s="211"/>
      <c r="L344" s="211"/>
      <c r="M344" s="211"/>
      <c r="O344" s="159" t="s">
        <v>1896</v>
      </c>
      <c r="P344" s="1401"/>
      <c r="Q344" s="782"/>
    </row>
    <row r="345" spans="1:256 1523:1523" ht="38.25" customHeight="1">
      <c r="B345" s="773" t="s">
        <v>1658</v>
      </c>
      <c r="C345" s="138" t="s">
        <v>1090</v>
      </c>
      <c r="E345" s="131"/>
      <c r="F345" s="131"/>
      <c r="G345" s="4020" t="s">
        <v>6618</v>
      </c>
      <c r="H345" s="4021"/>
      <c r="I345" s="4021"/>
      <c r="J345" s="4021"/>
      <c r="K345" s="4021"/>
      <c r="L345" s="4021"/>
      <c r="M345" s="4021"/>
      <c r="N345" s="4022"/>
      <c r="O345" s="213" t="s">
        <v>1658</v>
      </c>
      <c r="P345" s="2502" t="s">
        <v>2770</v>
      </c>
      <c r="Q345" s="2968"/>
      <c r="BFO345" s="146" t="s">
        <v>2570</v>
      </c>
    </row>
    <row r="346" spans="1:256 1523:1523" ht="23.25" customHeight="1">
      <c r="B346" s="773" t="s">
        <v>1659</v>
      </c>
      <c r="C346" s="3971" t="s">
        <v>1091</v>
      </c>
      <c r="D346" s="3971"/>
      <c r="E346" s="3971"/>
      <c r="F346" s="3984"/>
      <c r="G346" s="3419" t="s">
        <v>3382</v>
      </c>
      <c r="H346" s="4001"/>
      <c r="I346" s="4001"/>
      <c r="J346" s="4001"/>
      <c r="K346" s="4001"/>
      <c r="L346" s="4001"/>
      <c r="M346" s="4001"/>
      <c r="N346" s="4002"/>
      <c r="O346" s="213" t="s">
        <v>1659</v>
      </c>
      <c r="P346" s="2666" t="s">
        <v>2770</v>
      </c>
      <c r="Q346" s="2963"/>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6348</v>
      </c>
      <c r="D348" s="1607"/>
      <c r="E348" s="1607"/>
      <c r="F348" s="1607"/>
      <c r="G348" s="4003" t="s">
        <v>6349</v>
      </c>
      <c r="H348" s="4003"/>
      <c r="I348" s="4003"/>
      <c r="J348" s="4003"/>
      <c r="K348" s="4003"/>
      <c r="L348" s="4003"/>
      <c r="M348" s="4003"/>
      <c r="N348" s="4003"/>
      <c r="O348" s="425"/>
      <c r="P348" s="1401"/>
      <c r="Q348" s="782"/>
      <c r="AE348" s="442"/>
      <c r="AF348" s="442"/>
    </row>
    <row r="349" spans="1:256 1523:1523" s="131" customFormat="1" ht="11.25" customHeight="1">
      <c r="A349" s="142"/>
      <c r="B349" s="213" t="s">
        <v>2325</v>
      </c>
      <c r="C349" s="4138"/>
      <c r="D349" s="4139"/>
      <c r="E349" s="4139"/>
      <c r="F349" s="4139"/>
      <c r="G349" s="4139"/>
      <c r="H349" s="4139"/>
      <c r="I349" s="4139"/>
      <c r="J349" s="4139"/>
      <c r="K349" s="4139"/>
      <c r="L349" s="4139"/>
      <c r="M349" s="4139"/>
      <c r="N349" s="4140"/>
      <c r="O349" s="213" t="s">
        <v>6614</v>
      </c>
      <c r="P349" s="2502"/>
      <c r="Q349" s="2968"/>
      <c r="AE349" s="442"/>
      <c r="AF349" s="442"/>
    </row>
    <row r="350" spans="1:256 1523:1523" s="131" customFormat="1" ht="11.25" customHeight="1">
      <c r="A350" s="142"/>
      <c r="B350" s="213" t="s">
        <v>2326</v>
      </c>
      <c r="C350" s="3998"/>
      <c r="D350" s="3999"/>
      <c r="E350" s="3999"/>
      <c r="F350" s="3999"/>
      <c r="G350" s="3999"/>
      <c r="H350" s="3999"/>
      <c r="I350" s="3999"/>
      <c r="J350" s="3999"/>
      <c r="K350" s="3999"/>
      <c r="L350" s="3999"/>
      <c r="M350" s="3999"/>
      <c r="N350" s="4000"/>
      <c r="O350" s="213" t="s">
        <v>6615</v>
      </c>
      <c r="P350" s="2666"/>
      <c r="Q350" s="2963"/>
      <c r="AE350" s="442"/>
      <c r="AF350" s="442"/>
    </row>
    <row r="351" spans="1:256 1523:1523" ht="22.5" customHeight="1">
      <c r="A351" s="140" t="s">
        <v>2022</v>
      </c>
      <c r="B351" s="3958" t="s">
        <v>6350</v>
      </c>
      <c r="C351" s="3958"/>
      <c r="D351" s="3958"/>
      <c r="E351" s="3958"/>
      <c r="F351" s="3958"/>
      <c r="G351" s="3958"/>
      <c r="H351" s="3958"/>
      <c r="I351" s="3958"/>
      <c r="J351" s="3958"/>
      <c r="K351" s="3958"/>
      <c r="L351" s="3958"/>
      <c r="M351" s="3958"/>
      <c r="N351" s="3958"/>
      <c r="O351" s="159" t="s">
        <v>2022</v>
      </c>
      <c r="P351" s="2666" t="s">
        <v>6902</v>
      </c>
      <c r="Q351" s="2963"/>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3373</v>
      </c>
      <c r="D353" s="139"/>
      <c r="E353" s="139"/>
      <c r="F353" s="139"/>
      <c r="G353" s="139"/>
      <c r="H353" s="40"/>
      <c r="I353" s="2667"/>
      <c r="J353" s="2667"/>
      <c r="K353" s="2667"/>
      <c r="L353" s="1401"/>
      <c r="M353" s="1401"/>
      <c r="N353" s="1401"/>
      <c r="O353" s="1401"/>
      <c r="P353" s="1401"/>
      <c r="Q353" s="782"/>
    </row>
    <row r="354" spans="1:31" ht="24.6" customHeight="1">
      <c r="A354" s="3966" t="s">
        <v>6918</v>
      </c>
      <c r="B354" s="3967"/>
      <c r="C354" s="3967"/>
      <c r="D354" s="3967"/>
      <c r="E354" s="3967"/>
      <c r="F354" s="3967"/>
      <c r="G354" s="3967"/>
      <c r="H354" s="3967"/>
      <c r="I354" s="3967"/>
      <c r="J354" s="3967"/>
      <c r="K354" s="3967"/>
      <c r="L354" s="3967"/>
      <c r="M354" s="3967"/>
      <c r="N354" s="3967"/>
      <c r="O354" s="3967"/>
      <c r="P354" s="3967"/>
      <c r="Q354" s="3968"/>
      <c r="R354" s="440" t="s">
        <v>1208</v>
      </c>
      <c r="S354" s="120"/>
      <c r="U354" s="134"/>
      <c r="V354" s="134"/>
      <c r="W354" s="134"/>
      <c r="X354" s="134"/>
      <c r="Y354" s="134"/>
      <c r="Z354" s="134"/>
      <c r="AA354" s="134"/>
      <c r="AB354" s="134"/>
      <c r="AC354" s="134"/>
      <c r="AD354" s="134"/>
      <c r="AE354" s="441"/>
    </row>
    <row r="355" spans="1:31" ht="11.25" customHeight="1">
      <c r="B355" s="135" t="s">
        <v>1781</v>
      </c>
      <c r="C355" s="136"/>
      <c r="D355" s="2654"/>
      <c r="E355" s="2654"/>
      <c r="F355" s="2654"/>
      <c r="G355" s="2654"/>
      <c r="H355" s="2654"/>
      <c r="I355" s="2654"/>
      <c r="J355" s="2654"/>
      <c r="K355" s="2654"/>
      <c r="L355" s="2654"/>
      <c r="M355" s="2654"/>
      <c r="N355" s="2654"/>
      <c r="O355" s="2654"/>
      <c r="P355" s="2654"/>
      <c r="Q355" s="2654"/>
    </row>
    <row r="356" spans="1:31" ht="11.45" customHeight="1">
      <c r="A356" s="3960"/>
      <c r="B356" s="3961"/>
      <c r="C356" s="3961"/>
      <c r="D356" s="3961"/>
      <c r="E356" s="3961"/>
      <c r="F356" s="3961"/>
      <c r="G356" s="3961"/>
      <c r="H356" s="3961"/>
      <c r="I356" s="3961"/>
      <c r="J356" s="3961"/>
      <c r="K356" s="3961"/>
      <c r="L356" s="3961"/>
      <c r="M356" s="3961"/>
      <c r="N356" s="3961"/>
      <c r="O356" s="3961"/>
      <c r="P356" s="3961"/>
      <c r="Q356" s="3962"/>
    </row>
    <row r="357" spans="1:31" ht="14.1" customHeight="1">
      <c r="A357" s="2648" t="s">
        <v>3525</v>
      </c>
      <c r="B357" s="177" t="s">
        <v>3543</v>
      </c>
      <c r="C357" s="2648"/>
      <c r="D357" s="2654"/>
      <c r="E357" s="2654"/>
      <c r="F357" s="2654"/>
      <c r="G357" s="2654"/>
      <c r="H357" s="2654"/>
      <c r="O357" s="130" t="s">
        <v>1782</v>
      </c>
      <c r="P357" s="3969"/>
      <c r="Q357" s="3970"/>
    </row>
    <row r="358" spans="1:31" ht="11.45" customHeight="1">
      <c r="A358" s="47" t="s">
        <v>1894</v>
      </c>
      <c r="B358" s="55" t="s">
        <v>6380</v>
      </c>
      <c r="O358" s="159" t="s">
        <v>1894</v>
      </c>
      <c r="P358" s="2492" t="s">
        <v>2770</v>
      </c>
      <c r="Q358" s="2953"/>
    </row>
    <row r="359" spans="1:31" ht="11.45" customHeight="1">
      <c r="A359" s="140" t="s">
        <v>1896</v>
      </c>
      <c r="B359" s="55" t="s">
        <v>3515</v>
      </c>
      <c r="O359" s="159" t="s">
        <v>1896</v>
      </c>
      <c r="P359" s="2670" t="s">
        <v>2770</v>
      </c>
      <c r="Q359" s="2954"/>
    </row>
    <row r="360" spans="1:31" ht="11.45" customHeight="1">
      <c r="A360" s="140" t="s">
        <v>719</v>
      </c>
      <c r="B360" s="143" t="s">
        <v>2247</v>
      </c>
      <c r="O360" s="159" t="s">
        <v>719</v>
      </c>
      <c r="P360" s="2670" t="s">
        <v>2773</v>
      </c>
      <c r="Q360" s="2954"/>
    </row>
    <row r="361" spans="1:31" ht="11.45" customHeight="1">
      <c r="A361" s="47" t="s">
        <v>2022</v>
      </c>
      <c r="B361" s="55" t="s">
        <v>3416</v>
      </c>
      <c r="O361" s="439" t="s">
        <v>2022</v>
      </c>
      <c r="P361" s="2668" t="s">
        <v>2773</v>
      </c>
      <c r="Q361" s="2955"/>
    </row>
    <row r="362" spans="1:31" ht="11.45" customHeight="1">
      <c r="A362" s="140" t="s">
        <v>1656</v>
      </c>
      <c r="B362" s="55" t="s">
        <v>2675</v>
      </c>
      <c r="N362" s="159" t="s">
        <v>1656</v>
      </c>
      <c r="O362" s="4017" t="s">
        <v>4254</v>
      </c>
      <c r="P362" s="4018"/>
      <c r="Q362" s="4019"/>
    </row>
    <row r="363" spans="1:31" ht="11.45" customHeight="1">
      <c r="A363" s="140" t="s">
        <v>1657</v>
      </c>
      <c r="B363" s="399" t="s">
        <v>2248</v>
      </c>
      <c r="N363" s="159" t="s">
        <v>1657</v>
      </c>
      <c r="O363" s="4162" t="s">
        <v>2676</v>
      </c>
      <c r="P363" s="4163"/>
      <c r="Q363" s="4164"/>
    </row>
    <row r="364" spans="1:31" ht="11.25" customHeight="1">
      <c r="B364" s="139" t="s">
        <v>3373</v>
      </c>
      <c r="D364" s="139"/>
      <c r="E364" s="139"/>
      <c r="F364" s="139"/>
      <c r="G364" s="139"/>
      <c r="H364" s="40"/>
      <c r="I364" s="2667"/>
      <c r="J364" s="2667"/>
      <c r="K364" s="2667"/>
      <c r="L364" s="1401"/>
      <c r="M364" s="1401"/>
      <c r="N364" s="1401"/>
      <c r="O364" s="1401"/>
      <c r="P364" s="1401"/>
      <c r="Q364" s="782"/>
    </row>
    <row r="365" spans="1:31" ht="13.35" customHeight="1">
      <c r="A365" s="3966" t="s">
        <v>6919</v>
      </c>
      <c r="B365" s="3967"/>
      <c r="C365" s="3967"/>
      <c r="D365" s="3967"/>
      <c r="E365" s="3967"/>
      <c r="F365" s="3967"/>
      <c r="G365" s="3967"/>
      <c r="H365" s="3967"/>
      <c r="I365" s="3967"/>
      <c r="J365" s="3967"/>
      <c r="K365" s="3967"/>
      <c r="L365" s="3967"/>
      <c r="M365" s="3967"/>
      <c r="N365" s="3967"/>
      <c r="O365" s="3967"/>
      <c r="P365" s="3967"/>
      <c r="Q365" s="3968"/>
      <c r="R365" s="427" t="s">
        <v>1208</v>
      </c>
      <c r="S365" s="428"/>
      <c r="U365" s="134"/>
      <c r="V365" s="134"/>
      <c r="W365" s="134"/>
      <c r="X365" s="134"/>
      <c r="Y365" s="134"/>
      <c r="Z365" s="134"/>
      <c r="AA365" s="134"/>
      <c r="AB365" s="134"/>
      <c r="AC365" s="134"/>
      <c r="AD365" s="134"/>
      <c r="AE365" s="441"/>
    </row>
    <row r="366" spans="1:31" ht="11.25" customHeight="1">
      <c r="B366" s="135" t="s">
        <v>1781</v>
      </c>
      <c r="C366" s="136"/>
      <c r="D366" s="2654"/>
      <c r="E366" s="2654"/>
      <c r="F366" s="2654"/>
      <c r="G366" s="2654"/>
      <c r="H366" s="2654"/>
      <c r="I366" s="2654"/>
      <c r="J366" s="2654"/>
      <c r="K366" s="2654"/>
      <c r="L366" s="2654"/>
      <c r="M366" s="2654"/>
      <c r="N366" s="2654"/>
      <c r="O366" s="2654"/>
      <c r="P366" s="2654"/>
      <c r="Q366" s="2654"/>
    </row>
    <row r="367" spans="1:31" ht="13.35" customHeight="1">
      <c r="A367" s="3960"/>
      <c r="B367" s="3961"/>
      <c r="C367" s="3961"/>
      <c r="D367" s="3961"/>
      <c r="E367" s="3961"/>
      <c r="F367" s="3961"/>
      <c r="G367" s="3961"/>
      <c r="H367" s="3961"/>
      <c r="I367" s="3961"/>
      <c r="J367" s="3961"/>
      <c r="K367" s="3961"/>
      <c r="L367" s="3961"/>
      <c r="M367" s="3961"/>
      <c r="N367" s="3961"/>
      <c r="O367" s="3961"/>
      <c r="P367" s="3961"/>
      <c r="Q367" s="3962"/>
    </row>
    <row r="368" spans="1:31" ht="2.25" customHeight="1">
      <c r="A368" s="1401"/>
      <c r="B368" s="2667"/>
      <c r="C368" s="2654"/>
      <c r="D368" s="2654"/>
      <c r="E368" s="2654"/>
      <c r="F368" s="2654"/>
      <c r="G368" s="2654"/>
      <c r="H368" s="2654"/>
      <c r="I368" s="2654"/>
      <c r="J368" s="2654"/>
      <c r="K368" s="2654"/>
      <c r="L368" s="2654"/>
      <c r="M368" s="2654"/>
      <c r="N368" s="2654"/>
      <c r="O368" s="2654"/>
      <c r="P368" s="2654"/>
      <c r="Q368" s="782"/>
      <c r="R368" s="8"/>
      <c r="S368" s="8"/>
    </row>
    <row r="369" spans="1:32" ht="14.1" customHeight="1">
      <c r="A369" s="2648" t="s">
        <v>3528</v>
      </c>
      <c r="B369" s="4" t="s">
        <v>6351</v>
      </c>
      <c r="C369" s="4"/>
      <c r="D369" s="4"/>
      <c r="E369" s="4"/>
      <c r="F369" s="4"/>
      <c r="G369" s="4"/>
      <c r="H369" s="2654"/>
      <c r="I369" s="2654"/>
      <c r="J369" s="2654"/>
      <c r="K369" s="2654"/>
      <c r="L369" s="2654"/>
      <c r="M369" s="2654"/>
      <c r="N369" s="1254" t="str">
        <f>IF('Part I-Project Information'!$P$101="yes","Applicant has applied for the RAD Setaside.","Applicant has NOT applied for the RAD Setaside.")</f>
        <v>Applicant has NOT applied for the RAD Setaside.</v>
      </c>
      <c r="O369" s="130" t="s">
        <v>1782</v>
      </c>
      <c r="P369" s="4013"/>
      <c r="Q369" s="3970"/>
    </row>
    <row r="370" spans="1:32" ht="21.75" customHeight="1">
      <c r="A370" s="140" t="s">
        <v>1894</v>
      </c>
      <c r="B370" s="4014" t="s">
        <v>6354</v>
      </c>
      <c r="C370" s="4014"/>
      <c r="D370" s="4014"/>
      <c r="E370" s="4014"/>
      <c r="F370" s="4014"/>
      <c r="G370" s="4014"/>
      <c r="H370" s="4014"/>
      <c r="I370" s="4014"/>
      <c r="J370" s="4014"/>
      <c r="K370" s="4014"/>
      <c r="L370" s="4014"/>
      <c r="M370" s="4014"/>
      <c r="N370" s="4014"/>
      <c r="O370" s="159" t="s">
        <v>1894</v>
      </c>
      <c r="P370" s="2507"/>
      <c r="Q370" s="2974"/>
    </row>
    <row r="371" spans="1:32" s="146" customFormat="1">
      <c r="A371" s="140"/>
      <c r="B371" s="1305"/>
      <c r="C371" s="52" t="s">
        <v>1712</v>
      </c>
      <c r="D371" s="52"/>
      <c r="E371" s="1610">
        <f>'Part VI-Revenues &amp; Expenses'!$P$67</f>
        <v>48</v>
      </c>
      <c r="F371" s="52" t="s">
        <v>4081</v>
      </c>
      <c r="G371" s="1611">
        <f>'Part VI-Revenues &amp; Expenses'!$P$100</f>
        <v>0</v>
      </c>
      <c r="H371" s="93"/>
      <c r="I371" s="36" t="s">
        <v>856</v>
      </c>
      <c r="J371" s="93"/>
      <c r="K371" s="93"/>
      <c r="L371" s="1610">
        <f>'Part VI-Revenues &amp; Expenses'!$P$111</f>
        <v>0</v>
      </c>
      <c r="M371" s="52" t="s">
        <v>2630</v>
      </c>
      <c r="N371" s="1609">
        <f>IF(E371=0,"",(G371+L371)/E371)</f>
        <v>0</v>
      </c>
      <c r="P371" s="138"/>
      <c r="Q371" s="138"/>
      <c r="AE371" s="443"/>
      <c r="AF371" s="443"/>
    </row>
    <row r="372" spans="1:32">
      <c r="A372" s="140" t="s">
        <v>1896</v>
      </c>
      <c r="B372" s="3971" t="s">
        <v>6352</v>
      </c>
      <c r="C372" s="3971"/>
      <c r="D372" s="3971"/>
      <c r="E372" s="3971"/>
      <c r="F372" s="3971"/>
      <c r="G372" s="3971"/>
      <c r="H372" s="3971"/>
      <c r="I372" s="3971"/>
      <c r="J372" s="3971"/>
      <c r="K372" s="3971"/>
      <c r="L372" s="3971"/>
      <c r="M372" s="3971"/>
      <c r="N372" s="3971"/>
      <c r="O372" s="159" t="s">
        <v>1896</v>
      </c>
      <c r="P372" s="2507"/>
      <c r="Q372" s="2974"/>
    </row>
    <row r="373" spans="1:32" ht="12.75" customHeight="1">
      <c r="A373" s="140"/>
      <c r="C373" s="52" t="s">
        <v>6353</v>
      </c>
      <c r="D373" s="52"/>
      <c r="E373" s="52"/>
      <c r="F373" s="52"/>
      <c r="G373" s="52"/>
      <c r="H373" s="52"/>
      <c r="I373" s="52"/>
      <c r="J373" s="52"/>
      <c r="M373" s="4015"/>
      <c r="N373" s="4016"/>
      <c r="O373" s="68"/>
      <c r="P373" s="68"/>
      <c r="Q373" s="68"/>
    </row>
    <row r="374" spans="1:32" ht="10.5" customHeight="1">
      <c r="B374" s="139" t="s">
        <v>3373</v>
      </c>
      <c r="D374" s="139"/>
      <c r="E374" s="139"/>
      <c r="F374" s="139"/>
      <c r="G374" s="139"/>
      <c r="H374" s="40"/>
      <c r="I374" s="2667"/>
      <c r="J374" s="2667"/>
      <c r="K374" s="2667"/>
      <c r="L374" s="1401"/>
      <c r="M374" s="1401"/>
      <c r="N374" s="1401"/>
      <c r="O374" s="1401"/>
      <c r="P374" s="1401"/>
      <c r="Q374" s="782"/>
    </row>
    <row r="375" spans="1:32" ht="12" customHeight="1">
      <c r="A375" s="3966" t="s">
        <v>6920</v>
      </c>
      <c r="B375" s="3967"/>
      <c r="C375" s="3967"/>
      <c r="D375" s="3967"/>
      <c r="E375" s="3967"/>
      <c r="F375" s="3967"/>
      <c r="G375" s="3967"/>
      <c r="H375" s="3967"/>
      <c r="I375" s="3967"/>
      <c r="J375" s="3967"/>
      <c r="K375" s="3967"/>
      <c r="L375" s="3967"/>
      <c r="M375" s="3967"/>
      <c r="N375" s="3967"/>
      <c r="O375" s="3967"/>
      <c r="P375" s="3967"/>
      <c r="Q375" s="3968"/>
      <c r="U375" s="134"/>
      <c r="V375" s="134"/>
      <c r="W375" s="134"/>
      <c r="X375" s="134"/>
      <c r="Y375" s="134"/>
      <c r="Z375" s="134"/>
      <c r="AA375" s="134"/>
      <c r="AB375" s="134"/>
      <c r="AC375" s="134"/>
      <c r="AD375" s="134"/>
      <c r="AE375" s="441"/>
    </row>
    <row r="376" spans="1:32" ht="10.5" customHeight="1">
      <c r="B376" s="135" t="s">
        <v>1781</v>
      </c>
      <c r="C376" s="136"/>
      <c r="D376" s="2654"/>
      <c r="E376" s="2654"/>
      <c r="F376" s="2654"/>
      <c r="G376" s="2654"/>
      <c r="H376" s="2654"/>
      <c r="I376" s="2654"/>
      <c r="J376" s="2654"/>
      <c r="K376" s="2654"/>
      <c r="L376" s="2654"/>
      <c r="M376" s="2654"/>
      <c r="N376" s="2654"/>
      <c r="O376" s="2654"/>
      <c r="P376" s="2654"/>
      <c r="Q376" s="2654"/>
    </row>
    <row r="377" spans="1:32" ht="12" customHeight="1">
      <c r="A377" s="3960"/>
      <c r="B377" s="3961"/>
      <c r="C377" s="3961"/>
      <c r="D377" s="3961"/>
      <c r="E377" s="3961"/>
      <c r="F377" s="3961"/>
      <c r="G377" s="3961"/>
      <c r="H377" s="3961"/>
      <c r="I377" s="3961"/>
      <c r="J377" s="3961"/>
      <c r="K377" s="3961"/>
      <c r="L377" s="3961"/>
      <c r="M377" s="3961"/>
      <c r="N377" s="3961"/>
      <c r="O377" s="3961"/>
      <c r="P377" s="3961"/>
      <c r="Q377" s="3962"/>
    </row>
    <row r="378" spans="1:32" ht="2.25" customHeight="1">
      <c r="A378" s="1401"/>
      <c r="B378" s="2667"/>
      <c r="C378" s="2654"/>
      <c r="D378" s="2654"/>
      <c r="E378" s="2654"/>
      <c r="F378" s="2654"/>
      <c r="G378" s="2654"/>
      <c r="H378" s="2654"/>
      <c r="I378" s="2654"/>
      <c r="J378" s="2654"/>
      <c r="K378" s="2654"/>
      <c r="L378" s="2654"/>
      <c r="M378" s="2654"/>
      <c r="N378" s="2654"/>
      <c r="O378" s="2654"/>
      <c r="P378" s="2654"/>
      <c r="Q378" s="782"/>
      <c r="R378" s="8"/>
      <c r="S378" s="8"/>
    </row>
    <row r="379" spans="1:32" ht="14.1" customHeight="1">
      <c r="A379" s="2648" t="s">
        <v>3529</v>
      </c>
      <c r="B379" s="4" t="s">
        <v>3507</v>
      </c>
      <c r="C379" s="4"/>
      <c r="D379" s="4"/>
      <c r="E379" s="4"/>
      <c r="F379" s="4"/>
      <c r="G379" s="4"/>
      <c r="H379" s="2654"/>
      <c r="I379" s="2654"/>
      <c r="J379" s="2654"/>
      <c r="K379" s="2654"/>
      <c r="L379" s="2654"/>
      <c r="M379" s="2654"/>
      <c r="N379" s="1254" t="str">
        <f>IF('Part I-Project Information'!$H$100="yes","Applicant has applied for Nonprofit Setaside.","Applicant has NOT applied for Nonprofit Setaside.")</f>
        <v>Applicant has applied for Nonprofit Setaside.</v>
      </c>
      <c r="O379" s="130" t="s">
        <v>1782</v>
      </c>
      <c r="P379" s="4013"/>
      <c r="Q379" s="3970"/>
    </row>
    <row r="380" spans="1:32" ht="10.5" customHeight="1">
      <c r="A380" s="47" t="s">
        <v>1894</v>
      </c>
      <c r="B380" s="133" t="s">
        <v>3508</v>
      </c>
      <c r="D380" s="148"/>
      <c r="E380" s="148"/>
      <c r="F380" s="148"/>
      <c r="G380" s="148"/>
      <c r="H380" s="439" t="s">
        <v>1894</v>
      </c>
      <c r="I380" s="4023" t="s">
        <v>6983</v>
      </c>
      <c r="J380" s="4024"/>
      <c r="K380" s="4024"/>
      <c r="L380" s="4024"/>
      <c r="M380" s="4024"/>
      <c r="N380" s="4024"/>
      <c r="O380" s="4024"/>
      <c r="P380" s="4025"/>
      <c r="Q380" s="2953"/>
    </row>
    <row r="381" spans="1:32" ht="10.5" customHeight="1">
      <c r="A381" s="140" t="s">
        <v>1896</v>
      </c>
      <c r="B381" s="133" t="s">
        <v>3509</v>
      </c>
      <c r="D381" s="148"/>
      <c r="E381" s="148"/>
      <c r="F381" s="148"/>
      <c r="G381" s="148"/>
      <c r="H381" s="159" t="s">
        <v>1896</v>
      </c>
      <c r="I381" s="4023" t="s">
        <v>6966</v>
      </c>
      <c r="J381" s="4024"/>
      <c r="K381" s="4024"/>
      <c r="L381" s="4024"/>
      <c r="M381" s="4024"/>
      <c r="N381" s="4024"/>
      <c r="O381" s="4024"/>
      <c r="P381" s="4025"/>
      <c r="Q381" s="2955"/>
    </row>
    <row r="382" spans="1:32" ht="21.75" customHeight="1">
      <c r="A382" s="140" t="s">
        <v>719</v>
      </c>
      <c r="B382" s="4014" t="s">
        <v>3500</v>
      </c>
      <c r="C382" s="4014"/>
      <c r="D382" s="4014"/>
      <c r="E382" s="4014"/>
      <c r="F382" s="4014"/>
      <c r="G382" s="4014"/>
      <c r="H382" s="4014"/>
      <c r="I382" s="4014"/>
      <c r="J382" s="4014"/>
      <c r="K382" s="4014"/>
      <c r="L382" s="4014"/>
      <c r="M382" s="4014"/>
      <c r="N382" s="4014"/>
      <c r="O382" s="159" t="s">
        <v>719</v>
      </c>
      <c r="P382" s="2656" t="s">
        <v>2770</v>
      </c>
      <c r="Q382" s="2968"/>
    </row>
    <row r="383" spans="1:32" ht="21.75" customHeight="1">
      <c r="A383" s="140" t="s">
        <v>2022</v>
      </c>
      <c r="B383" s="3971" t="s">
        <v>3501</v>
      </c>
      <c r="C383" s="3971"/>
      <c r="D383" s="3971"/>
      <c r="E383" s="3971"/>
      <c r="F383" s="3971"/>
      <c r="G383" s="3971"/>
      <c r="H383" s="3971"/>
      <c r="I383" s="3971"/>
      <c r="J383" s="3971"/>
      <c r="K383" s="3971"/>
      <c r="L383" s="3971"/>
      <c r="M383" s="3971"/>
      <c r="N383" s="3971"/>
      <c r="O383" s="159" t="s">
        <v>2022</v>
      </c>
      <c r="P383" s="2665" t="s">
        <v>2770</v>
      </c>
      <c r="Q383" s="2961"/>
    </row>
    <row r="384" spans="1:32" ht="10.5" customHeight="1">
      <c r="A384" s="140" t="s">
        <v>1656</v>
      </c>
      <c r="B384" s="52" t="s">
        <v>3502</v>
      </c>
      <c r="D384" s="52"/>
      <c r="E384" s="52"/>
      <c r="F384" s="52"/>
      <c r="G384" s="52"/>
      <c r="H384" s="52"/>
      <c r="I384" s="52"/>
      <c r="J384" s="52"/>
      <c r="K384" s="52"/>
      <c r="L384" s="52"/>
      <c r="M384" s="52"/>
      <c r="O384" s="159" t="s">
        <v>1656</v>
      </c>
      <c r="P384" s="2670" t="s">
        <v>2770</v>
      </c>
      <c r="Q384" s="2954"/>
    </row>
    <row r="385" spans="1:32" s="131" customFormat="1" ht="21.75" customHeight="1">
      <c r="A385" s="140" t="s">
        <v>1657</v>
      </c>
      <c r="B385" s="3971" t="s">
        <v>3503</v>
      </c>
      <c r="C385" s="3971"/>
      <c r="D385" s="3971"/>
      <c r="E385" s="3971"/>
      <c r="F385" s="3971"/>
      <c r="G385" s="3971"/>
      <c r="H385" s="3971"/>
      <c r="I385" s="3971"/>
      <c r="J385" s="3971"/>
      <c r="K385" s="3971"/>
      <c r="L385" s="3971"/>
      <c r="M385" s="3971"/>
      <c r="N385" s="3971"/>
      <c r="O385" s="159" t="s">
        <v>1657</v>
      </c>
      <c r="P385" s="2655" t="s">
        <v>2773</v>
      </c>
      <c r="Q385" s="2975"/>
      <c r="AE385" s="442"/>
      <c r="AF385" s="442"/>
    </row>
    <row r="386" spans="1:32" s="131" customFormat="1" ht="10.5" customHeight="1">
      <c r="A386" s="140" t="s">
        <v>1859</v>
      </c>
      <c r="B386" s="138" t="s">
        <v>3504</v>
      </c>
      <c r="D386" s="784"/>
      <c r="E386" s="784"/>
      <c r="F386" s="784"/>
      <c r="G386" s="784"/>
      <c r="H386" s="784"/>
      <c r="I386" s="784"/>
      <c r="J386" s="784"/>
      <c r="K386" s="784"/>
      <c r="L386" s="784"/>
      <c r="M386" s="784"/>
      <c r="N386" s="784"/>
      <c r="O386" s="159" t="s">
        <v>1859</v>
      </c>
      <c r="P386" s="2513" t="s">
        <v>2770</v>
      </c>
      <c r="Q386" s="2968"/>
      <c r="AE386" s="442"/>
      <c r="AF386" s="442"/>
    </row>
    <row r="387" spans="1:32" s="131" customFormat="1" ht="10.5" customHeight="1">
      <c r="C387" s="773" t="s">
        <v>4054</v>
      </c>
      <c r="E387" s="2654"/>
      <c r="F387" s="2654"/>
      <c r="G387" s="2654"/>
      <c r="H387" s="2654"/>
      <c r="I387" s="2654"/>
      <c r="J387" s="2654"/>
      <c r="K387" s="2654"/>
      <c r="L387" s="2654"/>
      <c r="M387" s="2654"/>
      <c r="N387" s="2654"/>
      <c r="P387" s="2666"/>
      <c r="Q387" s="2963"/>
      <c r="AE387" s="442"/>
      <c r="AF387" s="442"/>
    </row>
    <row r="388" spans="1:32" ht="21.75" customHeight="1">
      <c r="A388" s="140" t="s">
        <v>3125</v>
      </c>
      <c r="B388" s="3971" t="s">
        <v>3505</v>
      </c>
      <c r="C388" s="3971"/>
      <c r="D388" s="3971"/>
      <c r="E388" s="3971"/>
      <c r="F388" s="3971"/>
      <c r="G388" s="3971"/>
      <c r="H388" s="3971"/>
      <c r="I388" s="3971"/>
      <c r="J388" s="3971"/>
      <c r="K388" s="3971"/>
      <c r="L388" s="3971"/>
      <c r="M388" s="3971"/>
      <c r="N388" s="3971"/>
      <c r="O388" s="159" t="s">
        <v>3125</v>
      </c>
      <c r="P388" s="2513" t="s">
        <v>2770</v>
      </c>
      <c r="Q388" s="2968"/>
    </row>
    <row r="389" spans="1:32" ht="33" customHeight="1">
      <c r="A389" s="140" t="s">
        <v>586</v>
      </c>
      <c r="B389" s="3971" t="s">
        <v>3506</v>
      </c>
      <c r="C389" s="3971"/>
      <c r="D389" s="3971"/>
      <c r="E389" s="3971"/>
      <c r="F389" s="3971"/>
      <c r="G389" s="3971"/>
      <c r="H389" s="3971"/>
      <c r="I389" s="3971"/>
      <c r="J389" s="3971"/>
      <c r="K389" s="3971"/>
      <c r="L389" s="3971"/>
      <c r="M389" s="3971"/>
      <c r="N389" s="3971"/>
      <c r="O389" s="159" t="s">
        <v>586</v>
      </c>
      <c r="P389" s="2666" t="s">
        <v>2770</v>
      </c>
      <c r="Q389" s="2963"/>
    </row>
    <row r="390" spans="1:32" ht="10.5" customHeight="1">
      <c r="B390" s="139" t="s">
        <v>3373</v>
      </c>
      <c r="D390" s="139"/>
      <c r="E390" s="139"/>
      <c r="F390" s="139"/>
      <c r="G390" s="139"/>
      <c r="H390" s="40"/>
      <c r="I390" s="2667"/>
      <c r="J390" s="2667"/>
      <c r="K390" s="2667"/>
      <c r="L390" s="1401"/>
      <c r="M390" s="1401"/>
      <c r="N390" s="1401"/>
      <c r="O390" s="1401"/>
      <c r="P390" s="1401"/>
      <c r="Q390" s="782"/>
    </row>
    <row r="391" spans="1:32" ht="34.5" customHeight="1">
      <c r="A391" s="3966" t="s">
        <v>6984</v>
      </c>
      <c r="B391" s="3967"/>
      <c r="C391" s="3967"/>
      <c r="D391" s="3967"/>
      <c r="E391" s="3967"/>
      <c r="F391" s="3967"/>
      <c r="G391" s="3967"/>
      <c r="H391" s="3967"/>
      <c r="I391" s="3967"/>
      <c r="J391" s="3967"/>
      <c r="K391" s="3967"/>
      <c r="L391" s="3967"/>
      <c r="M391" s="3967"/>
      <c r="N391" s="3967"/>
      <c r="O391" s="3967"/>
      <c r="P391" s="3967"/>
      <c r="Q391" s="3968"/>
      <c r="U391" s="134"/>
      <c r="V391" s="134"/>
      <c r="W391" s="134"/>
      <c r="X391" s="134"/>
      <c r="Y391" s="134"/>
      <c r="Z391" s="134"/>
      <c r="AA391" s="134"/>
      <c r="AB391" s="134"/>
      <c r="AC391" s="134"/>
      <c r="AD391" s="134"/>
      <c r="AE391" s="441"/>
    </row>
    <row r="392" spans="1:32" ht="10.5" customHeight="1">
      <c r="B392" s="135" t="s">
        <v>1781</v>
      </c>
      <c r="C392" s="136"/>
      <c r="D392" s="2654"/>
      <c r="E392" s="2654"/>
      <c r="F392" s="2654"/>
      <c r="G392" s="2654"/>
      <c r="H392" s="2654"/>
      <c r="I392" s="2654"/>
      <c r="J392" s="2654"/>
      <c r="K392" s="2654"/>
      <c r="L392" s="2654"/>
      <c r="M392" s="2654"/>
      <c r="N392" s="2654"/>
      <c r="O392" s="2654"/>
      <c r="P392" s="2654"/>
      <c r="Q392" s="2654"/>
    </row>
    <row r="393" spans="1:32" ht="23.25" customHeight="1">
      <c r="A393" s="3960"/>
      <c r="B393" s="3961"/>
      <c r="C393" s="3961"/>
      <c r="D393" s="3961"/>
      <c r="E393" s="3961"/>
      <c r="F393" s="3961"/>
      <c r="G393" s="3961"/>
      <c r="H393" s="3961"/>
      <c r="I393" s="3961"/>
      <c r="J393" s="3961"/>
      <c r="K393" s="3961"/>
      <c r="L393" s="3961"/>
      <c r="M393" s="3961"/>
      <c r="N393" s="3961"/>
      <c r="O393" s="3961"/>
      <c r="P393" s="3961"/>
      <c r="Q393" s="3962"/>
    </row>
    <row r="394" spans="1:32" ht="3" customHeight="1">
      <c r="A394" s="1401"/>
      <c r="B394" s="2667"/>
      <c r="C394" s="2654"/>
      <c r="D394" s="2654"/>
      <c r="E394" s="2654"/>
      <c r="F394" s="2654"/>
      <c r="G394" s="2654"/>
      <c r="H394" s="2654"/>
      <c r="I394" s="2654"/>
      <c r="J394" s="2654"/>
      <c r="K394" s="2654"/>
      <c r="L394" s="2654"/>
      <c r="M394" s="2654"/>
      <c r="Q394" s="782"/>
    </row>
    <row r="395" spans="1:32" ht="3" customHeight="1">
      <c r="A395" s="1401"/>
      <c r="B395" s="2667"/>
      <c r="C395" s="2654"/>
      <c r="D395" s="2654"/>
      <c r="E395" s="2654"/>
      <c r="F395" s="2654"/>
      <c r="G395" s="2654"/>
      <c r="H395" s="2654"/>
      <c r="I395" s="2654"/>
      <c r="J395" s="2654"/>
      <c r="K395" s="2654"/>
      <c r="L395" s="2654"/>
      <c r="M395" s="2654"/>
      <c r="Q395" s="782"/>
      <c r="AF395" s="35"/>
    </row>
    <row r="396" spans="1:32" ht="14.1" customHeight="1">
      <c r="A396" s="2648" t="s">
        <v>3530</v>
      </c>
      <c r="B396" s="4" t="s">
        <v>2539</v>
      </c>
      <c r="C396" s="4"/>
      <c r="D396" s="4"/>
      <c r="E396" s="4"/>
      <c r="F396" s="4"/>
      <c r="G396" s="4"/>
      <c r="H396" s="2654"/>
      <c r="I396" s="2654"/>
      <c r="J396" s="2654"/>
      <c r="N396" s="1254" t="str">
        <f>IF('Part I-Project Information'!$H$103="yes","Applicant has applied for CHDO Setaside.","Applicant has NOT applied for CHDO Setaside.")</f>
        <v>Applicant has NOT applied for CHDO Setaside.</v>
      </c>
      <c r="O396" s="130" t="s">
        <v>1782</v>
      </c>
      <c r="P396" s="3969"/>
      <c r="Q396" s="3970"/>
      <c r="AF396" s="35"/>
    </row>
    <row r="397" spans="1:32" ht="11.45" customHeight="1">
      <c r="A397" s="47" t="s">
        <v>1894</v>
      </c>
      <c r="B397" s="116" t="s">
        <v>995</v>
      </c>
      <c r="E397" s="4040"/>
      <c r="F397" s="4041"/>
      <c r="G397" s="4041"/>
      <c r="H397" s="4041"/>
      <c r="I397" s="4042"/>
      <c r="J397" s="4043" t="s">
        <v>2527</v>
      </c>
      <c r="K397" s="4044"/>
      <c r="L397" s="4045"/>
      <c r="M397" s="4040"/>
      <c r="N397" s="4041"/>
      <c r="O397" s="4041"/>
      <c r="P397" s="4041"/>
      <c r="Q397" s="4042"/>
      <c r="AF397" s="35"/>
    </row>
    <row r="398" spans="1:32" s="131" customFormat="1" ht="22.5" customHeight="1">
      <c r="A398" s="140" t="s">
        <v>1896</v>
      </c>
      <c r="B398" s="3971" t="s">
        <v>3203</v>
      </c>
      <c r="C398" s="3971"/>
      <c r="D398" s="3971"/>
      <c r="E398" s="3971"/>
      <c r="F398" s="3971"/>
      <c r="G398" s="3971"/>
      <c r="H398" s="3971"/>
      <c r="I398" s="3971"/>
      <c r="J398" s="3971"/>
      <c r="K398" s="3971"/>
      <c r="L398" s="3971"/>
      <c r="M398" s="3971"/>
      <c r="N398" s="3971"/>
      <c r="O398" s="159" t="s">
        <v>1896</v>
      </c>
      <c r="P398" s="2665"/>
      <c r="Q398" s="2961"/>
      <c r="AE398" s="442"/>
    </row>
    <row r="399" spans="1:32">
      <c r="A399" s="140" t="s">
        <v>719</v>
      </c>
      <c r="B399" s="55" t="s">
        <v>3332</v>
      </c>
      <c r="G399" s="2658"/>
      <c r="H399" s="2658"/>
      <c r="I399" s="2658"/>
      <c r="J399" s="783" t="s">
        <v>3333</v>
      </c>
      <c r="L399" s="2658"/>
      <c r="M399" s="4011">
        <f>'Part III-Sources of Funds'!I6</f>
        <v>0</v>
      </c>
      <c r="N399" s="4012"/>
      <c r="O399" s="159" t="s">
        <v>719</v>
      </c>
      <c r="P399" s="2668"/>
      <c r="Q399" s="2955"/>
      <c r="AF399" s="35"/>
    </row>
    <row r="400" spans="1:32" ht="11.25" customHeight="1">
      <c r="B400" s="139" t="s">
        <v>3373</v>
      </c>
      <c r="D400" s="139"/>
      <c r="E400" s="139"/>
      <c r="F400" s="139"/>
      <c r="G400" s="139"/>
      <c r="H400" s="40"/>
      <c r="I400" s="2667"/>
      <c r="J400" s="2667"/>
      <c r="K400" s="2667"/>
      <c r="L400" s="1401"/>
      <c r="M400" s="1401"/>
      <c r="N400" s="1401"/>
      <c r="O400" s="1401"/>
      <c r="P400" s="1401"/>
      <c r="Q400" s="782"/>
      <c r="AF400" s="35"/>
    </row>
    <row r="401" spans="1:32" ht="11.45" customHeight="1">
      <c r="A401" s="3966" t="s">
        <v>6921</v>
      </c>
      <c r="B401" s="3967"/>
      <c r="C401" s="3967"/>
      <c r="D401" s="3967"/>
      <c r="E401" s="3967"/>
      <c r="F401" s="3967"/>
      <c r="G401" s="3967"/>
      <c r="H401" s="3967"/>
      <c r="I401" s="3967"/>
      <c r="J401" s="3967"/>
      <c r="K401" s="3967"/>
      <c r="L401" s="3967"/>
      <c r="M401" s="3967"/>
      <c r="N401" s="3967"/>
      <c r="O401" s="3967"/>
      <c r="P401" s="3967"/>
      <c r="Q401" s="3968"/>
      <c r="U401" s="134"/>
      <c r="V401" s="134"/>
      <c r="W401" s="134"/>
      <c r="X401" s="134"/>
      <c r="Y401" s="134"/>
      <c r="Z401" s="134"/>
      <c r="AA401" s="134"/>
      <c r="AB401" s="134"/>
      <c r="AC401" s="134"/>
      <c r="AD401" s="134"/>
      <c r="AE401" s="441"/>
      <c r="AF401" s="35"/>
    </row>
    <row r="402" spans="1:32" ht="11.25" customHeight="1">
      <c r="B402" s="135" t="s">
        <v>1781</v>
      </c>
      <c r="C402" s="136"/>
      <c r="D402" s="2654"/>
      <c r="E402" s="2654"/>
      <c r="F402" s="2654"/>
      <c r="G402" s="2654"/>
      <c r="H402" s="2654"/>
      <c r="I402" s="2654"/>
      <c r="J402" s="2654"/>
      <c r="K402" s="2654"/>
      <c r="L402" s="2654"/>
      <c r="M402" s="2654"/>
      <c r="N402" s="2654"/>
      <c r="O402" s="2654"/>
      <c r="P402" s="2654"/>
      <c r="Q402" s="2654"/>
      <c r="AF402" s="35"/>
    </row>
    <row r="403" spans="1:32" ht="11.45" customHeight="1">
      <c r="A403" s="3960"/>
      <c r="B403" s="3961"/>
      <c r="C403" s="3961"/>
      <c r="D403" s="3961"/>
      <c r="E403" s="3961"/>
      <c r="F403" s="3961"/>
      <c r="G403" s="3961"/>
      <c r="H403" s="3961"/>
      <c r="I403" s="3961"/>
      <c r="J403" s="3961"/>
      <c r="K403" s="3961"/>
      <c r="L403" s="3961"/>
      <c r="M403" s="3961"/>
      <c r="N403" s="3961"/>
      <c r="O403" s="3961"/>
      <c r="P403" s="3961"/>
      <c r="Q403" s="3962"/>
      <c r="AF403" s="35"/>
    </row>
    <row r="404" spans="1:32" ht="3.6" customHeight="1">
      <c r="A404" s="1401"/>
      <c r="B404" s="2667"/>
      <c r="C404" s="2654"/>
      <c r="D404" s="2654"/>
      <c r="E404" s="2654"/>
      <c r="F404" s="2654"/>
      <c r="G404" s="2654"/>
      <c r="H404" s="2654"/>
      <c r="I404" s="2654"/>
      <c r="J404" s="2654"/>
      <c r="K404" s="2654"/>
      <c r="L404" s="2654"/>
      <c r="M404" s="2654"/>
      <c r="Q404" s="782"/>
      <c r="AF404" s="35"/>
    </row>
    <row r="405" spans="1:32" ht="14.1" customHeight="1">
      <c r="A405" s="2648" t="s">
        <v>3531</v>
      </c>
      <c r="B405" s="4" t="s">
        <v>2525</v>
      </c>
      <c r="C405" s="4"/>
      <c r="D405" s="4"/>
      <c r="E405" s="2654"/>
      <c r="G405" s="138" t="s">
        <v>671</v>
      </c>
      <c r="H405" s="2654"/>
      <c r="I405" s="2654"/>
      <c r="J405" s="2654"/>
      <c r="K405" s="2654"/>
      <c r="L405" s="2654"/>
      <c r="M405" s="2654"/>
      <c r="O405" s="130" t="s">
        <v>1782</v>
      </c>
      <c r="P405" s="3969"/>
      <c r="Q405" s="4032"/>
      <c r="AF405" s="35"/>
    </row>
    <row r="406" spans="1:32" ht="12" customHeight="1">
      <c r="A406" s="47" t="s">
        <v>1894</v>
      </c>
      <c r="B406" s="52" t="s">
        <v>2528</v>
      </c>
      <c r="D406" s="784"/>
      <c r="E406" s="784"/>
      <c r="O406" s="439" t="s">
        <v>1894</v>
      </c>
      <c r="P406" s="2492" t="s">
        <v>2773</v>
      </c>
      <c r="Q406" s="2953"/>
      <c r="AF406" s="35"/>
    </row>
    <row r="407" spans="1:32" ht="12" customHeight="1">
      <c r="A407" s="47" t="s">
        <v>1896</v>
      </c>
      <c r="B407" s="52" t="s">
        <v>3264</v>
      </c>
      <c r="D407" s="784"/>
      <c r="E407" s="784"/>
      <c r="O407" s="439" t="s">
        <v>1896</v>
      </c>
      <c r="P407" s="2670" t="s">
        <v>2773</v>
      </c>
      <c r="Q407" s="2954"/>
      <c r="AF407" s="35"/>
    </row>
    <row r="408" spans="1:32" ht="12" customHeight="1">
      <c r="A408" s="47" t="s">
        <v>719</v>
      </c>
      <c r="B408" s="52" t="s">
        <v>4237</v>
      </c>
      <c r="D408" s="784"/>
      <c r="E408" s="784"/>
      <c r="O408" s="439" t="s">
        <v>719</v>
      </c>
      <c r="P408" s="2670" t="s">
        <v>2770</v>
      </c>
      <c r="Q408" s="2954"/>
      <c r="AF408" s="35"/>
    </row>
    <row r="409" spans="1:32" ht="12" customHeight="1">
      <c r="A409" s="47" t="s">
        <v>2022</v>
      </c>
      <c r="B409" s="52" t="s">
        <v>3265</v>
      </c>
      <c r="E409" s="138"/>
      <c r="O409" s="439" t="s">
        <v>2022</v>
      </c>
      <c r="P409" s="2670" t="s">
        <v>2773</v>
      </c>
      <c r="Q409" s="2954"/>
      <c r="AF409" s="35"/>
    </row>
    <row r="410" spans="1:32" ht="12" customHeight="1">
      <c r="A410" s="47" t="s">
        <v>1656</v>
      </c>
      <c r="B410" s="52" t="s">
        <v>1988</v>
      </c>
      <c r="E410" s="138"/>
      <c r="G410" s="439" t="s">
        <v>1656</v>
      </c>
      <c r="H410" s="3985"/>
      <c r="I410" s="3986"/>
      <c r="J410" s="3986"/>
      <c r="K410" s="3986"/>
      <c r="L410" s="3986"/>
      <c r="M410" s="3986"/>
      <c r="N410" s="3986"/>
      <c r="O410" s="3987"/>
      <c r="P410" s="2668"/>
      <c r="Q410" s="2955"/>
      <c r="AF410" s="35"/>
    </row>
    <row r="411" spans="1:32" ht="11.25" customHeight="1">
      <c r="B411" s="139" t="s">
        <v>3373</v>
      </c>
      <c r="D411" s="139"/>
      <c r="E411" s="139"/>
      <c r="F411" s="139"/>
      <c r="G411" s="139"/>
      <c r="H411" s="40"/>
      <c r="I411" s="2667"/>
      <c r="J411" s="2667"/>
      <c r="K411" s="2667"/>
      <c r="L411" s="1401"/>
      <c r="M411" s="1401"/>
      <c r="N411" s="1401"/>
      <c r="O411" s="1401"/>
      <c r="P411" s="1401"/>
      <c r="Q411" s="782"/>
      <c r="AF411" s="35"/>
    </row>
    <row r="412" spans="1:32" ht="11.45" customHeight="1">
      <c r="A412" s="3966" t="s">
        <v>6985</v>
      </c>
      <c r="B412" s="3967"/>
      <c r="C412" s="3967"/>
      <c r="D412" s="3967"/>
      <c r="E412" s="3967"/>
      <c r="F412" s="3967"/>
      <c r="G412" s="3967"/>
      <c r="H412" s="3967"/>
      <c r="I412" s="3967"/>
      <c r="J412" s="3967"/>
      <c r="K412" s="3967"/>
      <c r="L412" s="3967"/>
      <c r="M412" s="3967"/>
      <c r="N412" s="3967"/>
      <c r="O412" s="3967"/>
      <c r="P412" s="3967"/>
      <c r="Q412" s="3968"/>
      <c r="U412" s="134"/>
      <c r="V412" s="134"/>
      <c r="W412" s="134"/>
      <c r="X412" s="134"/>
      <c r="Y412" s="134"/>
      <c r="Z412" s="134"/>
      <c r="AA412" s="134"/>
      <c r="AB412" s="134"/>
      <c r="AC412" s="134"/>
      <c r="AD412" s="134"/>
      <c r="AE412" s="441"/>
      <c r="AF412" s="35"/>
    </row>
    <row r="413" spans="1:32" ht="11.25" customHeight="1">
      <c r="B413" s="135" t="s">
        <v>1781</v>
      </c>
      <c r="C413" s="136"/>
      <c r="D413" s="2654"/>
      <c r="E413" s="2654"/>
      <c r="F413" s="2654"/>
      <c r="G413" s="2654"/>
      <c r="H413" s="2654"/>
      <c r="I413" s="2654"/>
      <c r="J413" s="2654"/>
      <c r="K413" s="2654"/>
      <c r="L413" s="2654"/>
      <c r="M413" s="2654"/>
      <c r="N413" s="2654"/>
      <c r="O413" s="2654"/>
      <c r="P413" s="2654"/>
      <c r="Q413" s="2654"/>
      <c r="AF413" s="35"/>
    </row>
    <row r="414" spans="1:32" ht="11.45" customHeight="1">
      <c r="A414" s="3960"/>
      <c r="B414" s="3961"/>
      <c r="C414" s="3961"/>
      <c r="D414" s="3961"/>
      <c r="E414" s="3961"/>
      <c r="F414" s="3961"/>
      <c r="G414" s="3961"/>
      <c r="H414" s="3961"/>
      <c r="I414" s="3961"/>
      <c r="J414" s="3961"/>
      <c r="K414" s="3961"/>
      <c r="L414" s="3961"/>
      <c r="M414" s="3961"/>
      <c r="N414" s="3961"/>
      <c r="O414" s="3961"/>
      <c r="P414" s="3961"/>
      <c r="Q414" s="3962"/>
      <c r="AF414" s="35"/>
    </row>
    <row r="415" spans="1:32" ht="3" customHeight="1">
      <c r="A415" s="1401"/>
      <c r="B415" s="2667"/>
      <c r="C415" s="2654"/>
      <c r="D415" s="2654"/>
      <c r="E415" s="2654"/>
      <c r="F415" s="2654"/>
      <c r="G415" s="2654"/>
      <c r="H415" s="2654"/>
      <c r="I415" s="2654"/>
      <c r="J415" s="2654"/>
      <c r="K415" s="2654"/>
      <c r="L415" s="2654"/>
      <c r="M415" s="2654"/>
      <c r="N415" s="2654"/>
      <c r="O415" s="2654"/>
      <c r="P415" s="2654"/>
      <c r="Q415" s="1401"/>
      <c r="AF415" s="35"/>
    </row>
    <row r="416" spans="1:32" ht="14.1" customHeight="1">
      <c r="A416" s="2648" t="s">
        <v>3532</v>
      </c>
      <c r="B416" s="4" t="s">
        <v>4139</v>
      </c>
      <c r="C416" s="4"/>
      <c r="D416" s="4"/>
      <c r="E416" s="4"/>
      <c r="F416" s="4"/>
      <c r="G416" s="4"/>
      <c r="H416" s="2654"/>
      <c r="I416" s="2654"/>
      <c r="J416" s="2654"/>
      <c r="K416" s="2654"/>
      <c r="L416" s="2654"/>
      <c r="M416" s="2654"/>
      <c r="O416" s="130" t="s">
        <v>1782</v>
      </c>
      <c r="P416" s="3991"/>
      <c r="Q416" s="3992"/>
      <c r="AF416" s="35"/>
    </row>
    <row r="417" spans="1:33" ht="12" customHeight="1">
      <c r="B417" s="55" t="s">
        <v>6549</v>
      </c>
      <c r="O417" s="65"/>
      <c r="P417" s="2493"/>
      <c r="Q417" s="2956"/>
    </row>
    <row r="418" spans="1:33" ht="12" customHeight="1">
      <c r="A418" s="47" t="s">
        <v>1894</v>
      </c>
      <c r="B418" s="86" t="s">
        <v>4138</v>
      </c>
      <c r="D418" s="42"/>
      <c r="E418" s="42"/>
      <c r="F418" s="42"/>
      <c r="G418" s="42"/>
      <c r="H418" s="42"/>
      <c r="I418" s="42"/>
      <c r="J418" s="42"/>
      <c r="K418" s="42"/>
      <c r="L418" s="42"/>
      <c r="M418" s="42"/>
      <c r="N418" s="42"/>
      <c r="O418" s="42"/>
      <c r="P418" s="42"/>
      <c r="Q418" s="42"/>
      <c r="AF418" s="35"/>
    </row>
    <row r="419" spans="1:33" ht="12" customHeight="1">
      <c r="A419" s="47"/>
      <c r="B419" s="1398" t="s">
        <v>1897</v>
      </c>
      <c r="C419" s="55" t="s">
        <v>722</v>
      </c>
      <c r="D419" s="42"/>
      <c r="E419" s="42"/>
      <c r="F419" s="42"/>
      <c r="G419" s="42"/>
      <c r="H419" s="42"/>
      <c r="I419" s="42"/>
      <c r="J419" s="42"/>
      <c r="K419" s="42"/>
      <c r="L419" s="42"/>
      <c r="M419" s="42"/>
      <c r="N419" s="42"/>
      <c r="O419" s="439">
        <v>1</v>
      </c>
      <c r="P419" s="2514"/>
      <c r="Q419" s="2976"/>
      <c r="AF419" s="35"/>
    </row>
    <row r="420" spans="1:33" ht="12" customHeight="1">
      <c r="B420" s="52"/>
      <c r="C420" s="36" t="s">
        <v>4238</v>
      </c>
      <c r="D420" s="55" t="s">
        <v>4239</v>
      </c>
      <c r="E420" s="42"/>
      <c r="F420" s="42"/>
      <c r="G420" s="42"/>
      <c r="H420" s="42"/>
      <c r="I420" s="42"/>
      <c r="J420" s="42"/>
      <c r="K420" s="42"/>
      <c r="L420" s="42"/>
      <c r="M420" s="42"/>
      <c r="N420" s="42"/>
      <c r="O420" s="439" t="s">
        <v>4238</v>
      </c>
      <c r="P420" s="4167"/>
      <c r="Q420" s="4165"/>
      <c r="AF420" s="35"/>
    </row>
    <row r="421" spans="1:33" ht="12" customHeight="1">
      <c r="A421" s="47"/>
      <c r="D421" s="52" t="s">
        <v>6838</v>
      </c>
      <c r="E421" s="52"/>
      <c r="F421" s="52"/>
      <c r="G421" s="52"/>
      <c r="H421" s="52"/>
      <c r="I421" s="52"/>
      <c r="J421" s="52"/>
      <c r="K421" s="52"/>
      <c r="L421" s="52"/>
      <c r="M421" s="52"/>
      <c r="N421" s="42"/>
      <c r="O421" s="1487"/>
      <c r="P421" s="4168"/>
      <c r="Q421" s="4166"/>
      <c r="AF421" s="35"/>
    </row>
    <row r="422" spans="1:33" ht="12" customHeight="1">
      <c r="C422" s="52" t="s">
        <v>2326</v>
      </c>
      <c r="D422" s="52" t="s">
        <v>3204</v>
      </c>
      <c r="E422" s="52"/>
      <c r="F422" s="52"/>
      <c r="G422" s="52"/>
      <c r="H422" s="52"/>
      <c r="I422" s="52"/>
      <c r="J422" s="52"/>
      <c r="K422" s="52"/>
      <c r="L422" s="52"/>
      <c r="M422" s="52"/>
      <c r="N422" s="42"/>
      <c r="O422" s="64" t="s">
        <v>2326</v>
      </c>
      <c r="P422" s="2500"/>
      <c r="Q422" s="2965"/>
      <c r="AF422" s="35"/>
    </row>
    <row r="423" spans="1:33" s="146" customFormat="1" ht="12" customHeight="1">
      <c r="A423" s="47"/>
      <c r="C423" s="52" t="s">
        <v>4142</v>
      </c>
      <c r="D423" s="52" t="s">
        <v>3261</v>
      </c>
      <c r="E423" s="52"/>
      <c r="F423" s="52"/>
      <c r="G423" s="52"/>
      <c r="H423" s="52"/>
      <c r="I423" s="52"/>
      <c r="J423" s="52"/>
      <c r="K423" s="52"/>
      <c r="L423" s="52"/>
      <c r="M423" s="52"/>
      <c r="N423" s="93"/>
      <c r="O423" s="64" t="s">
        <v>2327</v>
      </c>
      <c r="P423" s="2515"/>
      <c r="Q423" s="2966"/>
      <c r="AE423" s="443"/>
      <c r="AF423" s="443"/>
    </row>
    <row r="424" spans="1:33" ht="12" customHeight="1">
      <c r="A424" s="47"/>
      <c r="B424" s="1398" t="s">
        <v>1899</v>
      </c>
      <c r="C424" s="52" t="s">
        <v>2107</v>
      </c>
      <c r="E424" s="52"/>
      <c r="F424" s="52"/>
      <c r="G424" s="52"/>
      <c r="H424" s="52"/>
      <c r="I424" s="52"/>
      <c r="J424" s="52"/>
      <c r="K424" s="52"/>
      <c r="L424" s="52"/>
      <c r="M424" s="52"/>
      <c r="N424" s="52"/>
      <c r="O424" s="439">
        <v>2</v>
      </c>
      <c r="P424" s="2489"/>
      <c r="Q424" s="2967"/>
    </row>
    <row r="425" spans="1:33" ht="12" customHeight="1">
      <c r="A425" s="47"/>
      <c r="B425" s="1398" t="s">
        <v>2417</v>
      </c>
      <c r="C425" s="3971" t="s">
        <v>6404</v>
      </c>
      <c r="D425" s="3971"/>
      <c r="E425" s="3971"/>
      <c r="F425" s="3971"/>
      <c r="G425" s="133" t="s">
        <v>4143</v>
      </c>
      <c r="J425" s="2516"/>
      <c r="K425" s="2977"/>
      <c r="M425" s="133" t="s">
        <v>6496</v>
      </c>
      <c r="P425" s="2517"/>
      <c r="Q425" s="2978"/>
    </row>
    <row r="426" spans="1:33" ht="12" customHeight="1">
      <c r="A426" s="47"/>
      <c r="C426" s="3971"/>
      <c r="D426" s="3971"/>
      <c r="E426" s="3971"/>
      <c r="F426" s="3971"/>
      <c r="G426" s="133" t="s">
        <v>6495</v>
      </c>
      <c r="J426" s="2518"/>
      <c r="K426" s="2979"/>
      <c r="M426" s="133" t="s">
        <v>6497</v>
      </c>
      <c r="P426" s="2518"/>
      <c r="Q426" s="2979"/>
    </row>
    <row r="427" spans="1:33" ht="8.25" customHeight="1">
      <c r="A427" s="47"/>
      <c r="C427" s="3971"/>
      <c r="D427" s="3971"/>
      <c r="E427" s="3971"/>
      <c r="F427" s="3971"/>
      <c r="J427" s="1603"/>
      <c r="L427" s="783"/>
      <c r="M427" s="42"/>
      <c r="N427" s="439"/>
    </row>
    <row r="428" spans="1:33" s="93" customFormat="1" ht="12.75" customHeight="1">
      <c r="A428" s="137"/>
      <c r="B428" s="177"/>
      <c r="D428" s="970"/>
      <c r="E428" s="970"/>
      <c r="F428" s="970"/>
      <c r="G428" s="970"/>
      <c r="H428" s="970"/>
      <c r="I428" s="3959" t="s">
        <v>6438</v>
      </c>
      <c r="J428" s="3959" t="s">
        <v>6439</v>
      </c>
      <c r="K428" s="3959" t="s">
        <v>6441</v>
      </c>
      <c r="L428" s="3959"/>
      <c r="M428" s="3959"/>
      <c r="N428" s="3975" t="s">
        <v>6440</v>
      </c>
      <c r="O428" s="439"/>
      <c r="P428" s="439"/>
      <c r="Q428" s="439"/>
      <c r="AE428" s="445"/>
    </row>
    <row r="429" spans="1:33" s="93" customFormat="1" ht="12.75" customHeight="1">
      <c r="A429" s="137"/>
      <c r="B429" s="177"/>
      <c r="D429" s="970"/>
      <c r="E429" s="970"/>
      <c r="F429" s="970"/>
      <c r="G429" s="970"/>
      <c r="H429" s="970"/>
      <c r="I429" s="4157"/>
      <c r="J429" s="3959"/>
      <c r="K429" s="3959"/>
      <c r="L429" s="3959"/>
      <c r="M429" s="3959"/>
      <c r="N429" s="3976"/>
      <c r="O429" s="439"/>
      <c r="P429" s="439"/>
      <c r="Q429" s="439"/>
      <c r="AE429" s="445"/>
    </row>
    <row r="430" spans="1:33" s="93" customFormat="1" ht="12.75" customHeight="1">
      <c r="A430" s="173"/>
      <c r="B430" s="1305"/>
      <c r="C430" s="3971" t="s">
        <v>6602</v>
      </c>
      <c r="D430" s="3971"/>
      <c r="E430" s="3971"/>
      <c r="F430" s="3971"/>
      <c r="G430" s="3971"/>
      <c r="H430" s="3971"/>
      <c r="I430" s="1582">
        <f>$K$321</f>
        <v>3</v>
      </c>
      <c r="J430" s="2519"/>
      <c r="K430" s="3977"/>
      <c r="L430" s="3977"/>
      <c r="M430" s="3978"/>
      <c r="N430" s="1664">
        <f>MAX(J430,K430)</f>
        <v>0</v>
      </c>
      <c r="O430" s="64" t="s">
        <v>2329</v>
      </c>
      <c r="P430" s="2493"/>
      <c r="Q430" s="2956"/>
      <c r="AE430" s="445"/>
      <c r="AF430" s="445"/>
    </row>
    <row r="431" spans="1:33" s="289" customFormat="1" ht="12.75" customHeight="1">
      <c r="A431" s="300"/>
      <c r="B431" s="2619"/>
      <c r="C431" s="3971"/>
      <c r="D431" s="3971"/>
      <c r="E431" s="3971"/>
      <c r="F431" s="3971"/>
      <c r="G431" s="3971"/>
      <c r="H431" s="3971"/>
      <c r="I431" s="2630"/>
      <c r="J431" s="2980"/>
      <c r="K431" s="3979"/>
      <c r="L431" s="3979"/>
      <c r="M431" s="3980"/>
      <c r="N431" s="1664">
        <f>MAX(J431,K431)</f>
        <v>0</v>
      </c>
      <c r="P431" s="298"/>
    </row>
    <row r="432" spans="1:33" s="289" customFormat="1" ht="9" customHeight="1">
      <c r="A432" s="300"/>
      <c r="B432" s="2619"/>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6442</v>
      </c>
      <c r="E433" s="138"/>
      <c r="F433" s="138"/>
      <c r="G433" s="138"/>
      <c r="H433" s="138"/>
      <c r="I433" s="1582">
        <f>$K$322</f>
        <v>3</v>
      </c>
      <c r="J433" s="2519"/>
      <c r="K433" s="3977"/>
      <c r="L433" s="3977"/>
      <c r="M433" s="3978"/>
      <c r="N433" s="1664">
        <f>MAX(J433,K433)</f>
        <v>0</v>
      </c>
      <c r="O433" s="439"/>
      <c r="P433" s="2520"/>
      <c r="Q433" s="2981"/>
      <c r="T433" s="138"/>
      <c r="U433" s="138"/>
      <c r="V433" s="138"/>
      <c r="W433" s="138"/>
      <c r="X433" s="138"/>
      <c r="Y433" s="138"/>
      <c r="Z433" s="138"/>
      <c r="AA433" s="138"/>
      <c r="AB433" s="138"/>
      <c r="AC433" s="138"/>
      <c r="AD433" s="138"/>
      <c r="AE433" s="138"/>
      <c r="AF433" s="138"/>
      <c r="AG433" s="138"/>
    </row>
    <row r="434" spans="1:33" s="289" customFormat="1" ht="12.75" customHeight="1">
      <c r="A434" s="300"/>
      <c r="B434" s="2619"/>
      <c r="C434" s="784"/>
      <c r="D434" s="138"/>
      <c r="E434" s="138"/>
      <c r="F434" s="138"/>
      <c r="G434" s="138"/>
      <c r="H434" s="138"/>
      <c r="J434" s="2980"/>
      <c r="K434" s="3979"/>
      <c r="L434" s="3979"/>
      <c r="M434" s="3980"/>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9"/>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71" t="s">
        <v>6603</v>
      </c>
      <c r="D436" s="3971"/>
      <c r="E436" s="3971"/>
      <c r="F436" s="3971"/>
      <c r="G436" s="3971"/>
      <c r="H436" s="3971"/>
      <c r="I436" s="1582">
        <f>$K$324</f>
        <v>1</v>
      </c>
      <c r="J436" s="2519"/>
      <c r="K436" s="3977"/>
      <c r="L436" s="3977"/>
      <c r="M436" s="3978"/>
      <c r="N436" s="1664">
        <f>MAX(J436,K436)</f>
        <v>0</v>
      </c>
      <c r="O436" s="64" t="s">
        <v>2345</v>
      </c>
      <c r="P436" s="2493"/>
      <c r="Q436" s="2956"/>
      <c r="T436" s="52"/>
      <c r="U436" s="52"/>
      <c r="V436" s="52"/>
      <c r="W436" s="52"/>
      <c r="X436" s="52"/>
      <c r="Y436" s="52"/>
      <c r="Z436" s="52"/>
      <c r="AA436" s="52"/>
      <c r="AB436" s="52"/>
      <c r="AC436" s="52"/>
      <c r="AD436" s="52"/>
      <c r="AE436" s="52"/>
      <c r="AF436" s="52"/>
      <c r="AG436" s="52"/>
    </row>
    <row r="437" spans="1:33" s="289" customFormat="1" ht="12.75" customHeight="1">
      <c r="A437" s="300"/>
      <c r="C437" s="3971"/>
      <c r="D437" s="3971"/>
      <c r="E437" s="3971"/>
      <c r="F437" s="3971"/>
      <c r="G437" s="3971"/>
      <c r="H437" s="3971"/>
      <c r="J437" s="2980"/>
      <c r="K437" s="3979"/>
      <c r="L437" s="3979"/>
      <c r="M437" s="3980"/>
      <c r="N437" s="1664">
        <f>MAX(J437,K437)</f>
        <v>0</v>
      </c>
      <c r="O437" s="36"/>
      <c r="P437" s="2667"/>
      <c r="Q437" s="36"/>
      <c r="T437" s="36"/>
      <c r="U437" s="774"/>
      <c r="V437" s="36"/>
      <c r="W437" s="774"/>
      <c r="X437" s="36"/>
      <c r="Y437" s="36"/>
      <c r="Z437" s="36"/>
      <c r="AA437" s="36"/>
      <c r="AB437" s="36"/>
      <c r="AC437" s="36"/>
      <c r="AD437" s="36"/>
      <c r="AE437" s="36"/>
      <c r="AF437" s="36"/>
      <c r="AG437" s="36"/>
    </row>
    <row r="438" spans="1:33" s="289" customFormat="1" ht="3" customHeight="1">
      <c r="A438" s="300"/>
      <c r="C438" s="2654"/>
      <c r="D438" s="2654"/>
      <c r="E438" s="2654"/>
      <c r="F438" s="2654"/>
      <c r="G438" s="2654"/>
      <c r="H438" s="2654"/>
      <c r="O438" s="40"/>
      <c r="P438" s="439"/>
      <c r="V438" s="36"/>
      <c r="W438" s="774"/>
      <c r="X438" s="36"/>
      <c r="Z438" s="892"/>
      <c r="AA438" s="892"/>
      <c r="AB438" s="892"/>
      <c r="AC438" s="892"/>
      <c r="AD438" s="892"/>
      <c r="AE438" s="892"/>
      <c r="AF438" s="892"/>
      <c r="AG438" s="892"/>
    </row>
    <row r="439" spans="1:33" ht="12" customHeight="1">
      <c r="A439" s="47"/>
      <c r="B439" s="1398" t="s">
        <v>1178</v>
      </c>
      <c r="C439" s="783" t="s">
        <v>4012</v>
      </c>
      <c r="E439" s="783"/>
      <c r="F439" s="783"/>
      <c r="G439" s="783"/>
      <c r="J439" s="42"/>
      <c r="K439" s="783"/>
      <c r="L439" s="783"/>
      <c r="M439" s="42"/>
      <c r="N439" s="439"/>
      <c r="P439" s="439"/>
      <c r="Q439" s="439"/>
    </row>
    <row r="440" spans="1:33" ht="12" customHeight="1">
      <c r="A440" s="47"/>
      <c r="B440" s="418"/>
      <c r="C440" s="783" t="s">
        <v>6499</v>
      </c>
      <c r="D440" s="146"/>
      <c r="E440" s="783"/>
      <c r="F440" s="783"/>
      <c r="L440" s="783"/>
      <c r="M440" s="783"/>
      <c r="O440" s="439" t="s">
        <v>2325</v>
      </c>
      <c r="P440" s="2493" t="s">
        <v>1691</v>
      </c>
      <c r="Q440" s="2956" t="s">
        <v>1691</v>
      </c>
    </row>
    <row r="441" spans="1:33" ht="12" customHeight="1">
      <c r="A441" s="42"/>
      <c r="B441" s="146"/>
      <c r="D441" s="3997" t="s">
        <v>6500</v>
      </c>
      <c r="E441" s="1274" t="s">
        <v>2348</v>
      </c>
      <c r="F441" s="418" t="s">
        <v>3427</v>
      </c>
      <c r="G441" s="3993"/>
      <c r="H441" s="3994"/>
      <c r="I441" s="3994"/>
      <c r="J441" s="3994"/>
      <c r="K441" s="3995"/>
      <c r="L441" s="1274"/>
    </row>
    <row r="442" spans="1:33" ht="12" customHeight="1">
      <c r="B442" s="146"/>
      <c r="D442" s="3997"/>
      <c r="E442" s="1274" t="s">
        <v>4140</v>
      </c>
      <c r="F442" s="418" t="s">
        <v>4141</v>
      </c>
      <c r="G442" s="4037" t="s">
        <v>3335</v>
      </c>
      <c r="H442" s="4038"/>
      <c r="I442" s="4039"/>
      <c r="J442" s="418" t="s">
        <v>3967</v>
      </c>
      <c r="K442" s="146"/>
      <c r="M442" s="3993"/>
      <c r="N442" s="3994"/>
      <c r="O442" s="3994"/>
      <c r="P442" s="3994"/>
      <c r="Q442" s="3995"/>
    </row>
    <row r="443" spans="1:33" ht="12" customHeight="1">
      <c r="A443" s="42"/>
      <c r="B443" s="146"/>
      <c r="C443" s="418" t="s">
        <v>6498</v>
      </c>
      <c r="D443" s="146"/>
      <c r="E443" s="783"/>
      <c r="F443" s="783"/>
      <c r="G443" s="783"/>
      <c r="H443" s="783"/>
      <c r="I443" s="783"/>
      <c r="J443" s="783"/>
      <c r="K443" s="783"/>
      <c r="L443" s="783"/>
      <c r="M443" s="783"/>
      <c r="N443" s="783"/>
      <c r="O443" s="783"/>
      <c r="P443" s="783"/>
      <c r="Q443" s="783"/>
    </row>
    <row r="444" spans="1:33" ht="44.45" customHeight="1">
      <c r="B444" s="3988" t="s">
        <v>931</v>
      </c>
      <c r="C444" s="3989"/>
      <c r="D444" s="3989"/>
      <c r="E444" s="3989"/>
      <c r="F444" s="3989"/>
      <c r="G444" s="3989"/>
      <c r="H444" s="3989"/>
      <c r="I444" s="3989"/>
      <c r="J444" s="3989"/>
      <c r="K444" s="3989"/>
      <c r="L444" s="3989"/>
      <c r="M444" s="3989"/>
      <c r="N444" s="3989"/>
      <c r="O444" s="3989"/>
      <c r="P444" s="3989"/>
      <c r="Q444" s="3990"/>
      <c r="R444" s="427" t="s">
        <v>3963</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1896</v>
      </c>
      <c r="B446" s="3996" t="s">
        <v>4240</v>
      </c>
      <c r="C446" s="3971"/>
      <c r="D446" s="3971"/>
      <c r="E446" s="3971"/>
      <c r="F446" s="3971"/>
      <c r="G446" s="3971"/>
      <c r="H446" s="3971"/>
      <c r="I446" s="3971"/>
      <c r="J446" s="3971"/>
      <c r="K446" s="3971"/>
      <c r="L446" s="3971"/>
      <c r="M446" s="3971"/>
      <c r="N446" s="3971"/>
      <c r="T446" s="443"/>
      <c r="AE446" s="443"/>
      <c r="AF446" s="443"/>
    </row>
    <row r="447" spans="1:33" s="146" customFormat="1" ht="12" customHeight="1">
      <c r="A447" s="140"/>
      <c r="B447" s="773" t="s">
        <v>4144</v>
      </c>
      <c r="C447" s="2654"/>
      <c r="D447" s="2654"/>
      <c r="E447" s="2654"/>
      <c r="F447" s="2654"/>
      <c r="G447" s="2654"/>
      <c r="H447" s="2654"/>
      <c r="I447" s="2654"/>
      <c r="J447" s="2654"/>
      <c r="K447" s="2654"/>
      <c r="L447" s="2654"/>
      <c r="M447" s="2654"/>
      <c r="N447" s="2654"/>
      <c r="T447" s="443"/>
      <c r="AE447" s="443"/>
      <c r="AF447" s="443"/>
    </row>
    <row r="448" spans="1:33" s="146" customFormat="1" ht="48" customHeight="1">
      <c r="B448" s="3971" t="s">
        <v>4145</v>
      </c>
      <c r="C448" s="3971"/>
      <c r="D448" s="3971"/>
      <c r="E448" s="3971"/>
      <c r="F448" s="3971"/>
      <c r="G448" s="3971"/>
      <c r="H448" s="3971"/>
      <c r="I448" s="3971"/>
      <c r="J448" s="3971"/>
      <c r="K448" s="3971"/>
      <c r="L448" s="3971"/>
      <c r="M448" s="3971"/>
      <c r="N448" s="3971"/>
      <c r="O448" s="159" t="s">
        <v>1896</v>
      </c>
      <c r="P448" s="2507"/>
      <c r="Q448" s="2974"/>
      <c r="T448" s="443"/>
      <c r="AE448" s="443"/>
      <c r="AF448" s="443"/>
    </row>
    <row r="449" spans="1:32" ht="12" customHeight="1">
      <c r="B449" s="139" t="s">
        <v>3373</v>
      </c>
      <c r="D449" s="139"/>
      <c r="E449" s="139"/>
      <c r="F449" s="139"/>
      <c r="G449" s="139"/>
      <c r="H449" s="40"/>
      <c r="I449" s="2667"/>
      <c r="J449" s="2667"/>
      <c r="K449" s="2667"/>
    </row>
    <row r="450" spans="1:32" ht="33.6" customHeight="1">
      <c r="A450" s="3966" t="s">
        <v>6922</v>
      </c>
      <c r="B450" s="3967"/>
      <c r="C450" s="3967"/>
      <c r="D450" s="3967"/>
      <c r="E450" s="3967"/>
      <c r="F450" s="3967"/>
      <c r="G450" s="3967"/>
      <c r="H450" s="3967"/>
      <c r="I450" s="3967"/>
      <c r="J450" s="3967"/>
      <c r="K450" s="3967"/>
      <c r="L450" s="3967"/>
      <c r="M450" s="3967"/>
      <c r="N450" s="3967"/>
      <c r="O450" s="3967"/>
      <c r="P450" s="3967"/>
      <c r="Q450" s="3968"/>
      <c r="U450" s="134"/>
      <c r="V450" s="134"/>
      <c r="W450" s="134"/>
      <c r="X450" s="134"/>
      <c r="Y450" s="134"/>
      <c r="Z450" s="134"/>
      <c r="AA450" s="134"/>
      <c r="AB450" s="134"/>
      <c r="AC450" s="134"/>
      <c r="AD450" s="134"/>
      <c r="AE450" s="441"/>
    </row>
    <row r="451" spans="1:32" ht="12" customHeight="1">
      <c r="B451" s="135" t="s">
        <v>1781</v>
      </c>
      <c r="C451" s="136"/>
      <c r="D451" s="2654"/>
      <c r="E451" s="2654"/>
      <c r="F451" s="2654"/>
      <c r="G451" s="2654"/>
      <c r="H451" s="2654"/>
      <c r="I451" s="2654"/>
      <c r="J451" s="2654"/>
      <c r="K451" s="2654"/>
      <c r="L451" s="2654"/>
      <c r="M451" s="2654"/>
      <c r="N451" s="2654"/>
      <c r="O451" s="2654"/>
      <c r="P451" s="2654"/>
      <c r="Q451" s="2654"/>
    </row>
    <row r="452" spans="1:32" ht="33.6" customHeight="1">
      <c r="A452" s="3960"/>
      <c r="B452" s="3961"/>
      <c r="C452" s="3961"/>
      <c r="D452" s="3961"/>
      <c r="E452" s="3961"/>
      <c r="F452" s="3961"/>
      <c r="G452" s="3961"/>
      <c r="H452" s="3961"/>
      <c r="I452" s="3961"/>
      <c r="J452" s="3961"/>
      <c r="K452" s="3961"/>
      <c r="L452" s="3961"/>
      <c r="M452" s="3961"/>
      <c r="N452" s="3961"/>
      <c r="O452" s="3961"/>
      <c r="P452" s="3961"/>
      <c r="Q452" s="3962"/>
    </row>
    <row r="453" spans="1:32" ht="3" customHeight="1">
      <c r="A453" s="1401"/>
      <c r="B453" s="2667"/>
      <c r="C453" s="2654"/>
      <c r="D453" s="2654"/>
      <c r="E453" s="2654"/>
      <c r="F453" s="2654"/>
      <c r="G453" s="2654"/>
      <c r="H453" s="2654"/>
      <c r="I453" s="2654"/>
      <c r="J453" s="2654"/>
      <c r="K453" s="2654"/>
      <c r="L453" s="2654"/>
      <c r="M453" s="2654"/>
      <c r="Q453" s="782"/>
    </row>
    <row r="454" spans="1:32" ht="14.1" customHeight="1">
      <c r="A454" s="2648" t="s">
        <v>3533</v>
      </c>
      <c r="B454" s="4" t="s">
        <v>2620</v>
      </c>
      <c r="C454" s="4"/>
      <c r="D454" s="86"/>
      <c r="E454" s="2654"/>
      <c r="F454" s="2654"/>
      <c r="G454" s="2654"/>
      <c r="H454" s="2654"/>
      <c r="O454" s="130" t="s">
        <v>1782</v>
      </c>
      <c r="P454" s="3969"/>
      <c r="Q454" s="3970"/>
    </row>
    <row r="455" spans="1:32" ht="14.1" customHeight="1">
      <c r="B455" s="86" t="s">
        <v>4084</v>
      </c>
      <c r="C455" s="4"/>
      <c r="D455" s="86"/>
      <c r="E455" s="2654"/>
      <c r="F455" s="2654"/>
      <c r="G455" s="2654"/>
      <c r="H455" s="2654"/>
    </row>
    <row r="456" spans="1:32" s="131" customFormat="1" ht="21.75" customHeight="1">
      <c r="A456" s="140" t="s">
        <v>1894</v>
      </c>
      <c r="B456" s="3958" t="s">
        <v>3457</v>
      </c>
      <c r="C456" s="3958"/>
      <c r="D456" s="3958"/>
      <c r="E456" s="3958"/>
      <c r="F456" s="3958"/>
      <c r="G456" s="3958"/>
      <c r="H456" s="3958"/>
      <c r="I456" s="3958"/>
      <c r="J456" s="3958"/>
      <c r="K456" s="3958"/>
      <c r="L456" s="3958"/>
      <c r="M456" s="3958"/>
      <c r="N456" s="3958"/>
      <c r="O456" s="159" t="s">
        <v>1894</v>
      </c>
      <c r="P456" s="2502" t="s">
        <v>6902</v>
      </c>
      <c r="Q456" s="2968"/>
      <c r="AE456" s="442"/>
      <c r="AF456" s="442"/>
    </row>
    <row r="457" spans="1:32" s="131" customFormat="1" ht="22.5" customHeight="1">
      <c r="A457" s="140" t="s">
        <v>1896</v>
      </c>
      <c r="B457" s="3958" t="s">
        <v>3456</v>
      </c>
      <c r="C457" s="3958"/>
      <c r="D457" s="3958"/>
      <c r="E457" s="3958"/>
      <c r="F457" s="3958"/>
      <c r="G457" s="3958"/>
      <c r="H457" s="3958"/>
      <c r="I457" s="3958"/>
      <c r="J457" s="3958"/>
      <c r="K457" s="3958"/>
      <c r="L457" s="3958"/>
      <c r="M457" s="3958"/>
      <c r="N457" s="3958"/>
      <c r="O457" s="159" t="s">
        <v>1896</v>
      </c>
      <c r="P457" s="2665" t="s">
        <v>6902</v>
      </c>
      <c r="Q457" s="2961"/>
      <c r="AE457" s="442"/>
      <c r="AF457" s="442"/>
    </row>
    <row r="458" spans="1:32" s="131" customFormat="1" ht="22.5" customHeight="1">
      <c r="B458" s="1305" t="s">
        <v>1658</v>
      </c>
      <c r="C458" s="3958" t="s">
        <v>4050</v>
      </c>
      <c r="D458" s="3958"/>
      <c r="E458" s="3958"/>
      <c r="F458" s="3958"/>
      <c r="G458" s="3958"/>
      <c r="H458" s="3958"/>
      <c r="I458" s="3958"/>
      <c r="J458" s="3958"/>
      <c r="K458" s="3958"/>
      <c r="L458" s="3958"/>
      <c r="M458" s="3958"/>
      <c r="N458" s="3958"/>
      <c r="O458" s="159" t="s">
        <v>1658</v>
      </c>
      <c r="P458" s="2665" t="s">
        <v>6902</v>
      </c>
      <c r="Q458" s="2961"/>
      <c r="AE458" s="442"/>
      <c r="AF458" s="442"/>
    </row>
    <row r="459" spans="1:32" s="42" customFormat="1" ht="12" customHeight="1">
      <c r="B459" s="1305" t="s">
        <v>1659</v>
      </c>
      <c r="C459" s="36" t="s">
        <v>4051</v>
      </c>
      <c r="D459" s="963"/>
      <c r="E459" s="963"/>
      <c r="F459" s="963"/>
      <c r="G459" s="963"/>
      <c r="H459" s="963"/>
      <c r="I459" s="963"/>
      <c r="J459" s="963"/>
      <c r="K459" s="963"/>
      <c r="L459" s="963"/>
      <c r="M459" s="963"/>
      <c r="N459" s="963"/>
      <c r="O459" s="439" t="s">
        <v>1659</v>
      </c>
      <c r="P459" s="2665" t="s">
        <v>6902</v>
      </c>
      <c r="Q459" s="2954"/>
      <c r="AE459" s="50"/>
      <c r="AF459" s="50"/>
    </row>
    <row r="460" spans="1:32" s="131" customFormat="1" ht="33" customHeight="1">
      <c r="B460" s="451" t="s">
        <v>1660</v>
      </c>
      <c r="C460" s="3958" t="s">
        <v>4052</v>
      </c>
      <c r="D460" s="3958"/>
      <c r="E460" s="3958"/>
      <c r="F460" s="3958"/>
      <c r="G460" s="3958"/>
      <c r="H460" s="3958"/>
      <c r="I460" s="3958"/>
      <c r="J460" s="3958"/>
      <c r="K460" s="3958"/>
      <c r="L460" s="3958"/>
      <c r="M460" s="3958"/>
      <c r="N460" s="3958"/>
      <c r="O460" s="159" t="s">
        <v>1660</v>
      </c>
      <c r="P460" s="2665" t="s">
        <v>6902</v>
      </c>
      <c r="Q460" s="2961"/>
      <c r="AE460" s="442"/>
      <c r="AF460" s="442"/>
    </row>
    <row r="461" spans="1:32" s="131" customFormat="1" ht="22.5" customHeight="1">
      <c r="B461" s="451" t="s">
        <v>2261</v>
      </c>
      <c r="C461" s="3958" t="s">
        <v>4053</v>
      </c>
      <c r="D461" s="3958"/>
      <c r="E461" s="3958"/>
      <c r="F461" s="3958"/>
      <c r="G461" s="3958"/>
      <c r="H461" s="3958"/>
      <c r="I461" s="3958"/>
      <c r="J461" s="3958"/>
      <c r="K461" s="3958"/>
      <c r="L461" s="3958"/>
      <c r="M461" s="3958"/>
      <c r="N461" s="3958"/>
      <c r="O461" s="159" t="s">
        <v>2261</v>
      </c>
      <c r="P461" s="2665" t="s">
        <v>6902</v>
      </c>
      <c r="Q461" s="2961"/>
      <c r="AE461" s="442"/>
      <c r="AF461" s="442"/>
    </row>
    <row r="462" spans="1:32" s="131" customFormat="1" ht="22.5" customHeight="1">
      <c r="A462" s="140" t="s">
        <v>719</v>
      </c>
      <c r="B462" s="3958" t="s">
        <v>3458</v>
      </c>
      <c r="C462" s="3958"/>
      <c r="D462" s="3958"/>
      <c r="E462" s="3958"/>
      <c r="F462" s="3958"/>
      <c r="G462" s="3958"/>
      <c r="H462" s="3958"/>
      <c r="I462" s="3958"/>
      <c r="J462" s="3958"/>
      <c r="K462" s="3958"/>
      <c r="L462" s="3958"/>
      <c r="M462" s="3958"/>
      <c r="N462" s="3958"/>
      <c r="O462" s="159" t="s">
        <v>719</v>
      </c>
      <c r="P462" s="2665" t="s">
        <v>6902</v>
      </c>
      <c r="Q462" s="2961"/>
      <c r="AE462" s="442"/>
      <c r="AF462" s="442"/>
    </row>
    <row r="463" spans="1:32" s="131" customFormat="1" ht="22.5" customHeight="1">
      <c r="A463" s="140" t="s">
        <v>2022</v>
      </c>
      <c r="B463" s="3958" t="s">
        <v>4111</v>
      </c>
      <c r="C463" s="3958"/>
      <c r="D463" s="3958"/>
      <c r="E463" s="3958"/>
      <c r="F463" s="3958"/>
      <c r="G463" s="3958"/>
      <c r="H463" s="3958"/>
      <c r="I463" s="3958"/>
      <c r="J463" s="3958"/>
      <c r="K463" s="3958"/>
      <c r="L463" s="3958"/>
      <c r="M463" s="3958"/>
      <c r="N463" s="3958"/>
      <c r="O463" s="159" t="s">
        <v>2022</v>
      </c>
      <c r="P463" s="2665" t="s">
        <v>6902</v>
      </c>
      <c r="Q463" s="2961"/>
      <c r="AE463" s="442"/>
      <c r="AF463" s="442"/>
    </row>
    <row r="464" spans="1:32" s="131" customFormat="1" ht="21.75" customHeight="1">
      <c r="A464" s="140" t="s">
        <v>1656</v>
      </c>
      <c r="B464" s="3958" t="s">
        <v>4112</v>
      </c>
      <c r="C464" s="3958"/>
      <c r="D464" s="3958"/>
      <c r="E464" s="3958"/>
      <c r="F464" s="3958"/>
      <c r="G464" s="3958"/>
      <c r="H464" s="3958"/>
      <c r="I464" s="3958"/>
      <c r="J464" s="3958"/>
      <c r="K464" s="3958"/>
      <c r="L464" s="3958"/>
      <c r="M464" s="3958"/>
      <c r="N464" s="3958"/>
      <c r="O464" s="159" t="s">
        <v>1656</v>
      </c>
      <c r="P464" s="2665" t="s">
        <v>6902</v>
      </c>
      <c r="Q464" s="2961"/>
      <c r="AE464" s="442"/>
      <c r="AF464" s="442"/>
    </row>
    <row r="465" spans="1:32" s="403" customFormat="1" ht="21.75" customHeight="1">
      <c r="A465" s="140" t="s">
        <v>1657</v>
      </c>
      <c r="B465" s="3958" t="s">
        <v>4155</v>
      </c>
      <c r="C465" s="3958"/>
      <c r="D465" s="3958"/>
      <c r="E465" s="3958"/>
      <c r="F465" s="3958"/>
      <c r="G465" s="3958"/>
      <c r="H465" s="3958"/>
      <c r="I465" s="3958"/>
      <c r="J465" s="3958"/>
      <c r="K465" s="3958"/>
      <c r="L465" s="3958"/>
      <c r="M465" s="3958"/>
      <c r="N465" s="3958"/>
      <c r="O465" s="159" t="s">
        <v>1657</v>
      </c>
      <c r="P465" s="2666" t="s">
        <v>6902</v>
      </c>
      <c r="Q465" s="2963"/>
      <c r="AE465" s="444"/>
      <c r="AF465" s="444"/>
    </row>
    <row r="466" spans="1:32" ht="11.25" customHeight="1">
      <c r="B466" s="139" t="s">
        <v>3373</v>
      </c>
      <c r="D466" s="139"/>
      <c r="E466" s="139"/>
      <c r="F466" s="139"/>
      <c r="G466" s="139"/>
      <c r="H466" s="40"/>
      <c r="I466" s="2667"/>
      <c r="J466" s="2667"/>
      <c r="K466" s="2667"/>
      <c r="L466" s="1401"/>
      <c r="M466" s="1401"/>
      <c r="N466" s="1401"/>
      <c r="O466" s="1401"/>
      <c r="P466" s="1401"/>
      <c r="Q466" s="782"/>
    </row>
    <row r="467" spans="1:32" ht="12.75" customHeight="1">
      <c r="A467" s="3966" t="s">
        <v>6923</v>
      </c>
      <c r="B467" s="3967"/>
      <c r="C467" s="3967"/>
      <c r="D467" s="3967"/>
      <c r="E467" s="3967"/>
      <c r="F467" s="3967"/>
      <c r="G467" s="3967"/>
      <c r="H467" s="3967"/>
      <c r="I467" s="3967"/>
      <c r="J467" s="3967"/>
      <c r="K467" s="3967"/>
      <c r="L467" s="3967"/>
      <c r="M467" s="3967"/>
      <c r="N467" s="3967"/>
      <c r="O467" s="3967"/>
      <c r="P467" s="3967"/>
      <c r="Q467" s="3968"/>
      <c r="R467" s="427" t="s">
        <v>1208</v>
      </c>
      <c r="S467" s="428"/>
      <c r="U467" s="134"/>
      <c r="V467" s="134"/>
      <c r="W467" s="134"/>
      <c r="X467" s="134"/>
      <c r="Y467" s="134"/>
      <c r="Z467" s="134"/>
      <c r="AA467" s="134"/>
      <c r="AB467" s="134"/>
      <c r="AC467" s="134"/>
      <c r="AD467" s="134"/>
      <c r="AE467" s="441"/>
    </row>
    <row r="468" spans="1:32" ht="11.25" customHeight="1">
      <c r="B468" s="135" t="s">
        <v>1781</v>
      </c>
      <c r="C468" s="136"/>
      <c r="D468" s="2654"/>
      <c r="E468" s="2654"/>
      <c r="F468" s="2654"/>
      <c r="G468" s="2654"/>
      <c r="H468" s="2654"/>
      <c r="I468" s="2654"/>
      <c r="J468" s="2654"/>
      <c r="K468" s="2654"/>
      <c r="L468" s="2654"/>
      <c r="M468" s="2654"/>
      <c r="N468" s="2654"/>
      <c r="O468" s="2654"/>
      <c r="P468" s="2654"/>
      <c r="Q468" s="2654"/>
    </row>
    <row r="469" spans="1:32" ht="12.75" customHeight="1">
      <c r="A469" s="3960"/>
      <c r="B469" s="3961"/>
      <c r="C469" s="3961"/>
      <c r="D469" s="3961"/>
      <c r="E469" s="3961"/>
      <c r="F469" s="3961"/>
      <c r="G469" s="3961"/>
      <c r="H469" s="3961"/>
      <c r="I469" s="3961"/>
      <c r="J469" s="3961"/>
      <c r="K469" s="3961"/>
      <c r="L469" s="3961"/>
      <c r="M469" s="3961"/>
      <c r="N469" s="3961"/>
      <c r="O469" s="3961"/>
      <c r="P469" s="3961"/>
      <c r="Q469" s="3962"/>
    </row>
    <row r="470" spans="1:32" ht="3" customHeight="1">
      <c r="A470" s="1401"/>
      <c r="B470" s="2667"/>
      <c r="C470" s="2654"/>
      <c r="D470" s="2654"/>
      <c r="E470" s="2654"/>
      <c r="F470" s="2654"/>
      <c r="G470" s="2654"/>
      <c r="H470" s="2654"/>
      <c r="I470" s="2654"/>
      <c r="J470" s="2654"/>
      <c r="K470" s="2654"/>
      <c r="L470" s="2654"/>
      <c r="M470" s="2654"/>
      <c r="Q470" s="782"/>
    </row>
    <row r="471" spans="1:32" ht="14.1" customHeight="1">
      <c r="A471" s="2648" t="s">
        <v>3968</v>
      </c>
      <c r="B471" s="4"/>
      <c r="C471" s="4" t="s">
        <v>2526</v>
      </c>
      <c r="D471" s="86"/>
      <c r="E471" s="2654"/>
      <c r="F471" s="2654"/>
      <c r="G471" s="2654"/>
      <c r="H471" s="2654"/>
      <c r="J471" s="2654"/>
      <c r="K471" s="2654"/>
      <c r="L471" s="2654"/>
      <c r="M471" s="2654"/>
      <c r="O471" s="130" t="s">
        <v>1782</v>
      </c>
      <c r="P471" s="3969"/>
      <c r="Q471" s="3970"/>
    </row>
    <row r="472" spans="1:32" ht="11.25" customHeight="1">
      <c r="A472" s="2648"/>
      <c r="B472" s="139" t="s">
        <v>3373</v>
      </c>
      <c r="D472" s="139"/>
      <c r="E472" s="139"/>
      <c r="F472" s="139"/>
      <c r="G472" s="139"/>
      <c r="H472" s="40"/>
      <c r="I472" s="2667"/>
      <c r="J472" s="2667"/>
      <c r="K472" s="2667"/>
      <c r="L472" s="1401"/>
      <c r="M472" s="1401"/>
      <c r="N472" s="1401"/>
      <c r="O472" s="1401"/>
      <c r="P472" s="1401"/>
      <c r="Q472" s="782"/>
    </row>
    <row r="473" spans="1:32" ht="27.95" customHeight="1">
      <c r="A473" s="3966" t="s">
        <v>6924</v>
      </c>
      <c r="B473" s="3967"/>
      <c r="C473" s="3967"/>
      <c r="D473" s="3967"/>
      <c r="E473" s="3967"/>
      <c r="F473" s="3967"/>
      <c r="G473" s="3967"/>
      <c r="H473" s="3967"/>
      <c r="I473" s="3967"/>
      <c r="J473" s="3967"/>
      <c r="K473" s="3967"/>
      <c r="L473" s="3967"/>
      <c r="M473" s="3967"/>
      <c r="N473" s="3967"/>
      <c r="O473" s="3967"/>
      <c r="P473" s="3967"/>
      <c r="Q473" s="3968"/>
      <c r="R473" s="427" t="s">
        <v>1208</v>
      </c>
      <c r="S473" s="428"/>
      <c r="U473" s="134"/>
      <c r="V473" s="134"/>
      <c r="W473" s="134"/>
      <c r="X473" s="134"/>
      <c r="Y473" s="134"/>
      <c r="Z473" s="134"/>
      <c r="AA473" s="134"/>
      <c r="AB473" s="134"/>
      <c r="AC473" s="134"/>
      <c r="AD473" s="134"/>
      <c r="AE473" s="441"/>
    </row>
    <row r="474" spans="1:32" ht="11.25" customHeight="1">
      <c r="B474" s="135" t="s">
        <v>1781</v>
      </c>
      <c r="C474" s="136"/>
      <c r="D474" s="2654"/>
      <c r="E474" s="2654"/>
      <c r="F474" s="2654"/>
      <c r="G474" s="2654"/>
      <c r="H474" s="2654"/>
      <c r="I474" s="2654"/>
      <c r="J474" s="2654"/>
      <c r="K474" s="2654"/>
      <c r="L474" s="2654"/>
      <c r="M474" s="2654"/>
      <c r="N474" s="2654"/>
      <c r="O474" s="2654"/>
      <c r="P474" s="2654"/>
      <c r="Q474" s="2654"/>
    </row>
    <row r="475" spans="1:32" ht="12" customHeight="1">
      <c r="A475" s="3960"/>
      <c r="B475" s="3961"/>
      <c r="C475" s="3961"/>
      <c r="D475" s="3961"/>
      <c r="E475" s="3961"/>
      <c r="F475" s="3961"/>
      <c r="G475" s="3961"/>
      <c r="H475" s="3961"/>
      <c r="I475" s="3961"/>
      <c r="J475" s="3961"/>
      <c r="K475" s="3961"/>
      <c r="L475" s="3961"/>
      <c r="M475" s="3961"/>
      <c r="N475" s="3961"/>
      <c r="O475" s="3961"/>
      <c r="P475" s="3961"/>
      <c r="Q475" s="3962"/>
    </row>
    <row r="476" spans="1:32" ht="3" customHeight="1">
      <c r="A476" s="1401"/>
      <c r="B476" s="2667"/>
      <c r="C476" s="2654"/>
      <c r="D476" s="2654"/>
      <c r="E476" s="2654"/>
      <c r="F476" s="2654"/>
      <c r="G476" s="2654"/>
      <c r="H476" s="2654"/>
      <c r="I476" s="2654"/>
      <c r="J476" s="2654"/>
      <c r="K476" s="2654"/>
      <c r="L476" s="2654"/>
      <c r="M476" s="2654"/>
      <c r="N476" s="2654"/>
      <c r="O476" s="2654"/>
      <c r="P476" s="2654"/>
      <c r="Q476" s="1401"/>
    </row>
    <row r="477" spans="1:32" ht="3" customHeight="1">
      <c r="A477" s="1401"/>
      <c r="B477" s="2667"/>
      <c r="C477" s="2654"/>
      <c r="D477" s="2654"/>
      <c r="E477" s="2654"/>
      <c r="F477" s="2654"/>
      <c r="G477" s="2654"/>
      <c r="H477" s="2654"/>
      <c r="I477" s="2654"/>
      <c r="J477" s="2654"/>
      <c r="K477" s="2654"/>
      <c r="L477" s="2654"/>
      <c r="M477" s="2654"/>
      <c r="N477" s="2654"/>
      <c r="O477" s="2654"/>
      <c r="P477" s="2654"/>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4252</v>
      </c>
      <c r="P482" s="1822"/>
      <c r="R482" s="418"/>
      <c r="AE482" s="1488"/>
      <c r="AF482" s="1488"/>
    </row>
    <row r="483" spans="1:32" s="913" customFormat="1" ht="11.25">
      <c r="A483" s="418"/>
      <c r="B483" s="418"/>
      <c r="C483" s="1823" t="s">
        <v>1341</v>
      </c>
      <c r="D483" s="912"/>
      <c r="E483" s="912"/>
      <c r="F483" s="912"/>
      <c r="G483" s="912"/>
      <c r="H483" s="912"/>
      <c r="I483" s="912"/>
      <c r="J483" s="1821" t="s">
        <v>2013</v>
      </c>
      <c r="K483" s="912"/>
      <c r="N483" s="914"/>
      <c r="O483" s="1821" t="s">
        <v>4253</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4254</v>
      </c>
      <c r="P484" s="1822"/>
      <c r="R484" s="418"/>
      <c r="AE484" s="1488"/>
      <c r="AF484" s="1488"/>
    </row>
    <row r="485" spans="1:32" s="913" customFormat="1" ht="11.25">
      <c r="A485" s="418"/>
      <c r="B485" s="418"/>
      <c r="C485" s="1824" t="s">
        <v>2040</v>
      </c>
      <c r="D485" s="912"/>
      <c r="E485" s="912"/>
      <c r="F485" s="912"/>
      <c r="G485" s="912"/>
      <c r="H485" s="912"/>
      <c r="I485" s="912"/>
      <c r="J485" s="1821" t="s">
        <v>1148</v>
      </c>
      <c r="K485" s="912"/>
      <c r="N485" s="914"/>
      <c r="O485" s="1821" t="s">
        <v>4258</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4255</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4256</v>
      </c>
      <c r="P487" s="1822"/>
      <c r="R487" s="418"/>
      <c r="AE487" s="1488"/>
      <c r="AF487" s="1488"/>
    </row>
    <row r="488" spans="1:32" s="913" customFormat="1" ht="11.25">
      <c r="A488" s="418"/>
      <c r="B488" s="418"/>
      <c r="C488" s="1823" t="s">
        <v>2035</v>
      </c>
      <c r="D488" s="912"/>
      <c r="E488" s="912"/>
      <c r="F488" s="912"/>
      <c r="G488" s="912"/>
      <c r="H488" s="912"/>
      <c r="I488" s="912"/>
      <c r="J488" s="1821" t="s">
        <v>1143</v>
      </c>
      <c r="K488" s="912"/>
      <c r="N488" s="914"/>
      <c r="O488" s="1821" t="s">
        <v>4257</v>
      </c>
      <c r="P488" s="1822"/>
      <c r="R488" s="418"/>
      <c r="AE488" s="1488"/>
      <c r="AF488" s="1488"/>
    </row>
    <row r="489" spans="1:32" s="913" customFormat="1" ht="11.25">
      <c r="A489" s="418"/>
      <c r="B489" s="418"/>
      <c r="C489" s="1823" t="s">
        <v>2036</v>
      </c>
      <c r="D489" s="912"/>
      <c r="E489" s="912"/>
      <c r="F489" s="912"/>
      <c r="G489" s="912"/>
      <c r="H489" s="912"/>
      <c r="I489" s="912"/>
      <c r="J489" s="1821" t="s">
        <v>1142</v>
      </c>
      <c r="N489" s="914"/>
      <c r="O489" s="913" t="s">
        <v>3414</v>
      </c>
      <c r="P489" s="1822"/>
      <c r="R489" s="418"/>
      <c r="AE489" s="1488"/>
      <c r="AF489" s="1488"/>
    </row>
    <row r="490" spans="1:32" s="913" customFormat="1" ht="11.25">
      <c r="A490" s="418"/>
      <c r="B490" s="418"/>
      <c r="C490" s="1823" t="s">
        <v>2037</v>
      </c>
      <c r="J490" s="1821" t="s">
        <v>1647</v>
      </c>
      <c r="N490" s="914"/>
      <c r="O490" s="913" t="s">
        <v>3415</v>
      </c>
      <c r="P490" s="1822"/>
      <c r="R490" s="418"/>
      <c r="AE490" s="1488"/>
      <c r="AF490" s="1488"/>
    </row>
    <row r="491" spans="1:32" s="913" customFormat="1" ht="11.25">
      <c r="A491" s="418"/>
      <c r="B491" s="418"/>
      <c r="C491" s="1823" t="s">
        <v>2038</v>
      </c>
      <c r="J491" s="1821" t="s">
        <v>1587</v>
      </c>
      <c r="N491" s="914"/>
      <c r="O491" s="1821"/>
      <c r="P491" s="1822"/>
      <c r="R491" s="418"/>
      <c r="AE491" s="1488"/>
      <c r="AF491" s="1488"/>
    </row>
    <row r="492" spans="1:32" s="913" customFormat="1" ht="11.25">
      <c r="A492" s="418"/>
      <c r="B492" s="418"/>
      <c r="C492" s="1823" t="s">
        <v>2039</v>
      </c>
      <c r="J492" s="1821" t="s">
        <v>1579</v>
      </c>
      <c r="N492" s="914"/>
      <c r="O492" s="1822"/>
      <c r="P492" s="1822"/>
      <c r="R492" s="418"/>
      <c r="AE492" s="1488"/>
      <c r="AF492" s="1488"/>
    </row>
    <row r="493" spans="1:32" s="913" customFormat="1" ht="11.25">
      <c r="A493" s="418"/>
      <c r="B493" s="418"/>
      <c r="C493" s="1823" t="s">
        <v>1340</v>
      </c>
      <c r="J493" s="1821" t="s">
        <v>2012</v>
      </c>
      <c r="N493" s="914"/>
      <c r="O493" s="1821"/>
      <c r="P493" s="1822"/>
      <c r="R493" s="418"/>
      <c r="AE493" s="1488"/>
      <c r="AF493" s="1488"/>
    </row>
    <row r="494" spans="1:32" s="913" customFormat="1" ht="11.25">
      <c r="A494" s="418"/>
      <c r="B494" s="418"/>
      <c r="C494" s="1823" t="s">
        <v>2180</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2063</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1792</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2529</v>
      </c>
      <c r="R510" s="55"/>
      <c r="AE510" s="915"/>
      <c r="AF510" s="915"/>
    </row>
    <row r="511" spans="1:32" s="912" customFormat="1" ht="11.25">
      <c r="A511" s="55"/>
      <c r="B511" s="55"/>
      <c r="C511" s="1823" t="s">
        <v>1921</v>
      </c>
      <c r="L511" s="1823"/>
      <c r="R511" s="55"/>
      <c r="AE511" s="915"/>
      <c r="AF511" s="915"/>
    </row>
    <row r="512" spans="1:32" s="912" customFormat="1" ht="11.25">
      <c r="A512" s="55"/>
      <c r="B512" s="55"/>
      <c r="C512" s="915" t="s">
        <v>2530</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2531</v>
      </c>
      <c r="K515" s="912" t="s">
        <v>1043</v>
      </c>
      <c r="L515" s="1823"/>
      <c r="R515" s="55"/>
      <c r="AE515" s="915"/>
      <c r="AF515" s="915"/>
    </row>
    <row r="516" spans="1:32" s="912" customFormat="1" ht="11.25">
      <c r="A516" s="55"/>
      <c r="B516" s="55"/>
      <c r="C516" s="915" t="s">
        <v>2532</v>
      </c>
      <c r="K516" s="912" t="s">
        <v>3382</v>
      </c>
      <c r="R516" s="55"/>
      <c r="AE516" s="915"/>
      <c r="AF516" s="915"/>
    </row>
    <row r="517" spans="1:32" s="912" customFormat="1" ht="11.25">
      <c r="A517" s="55"/>
      <c r="B517" s="55"/>
      <c r="C517" s="1823" t="s">
        <v>1158</v>
      </c>
      <c r="K517" s="912" t="s">
        <v>6463</v>
      </c>
      <c r="R517" s="55"/>
      <c r="AE517" s="915"/>
      <c r="AF517" s="915"/>
    </row>
    <row r="518" spans="1:32" s="912" customFormat="1" ht="11.25">
      <c r="A518" s="55"/>
      <c r="B518" s="55"/>
      <c r="R518" s="55"/>
      <c r="AE518" s="915"/>
      <c r="AF518" s="915"/>
    </row>
    <row r="519" spans="1:32" s="912" customFormat="1" ht="11.25">
      <c r="A519" s="55"/>
      <c r="B519" s="55"/>
      <c r="C519" s="1825" t="s">
        <v>244</v>
      </c>
      <c r="K519" s="1826" t="s">
        <v>2140</v>
      </c>
      <c r="R519" s="55"/>
      <c r="AE519" s="915"/>
      <c r="AF519" s="915"/>
    </row>
    <row r="520" spans="1:32" s="912" customFormat="1" ht="11.25">
      <c r="A520" s="55"/>
      <c r="B520" s="55"/>
      <c r="C520" s="912" t="s">
        <v>1044</v>
      </c>
      <c r="K520" s="912" t="s">
        <v>2224</v>
      </c>
      <c r="R520" s="55"/>
      <c r="AE520" s="915"/>
      <c r="AF520" s="915"/>
    </row>
    <row r="521" spans="1:32" s="912" customFormat="1" ht="11.25">
      <c r="A521" s="55"/>
      <c r="B521" s="55"/>
      <c r="C521" s="912" t="s">
        <v>162</v>
      </c>
      <c r="K521" s="1827" t="s">
        <v>6618</v>
      </c>
      <c r="R521" s="55"/>
      <c r="AE521" s="915"/>
      <c r="AF521" s="915"/>
    </row>
    <row r="522" spans="1:32" s="912" customFormat="1" ht="11.25">
      <c r="A522" s="55"/>
      <c r="B522" s="55"/>
      <c r="C522" s="912" t="s">
        <v>1465</v>
      </c>
      <c r="K522" s="912" t="s">
        <v>6617</v>
      </c>
      <c r="R522" s="55"/>
      <c r="AE522" s="915"/>
      <c r="AF522" s="915"/>
    </row>
    <row r="523" spans="1:32" s="912" customFormat="1" ht="11.25">
      <c r="A523" s="55"/>
      <c r="B523" s="55"/>
      <c r="C523" s="912" t="s">
        <v>2025</v>
      </c>
      <c r="K523" s="912" t="s">
        <v>6464</v>
      </c>
      <c r="R523" s="55"/>
      <c r="AE523" s="915"/>
      <c r="AF523" s="915"/>
    </row>
    <row r="524" spans="1:32" s="912" customFormat="1" ht="11.25">
      <c r="A524" s="55"/>
      <c r="B524" s="55"/>
      <c r="C524" s="912" t="s">
        <v>161</v>
      </c>
      <c r="K524" s="912" t="s">
        <v>6619</v>
      </c>
      <c r="R524" s="55"/>
      <c r="AE524" s="915"/>
      <c r="AF524" s="915"/>
    </row>
    <row r="525" spans="1:32" s="912" customFormat="1" ht="11.25">
      <c r="A525" s="55"/>
      <c r="B525" s="55"/>
      <c r="K525" s="1826" t="s">
        <v>1860</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2264</v>
      </c>
      <c r="R530" s="55"/>
      <c r="AE530" s="915"/>
      <c r="AF530" s="915"/>
    </row>
    <row r="531" spans="1:32" s="912" customFormat="1" ht="11.25">
      <c r="A531" s="55"/>
      <c r="B531" s="55"/>
      <c r="R531" s="55"/>
      <c r="AE531" s="915"/>
      <c r="AF531" s="915"/>
    </row>
    <row r="532" spans="1:32" s="912" customFormat="1" ht="11.25">
      <c r="A532" s="55"/>
      <c r="B532" s="55"/>
      <c r="C532" s="1825" t="s">
        <v>976</v>
      </c>
      <c r="M532" s="1825" t="s">
        <v>4035</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1998</v>
      </c>
      <c r="M534" s="912" t="s">
        <v>4032</v>
      </c>
      <c r="R534" s="55"/>
      <c r="AE534" s="915"/>
      <c r="AF534" s="915"/>
    </row>
    <row r="535" spans="1:32" s="912" customFormat="1" ht="11.25">
      <c r="A535" s="55"/>
      <c r="B535" s="55"/>
      <c r="C535" s="912" t="s">
        <v>2426</v>
      </c>
      <c r="M535" s="912" t="s">
        <v>4063</v>
      </c>
      <c r="R535" s="55"/>
      <c r="AE535" s="915"/>
      <c r="AF535" s="915"/>
    </row>
    <row r="536" spans="1:32" s="912" customFormat="1" ht="11.25">
      <c r="A536" s="55"/>
      <c r="B536" s="55"/>
      <c r="C536" s="912" t="s">
        <v>1999</v>
      </c>
      <c r="M536" s="912" t="s">
        <v>1581</v>
      </c>
      <c r="R536" s="55"/>
      <c r="AE536" s="915"/>
      <c r="AF536" s="915"/>
    </row>
    <row r="537" spans="1:32" s="912" customFormat="1" ht="11.25">
      <c r="A537" s="55"/>
      <c r="B537" s="55"/>
      <c r="C537" s="912" t="s">
        <v>1861</v>
      </c>
      <c r="M537" s="912" t="s">
        <v>4033</v>
      </c>
      <c r="R537" s="55"/>
      <c r="AE537" s="915"/>
      <c r="AF537" s="915"/>
    </row>
    <row r="538" spans="1:32" s="912" customFormat="1" ht="11.25">
      <c r="A538" s="55"/>
      <c r="B538" s="55"/>
      <c r="C538" s="912" t="s">
        <v>561</v>
      </c>
      <c r="M538" s="1827" t="s">
        <v>4092</v>
      </c>
      <c r="R538" s="55"/>
      <c r="AE538" s="915"/>
      <c r="AF538" s="915"/>
    </row>
    <row r="539" spans="1:32" s="912" customFormat="1" ht="11.25">
      <c r="A539" s="55"/>
      <c r="B539" s="55"/>
      <c r="C539" s="912" t="s">
        <v>2101</v>
      </c>
      <c r="M539" s="1827" t="s">
        <v>4093</v>
      </c>
      <c r="R539" s="55"/>
      <c r="AE539" s="915"/>
      <c r="AF539" s="915"/>
    </row>
    <row r="540" spans="1:32" s="912" customFormat="1" ht="11.25">
      <c r="A540" s="55"/>
      <c r="B540" s="55"/>
      <c r="C540" s="1828" t="s">
        <v>30</v>
      </c>
      <c r="M540" s="912" t="s">
        <v>4034</v>
      </c>
      <c r="R540" s="55"/>
      <c r="AE540" s="915"/>
      <c r="AF540" s="915"/>
    </row>
    <row r="541" spans="1:32" s="912" customFormat="1" ht="11.25">
      <c r="A541" s="55"/>
      <c r="B541" s="55"/>
      <c r="M541" s="913" t="s">
        <v>2012</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3394</v>
      </c>
      <c r="R544" s="55"/>
      <c r="AE544" s="915"/>
      <c r="AF544" s="915"/>
    </row>
    <row r="545" spans="1:32" s="912" customFormat="1" ht="11.25">
      <c r="A545" s="55"/>
      <c r="B545" s="55"/>
      <c r="M545" s="912" t="s">
        <v>3485</v>
      </c>
      <c r="R545" s="55"/>
      <c r="AE545" s="915"/>
      <c r="AF545" s="915"/>
    </row>
    <row r="546" spans="1:32" s="912" customFormat="1" ht="11.25">
      <c r="A546" s="55"/>
      <c r="B546" s="55"/>
      <c r="M546" s="912" t="s">
        <v>3480</v>
      </c>
      <c r="R546" s="55"/>
      <c r="AE546" s="915"/>
      <c r="AF546" s="915"/>
    </row>
    <row r="547" spans="1:32" s="912" customFormat="1" ht="11.25">
      <c r="A547" s="55"/>
      <c r="B547" s="55"/>
      <c r="M547" s="912" t="s">
        <v>3387</v>
      </c>
      <c r="R547" s="55"/>
      <c r="AE547" s="915"/>
      <c r="AF547" s="915"/>
    </row>
    <row r="548" spans="1:32" s="912" customFormat="1" ht="11.25">
      <c r="A548" s="55"/>
      <c r="B548" s="55"/>
      <c r="M548" s="912" t="s">
        <v>3476</v>
      </c>
      <c r="R548" s="55"/>
      <c r="AE548" s="915"/>
      <c r="AF548" s="915"/>
    </row>
    <row r="549" spans="1:32" s="912" customFormat="1" ht="11.25">
      <c r="A549" s="55"/>
      <c r="B549" s="55"/>
      <c r="D549" s="1830" t="s">
        <v>1946</v>
      </c>
      <c r="M549" s="912" t="s">
        <v>3388</v>
      </c>
      <c r="R549" s="55"/>
      <c r="AE549" s="915"/>
      <c r="AF549" s="915"/>
    </row>
    <row r="550" spans="1:32" s="912" customFormat="1">
      <c r="A550" s="55"/>
      <c r="B550" s="55"/>
      <c r="J550" s="430"/>
      <c r="M550" s="912" t="s">
        <v>3477</v>
      </c>
      <c r="R550" s="55"/>
      <c r="AE550" s="915"/>
      <c r="AF550" s="915"/>
    </row>
    <row r="551" spans="1:32" s="430" customFormat="1">
      <c r="A551" s="146"/>
      <c r="B551" s="146"/>
      <c r="M551" s="912" t="s">
        <v>3389</v>
      </c>
      <c r="O551" s="912"/>
      <c r="R551" s="146"/>
      <c r="AE551" s="577"/>
      <c r="AF551" s="577"/>
    </row>
    <row r="552" spans="1:32" s="430" customFormat="1">
      <c r="A552" s="146"/>
      <c r="B552" s="146"/>
      <c r="M552" s="912" t="s">
        <v>3478</v>
      </c>
      <c r="R552" s="146"/>
      <c r="AE552" s="577"/>
      <c r="AF552" s="577"/>
    </row>
    <row r="553" spans="1:32" s="430" customFormat="1">
      <c r="A553" s="146"/>
      <c r="B553" s="146"/>
      <c r="M553" s="912" t="s">
        <v>3481</v>
      </c>
      <c r="R553" s="146"/>
      <c r="AE553" s="577"/>
      <c r="AF553" s="577"/>
    </row>
    <row r="554" spans="1:32" s="430" customFormat="1">
      <c r="A554" s="146"/>
      <c r="B554" s="146"/>
      <c r="M554" s="912" t="s">
        <v>3390</v>
      </c>
      <c r="R554" s="146"/>
      <c r="AE554" s="577"/>
      <c r="AF554" s="577"/>
    </row>
    <row r="555" spans="1:32" s="430" customFormat="1">
      <c r="A555" s="146"/>
      <c r="B555" s="146"/>
      <c r="M555" s="912" t="s">
        <v>3391</v>
      </c>
      <c r="R555" s="146"/>
      <c r="AE555" s="577"/>
      <c r="AF555" s="577"/>
    </row>
    <row r="556" spans="1:32" s="430" customFormat="1">
      <c r="A556" s="146"/>
      <c r="B556" s="146"/>
      <c r="M556" s="912" t="s">
        <v>3479</v>
      </c>
      <c r="R556" s="146"/>
      <c r="AE556" s="577"/>
      <c r="AF556" s="577"/>
    </row>
    <row r="557" spans="1:32" s="430" customFormat="1">
      <c r="A557" s="146"/>
      <c r="B557" s="146"/>
      <c r="M557" s="912" t="s">
        <v>3482</v>
      </c>
      <c r="R557" s="146"/>
      <c r="AE557" s="577"/>
      <c r="AF557" s="577"/>
    </row>
    <row r="558" spans="1:32" s="430" customFormat="1">
      <c r="A558" s="146"/>
      <c r="B558" s="146"/>
      <c r="M558" s="912" t="s">
        <v>3483</v>
      </c>
      <c r="R558" s="146"/>
      <c r="AE558" s="577"/>
      <c r="AF558" s="577"/>
    </row>
    <row r="559" spans="1:32" s="430" customFormat="1">
      <c r="A559" s="146"/>
      <c r="B559" s="146"/>
      <c r="M559" s="912" t="s">
        <v>3392</v>
      </c>
      <c r="R559" s="146"/>
      <c r="AE559" s="577"/>
      <c r="AF559" s="577"/>
    </row>
    <row r="560" spans="1:32" s="430" customFormat="1">
      <c r="A560" s="146"/>
      <c r="B560" s="146"/>
      <c r="M560" s="912" t="s">
        <v>3393</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VR3My3CQib0YB/nje/Mumy5O+rKe7PP1eD14yBK+rQRfU+nGeGd6RL88Vmlwh8LaziHpfbSFkWGNYCIr1fxJOA==" saltValue="pLc7WowVrRtrEOgcczsaNw=="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H40" zoomScale="106" zoomScaleNormal="106" workbookViewId="0">
      <selection activeCell="H40"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7" customWidth="1"/>
    <col min="17" max="17" width="6" style="27" customWidth="1"/>
    <col min="18" max="21" width="9.140625" style="27" customWidth="1"/>
    <col min="22" max="22" width="8.85546875" style="27" customWidth="1"/>
    <col min="23" max="16384" width="9.140625" style="27"/>
  </cols>
  <sheetData>
    <row r="1" spans="1:22" s="35" customFormat="1" ht="14.1" customHeight="1">
      <c r="A1" s="3608" t="str">
        <f>CONCATENATE("PART NINE - SCORING CRITERIA","  -  ",'Part I-Project Information'!$O$7," ",'Part I-Project Information'!$F$35,", ",'Part I-Project Information'!F39,", ",'Part I-Project Information'!J40," County")</f>
        <v>PART NINE - SCORING CRITERIA  -  2021-015 The Peaks at Turnberry, Rincon, Effingham County</v>
      </c>
      <c r="B1" s="3609"/>
      <c r="C1" s="3609"/>
      <c r="D1" s="3609"/>
      <c r="E1" s="3609"/>
      <c r="F1" s="3609"/>
      <c r="G1" s="3609"/>
      <c r="H1" s="3609"/>
      <c r="I1" s="3609"/>
      <c r="J1" s="3609"/>
      <c r="K1" s="3609"/>
      <c r="L1" s="3609"/>
      <c r="M1" s="3609"/>
      <c r="N1" s="3609"/>
      <c r="O1" s="3609"/>
      <c r="P1" s="3610"/>
      <c r="Q1" s="1302"/>
      <c r="R1" s="1302"/>
      <c r="S1" s="1302"/>
    </row>
    <row r="2" spans="1:22" s="35" customFormat="1" ht="4.3499999999999996" customHeight="1">
      <c r="A2" s="36"/>
      <c r="B2" s="36"/>
      <c r="C2" s="37"/>
      <c r="D2" s="36"/>
      <c r="E2" s="36"/>
      <c r="F2" s="36"/>
      <c r="G2" s="36"/>
      <c r="H2" s="36"/>
      <c r="I2" s="36"/>
      <c r="J2" s="36"/>
      <c r="K2" s="36"/>
      <c r="L2" s="36"/>
      <c r="M2" s="38"/>
      <c r="N2" s="72"/>
      <c r="O2" s="2651"/>
      <c r="P2" s="2651"/>
      <c r="Q2" s="1302"/>
      <c r="R2" s="1302"/>
      <c r="S2" s="1302"/>
    </row>
    <row r="3" spans="1:22" s="42" customFormat="1" ht="12" customHeight="1">
      <c r="A3" s="4279" t="s">
        <v>4019</v>
      </c>
      <c r="B3" s="4279"/>
      <c r="C3" s="4279"/>
      <c r="D3" s="4279"/>
      <c r="E3" s="4279"/>
      <c r="F3" s="4279"/>
      <c r="G3" s="4279"/>
      <c r="H3" s="4279"/>
      <c r="I3" s="4279"/>
      <c r="J3" s="4279"/>
      <c r="K3" s="4279"/>
      <c r="L3" s="4279"/>
      <c r="M3" s="767"/>
      <c r="N3" s="73"/>
      <c r="O3" s="83" t="s">
        <v>2118</v>
      </c>
      <c r="P3" s="984" t="s">
        <v>245</v>
      </c>
      <c r="Q3" s="1302"/>
      <c r="R3" s="1302"/>
      <c r="S3" s="1302"/>
    </row>
    <row r="4" spans="1:22" s="44" customFormat="1" ht="12" customHeight="1">
      <c r="A4" s="4279"/>
      <c r="B4" s="4279"/>
      <c r="C4" s="4279"/>
      <c r="D4" s="4279"/>
      <c r="E4" s="4279"/>
      <c r="F4" s="4279"/>
      <c r="G4" s="4279"/>
      <c r="H4" s="4279"/>
      <c r="I4" s="4279"/>
      <c r="J4" s="4279"/>
      <c r="K4" s="4279"/>
      <c r="L4" s="4279"/>
      <c r="M4" s="767"/>
      <c r="N4" s="84"/>
      <c r="O4" s="171" t="s">
        <v>2119</v>
      </c>
      <c r="P4" s="171" t="s">
        <v>2119</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06" t="str">
        <f>'Part I-Project Information'!$B$7</f>
        <v>2021 Core App
May 10 Rev</v>
      </c>
      <c r="C6" s="4306"/>
      <c r="D6" s="4306"/>
      <c r="E6" s="4306"/>
      <c r="F6" s="4306"/>
      <c r="G6" s="445"/>
      <c r="H6" s="42"/>
      <c r="I6" s="42"/>
      <c r="J6" s="42"/>
      <c r="L6" s="69" t="s">
        <v>1180</v>
      </c>
      <c r="M6" s="3"/>
      <c r="N6" s="9"/>
      <c r="O6" s="1686">
        <f>O401</f>
        <v>67</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07" t="s">
        <v>6319</v>
      </c>
      <c r="B8" s="4307"/>
      <c r="C8" s="4307"/>
      <c r="D8" s="4014" t="s">
        <v>6320</v>
      </c>
      <c r="E8" s="4014"/>
      <c r="F8" s="4014"/>
      <c r="G8" s="4014"/>
      <c r="H8" s="4014"/>
      <c r="I8" s="4014"/>
      <c r="J8" s="4014"/>
      <c r="K8" s="4014"/>
      <c r="L8" s="4014"/>
      <c r="M8" s="4014"/>
      <c r="O8" s="2521">
        <v>0</v>
      </c>
      <c r="P8" s="2982"/>
      <c r="Q8" s="36" t="s">
        <v>6356</v>
      </c>
      <c r="R8" s="429"/>
      <c r="S8" s="156"/>
    </row>
    <row r="9" spans="1:22" s="42" customFormat="1" ht="12" customHeight="1">
      <c r="A9" s="4307"/>
      <c r="B9" s="4307"/>
      <c r="C9" s="4307"/>
      <c r="D9" s="4014"/>
      <c r="E9" s="4014"/>
      <c r="F9" s="4014"/>
      <c r="G9" s="4014"/>
      <c r="H9" s="4014"/>
      <c r="I9" s="4014"/>
      <c r="J9" s="4014"/>
      <c r="K9" s="4014"/>
      <c r="L9" s="4014"/>
      <c r="M9" s="4014"/>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310" t="s">
        <v>6355</v>
      </c>
      <c r="C11" s="4311"/>
      <c r="D11" s="4311"/>
      <c r="E11" s="4311"/>
      <c r="F11" s="4311"/>
      <c r="G11" s="4311"/>
      <c r="H11" s="4311"/>
      <c r="I11" s="4311"/>
      <c r="J11" s="4311"/>
      <c r="K11" s="4311"/>
      <c r="L11" s="4311"/>
      <c r="M11" s="4311"/>
      <c r="N11" s="4311"/>
      <c r="O11" s="4311"/>
      <c r="P11" s="4312"/>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6371</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6372</v>
      </c>
      <c r="D14" s="52"/>
      <c r="E14" s="52"/>
      <c r="F14" s="52"/>
      <c r="G14" s="66"/>
      <c r="H14" s="170" t="s">
        <v>4008</v>
      </c>
      <c r="I14" s="66"/>
      <c r="J14" s="66"/>
      <c r="K14" s="66"/>
      <c r="L14" s="66"/>
      <c r="M14" s="1265" t="s">
        <v>4007</v>
      </c>
      <c r="N14" s="66"/>
      <c r="O14" s="2521">
        <v>0</v>
      </c>
      <c r="P14" s="1263">
        <f>IF(P16&lt;2,0,IF(AND(P16&gt;1,P16&lt;5),1,IF(P16&gt;4,P16-3)))</f>
        <v>0</v>
      </c>
      <c r="Q14" s="36" t="s">
        <v>6356</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3546</v>
      </c>
      <c r="B16" s="1286" t="s">
        <v>3547</v>
      </c>
      <c r="C16" s="1005"/>
      <c r="D16" s="1005"/>
      <c r="E16" s="840" t="s">
        <v>3554</v>
      </c>
      <c r="F16" s="4303" t="s">
        <v>6828</v>
      </c>
      <c r="G16" s="4303"/>
      <c r="H16" s="4303"/>
      <c r="I16" s="4303"/>
      <c r="J16" s="4303"/>
      <c r="K16" s="4303"/>
      <c r="L16" s="4303"/>
      <c r="M16" s="4303"/>
      <c r="N16" s="4303"/>
      <c r="O16" s="1287" t="s">
        <v>3975</v>
      </c>
      <c r="P16" s="1288">
        <f>SUM(P17:P29)</f>
        <v>0</v>
      </c>
      <c r="Q16" s="4217" t="s">
        <v>4070</v>
      </c>
      <c r="R16" s="4217"/>
      <c r="S16" s="4217"/>
      <c r="T16" s="4217"/>
      <c r="U16" s="4217"/>
      <c r="V16" s="4217"/>
    </row>
    <row r="17" spans="1:33" s="42" customFormat="1" ht="10.5" customHeight="1">
      <c r="A17" s="993" t="s">
        <v>1713</v>
      </c>
      <c r="B17" s="990" t="s">
        <v>3548</v>
      </c>
      <c r="C17" s="991"/>
      <c r="D17" s="992"/>
      <c r="E17" s="1281">
        <f>$O$98</f>
        <v>20</v>
      </c>
      <c r="F17" s="4304" t="str">
        <f>$A$104</f>
        <v xml:space="preserve">Both the pedestrian and vehicular entrance to the proposed development are off of Commerical Drive thus the applicant used 189 Commerical Drive as the starting point for each desirable amenity path. The proposed site is eligble for a total of 25.50 points in this category. Please note that a map showing the site is NOT within a food dessert has been supplied. Additionally, a map showing that a Walmart Supercenter (grocery store) is within 2 miles has also been included. There are multiple parks/recreational centers of various sizes in the area, both of which we have included maps for (McCall Park and Freedom Park). The retail store, Twinkle Twinkle Little Shop, is a resale/consignment store with a variety of good (household items, clothing, etc.). Grace Academy is a private religious based school within a half a mile from the proposed site. We counted this school as a desirable amenity but it was not used in the Quality Education points calculation as it is a private school. There are no undesirable amenities in the area. </v>
      </c>
      <c r="G17" s="4305"/>
      <c r="H17" s="4305"/>
      <c r="I17" s="4305"/>
      <c r="J17" s="4305"/>
      <c r="K17" s="4305"/>
      <c r="L17" s="4305"/>
      <c r="M17" s="4305"/>
      <c r="N17" s="4305"/>
      <c r="O17" s="4305"/>
      <c r="P17" s="2983"/>
      <c r="Q17" s="4217"/>
      <c r="R17" s="4217"/>
      <c r="S17" s="4217"/>
      <c r="T17" s="4217"/>
      <c r="U17" s="4217"/>
      <c r="V17" s="4217"/>
    </row>
    <row r="18" spans="1:33" s="42" customFormat="1" ht="10.5" customHeight="1">
      <c r="A18" s="993" t="s">
        <v>505</v>
      </c>
      <c r="B18" s="841" t="s">
        <v>4244</v>
      </c>
      <c r="C18" s="942"/>
      <c r="D18" s="994"/>
      <c r="E18" s="1282">
        <f>$O$108</f>
        <v>2</v>
      </c>
      <c r="F18" s="4243" t="str">
        <f>$A$142</f>
        <v>Coastal Regional Coaches is part of the regional rural public transit program that provides general public transit service in the Georgia counties of Bryan, Bulloch, Camden, Chatham, Effingham, Glynn, Liberty, Long, McIntosh, and Screven. This service is available to anyone, for any purpose, and to any destination in the coastal region. Fares are very affordable and vary with different itineraries. Coastal Regional Coaches is a demand-response, advance reservation service that operates Monday through Friday from 7:00 A.M. until 5:00 P.M.</v>
      </c>
      <c r="G18" s="4244"/>
      <c r="H18" s="4244"/>
      <c r="I18" s="4244"/>
      <c r="J18" s="4244"/>
      <c r="K18" s="4244"/>
      <c r="L18" s="4244"/>
      <c r="M18" s="4244"/>
      <c r="N18" s="4244"/>
      <c r="O18" s="4245"/>
      <c r="P18" s="2984"/>
      <c r="Q18" s="4254" t="str">
        <f>IF(OR($A$104="",$A$142="",$A$159="",$A$180="",$A$195="",$A$215="",$A$233="",$A$243="",$A$252="",$A$290="",$A$326="",$A$346="",$A$375=""),"Some Applicant Scoring Justification boxes are empty! Check to see if points claimed.","")</f>
        <v/>
      </c>
      <c r="R18" s="4255"/>
      <c r="S18" s="4255"/>
    </row>
    <row r="19" spans="1:33" s="42" customFormat="1" ht="10.5" customHeight="1">
      <c r="A19" s="993" t="s">
        <v>742</v>
      </c>
      <c r="B19" s="841" t="s">
        <v>3487</v>
      </c>
      <c r="C19" s="942"/>
      <c r="D19" s="994"/>
      <c r="E19" s="1282">
        <f>$O$147</f>
        <v>3</v>
      </c>
      <c r="F19" s="4243" t="str">
        <f>$A$159</f>
        <v xml:space="preserve">All three schools (elementary, middle, and high school) that are zoned for the proposed development site score above the CCRPI state average. The backup documentation submitted includes 2018 and 2019 CCRPI scores for each school as well as an applicant supplied chart that proves the two-year averages. We have also included maps proving the correct school for the proposed site. </v>
      </c>
      <c r="G19" s="4244"/>
      <c r="H19" s="4244"/>
      <c r="I19" s="4244"/>
      <c r="J19" s="4244"/>
      <c r="K19" s="4244"/>
      <c r="L19" s="4244"/>
      <c r="M19" s="4244"/>
      <c r="N19" s="4244"/>
      <c r="O19" s="4245"/>
      <c r="P19" s="2984"/>
      <c r="Q19" s="4254"/>
      <c r="R19" s="4255"/>
      <c r="S19" s="4255"/>
    </row>
    <row r="20" spans="1:33" s="42" customFormat="1" ht="10.5" customHeight="1">
      <c r="A20" s="1685" t="s">
        <v>281</v>
      </c>
      <c r="B20" s="841" t="s">
        <v>3549</v>
      </c>
      <c r="C20" s="942"/>
      <c r="D20" s="994"/>
      <c r="E20" s="1283">
        <f>$O$163</f>
        <v>0</v>
      </c>
      <c r="F20" s="4243" t="str">
        <f>$A$180</f>
        <v xml:space="preserve">The applicant is not claiming points for revitalization and does not have a third party capital investment. </v>
      </c>
      <c r="G20" s="4244"/>
      <c r="H20" s="4244"/>
      <c r="I20" s="4244"/>
      <c r="J20" s="4244"/>
      <c r="K20" s="4244"/>
      <c r="L20" s="4244"/>
      <c r="M20" s="4244"/>
      <c r="N20" s="4244"/>
      <c r="O20" s="4245"/>
      <c r="P20" s="2984"/>
      <c r="Q20" s="4254"/>
      <c r="R20" s="4255"/>
      <c r="S20" s="4255"/>
    </row>
    <row r="21" spans="1:33" s="42" customFormat="1" ht="10.5" customHeight="1">
      <c r="A21" s="993" t="s">
        <v>407</v>
      </c>
      <c r="B21" s="1000" t="s">
        <v>3550</v>
      </c>
      <c r="C21" s="1001"/>
      <c r="D21" s="1002"/>
      <c r="E21" s="1284" t="s">
        <v>1654</v>
      </c>
      <c r="F21" s="4313" t="str">
        <f>$A$195</f>
        <v>The applicant is not claiming point in this section.</v>
      </c>
      <c r="G21" s="4314"/>
      <c r="H21" s="4314"/>
      <c r="I21" s="4314"/>
      <c r="J21" s="4314"/>
      <c r="K21" s="4314"/>
      <c r="L21" s="4314"/>
      <c r="M21" s="4314"/>
      <c r="N21" s="4314"/>
      <c r="O21" s="4315"/>
      <c r="P21" s="2984"/>
      <c r="Q21" s="4254"/>
      <c r="R21" s="4255"/>
      <c r="S21" s="4255"/>
    </row>
    <row r="22" spans="1:33" s="42" customFormat="1" ht="10.5" customHeight="1">
      <c r="A22" s="993" t="s">
        <v>346</v>
      </c>
      <c r="B22" s="841" t="s">
        <v>4245</v>
      </c>
      <c r="C22" s="942"/>
      <c r="D22" s="994"/>
      <c r="E22" s="1282">
        <f>$O$199</f>
        <v>10</v>
      </c>
      <c r="F22" s="4243" t="str">
        <f>$A$215</f>
        <v xml:space="preserve">Census tract 303.05 is 7.22% below the poverty line thus is eligible for 5 points. We utilized the 2019 data set  (2019 Employment = 97.9; Income = $67,112; Life Expectancy = 74.6; Health Insurance = 93.3. All data is above 60%. Median Income is above 80th percentile. </v>
      </c>
      <c r="G22" s="4244"/>
      <c r="H22" s="4244"/>
      <c r="I22" s="4244"/>
      <c r="J22" s="4244"/>
      <c r="K22" s="4244"/>
      <c r="L22" s="4244"/>
      <c r="M22" s="4244"/>
      <c r="N22" s="4244"/>
      <c r="O22" s="4245"/>
      <c r="P22" s="2984"/>
      <c r="Q22" s="4254"/>
      <c r="R22" s="4255"/>
      <c r="S22" s="4255"/>
    </row>
    <row r="23" spans="1:33" s="42" customFormat="1" ht="10.5" customHeight="1">
      <c r="A23" s="993" t="s">
        <v>4247</v>
      </c>
      <c r="B23" s="841" t="s">
        <v>3397</v>
      </c>
      <c r="C23" s="942"/>
      <c r="D23" s="994"/>
      <c r="E23" s="1282">
        <f>$O$228</f>
        <v>0</v>
      </c>
      <c r="F23" s="4243" t="str">
        <f>$A$233</f>
        <v>The applicant is not claiming points in this category.</v>
      </c>
      <c r="G23" s="4244"/>
      <c r="H23" s="4244"/>
      <c r="I23" s="4244"/>
      <c r="J23" s="4244"/>
      <c r="K23" s="4244"/>
      <c r="L23" s="4244"/>
      <c r="M23" s="4244"/>
      <c r="N23" s="4244"/>
      <c r="O23" s="4245"/>
      <c r="P23" s="2984"/>
      <c r="Q23" s="4254"/>
      <c r="R23" s="4255"/>
      <c r="S23" s="4255"/>
    </row>
    <row r="24" spans="1:33" s="42" customFormat="1" ht="10.5" customHeight="1">
      <c r="A24" s="993" t="s">
        <v>4259</v>
      </c>
      <c r="B24" s="841" t="s">
        <v>4248</v>
      </c>
      <c r="C24" s="942"/>
      <c r="D24" s="994"/>
      <c r="E24" s="1284">
        <f>$O$237</f>
        <v>0</v>
      </c>
      <c r="F24" s="4243" t="str">
        <f>$A$243</f>
        <v>This development is not part of a phased development</v>
      </c>
      <c r="G24" s="4244"/>
      <c r="H24" s="4244"/>
      <c r="I24" s="4244"/>
      <c r="J24" s="4244"/>
      <c r="K24" s="4244"/>
      <c r="L24" s="4244"/>
      <c r="M24" s="4244"/>
      <c r="N24" s="4244"/>
      <c r="O24" s="4245"/>
      <c r="P24" s="2984"/>
      <c r="Q24" s="4254"/>
      <c r="R24" s="4255"/>
      <c r="S24" s="4255"/>
    </row>
    <row r="25" spans="1:33" s="42" customFormat="1" ht="10.5" customHeight="1">
      <c r="A25" s="1685" t="s">
        <v>6534</v>
      </c>
      <c r="B25" s="841" t="s">
        <v>4249</v>
      </c>
      <c r="C25" s="942"/>
      <c r="D25" s="994"/>
      <c r="E25" s="1282">
        <f>$O$247</f>
        <v>3</v>
      </c>
      <c r="F25" s="4246" t="str">
        <f>$A$252</f>
        <v xml:space="preserve">The last DCA property to be funded in the Effingham County political jurisdiction was Goshen Crossing II in 2012. All other recently funded developments in the area have been within the city limits of Rincon. </v>
      </c>
      <c r="G25" s="4247"/>
      <c r="H25" s="4247"/>
      <c r="I25" s="4247"/>
      <c r="J25" s="4247"/>
      <c r="K25" s="4247"/>
      <c r="L25" s="4247"/>
      <c r="M25" s="4247"/>
      <c r="N25" s="4247"/>
      <c r="O25" s="4248"/>
      <c r="P25" s="2984"/>
      <c r="Q25" s="4254"/>
      <c r="R25" s="4255"/>
      <c r="S25" s="4255"/>
    </row>
    <row r="26" spans="1:33" s="42" customFormat="1" ht="10.5" customHeight="1">
      <c r="A26" s="999" t="s">
        <v>3523</v>
      </c>
      <c r="B26" s="1000" t="s">
        <v>3551</v>
      </c>
      <c r="C26" s="1001"/>
      <c r="D26" s="1002"/>
      <c r="E26" s="1285">
        <f>$O$286</f>
        <v>0</v>
      </c>
      <c r="F26" s="4243" t="str">
        <f>$A$290</f>
        <v>The proposed development is not within a GICH community.</v>
      </c>
      <c r="G26" s="4244"/>
      <c r="H26" s="4244"/>
      <c r="I26" s="4244"/>
      <c r="J26" s="4244"/>
      <c r="K26" s="4244"/>
      <c r="L26" s="4244"/>
      <c r="M26" s="4244"/>
      <c r="N26" s="4244"/>
      <c r="O26" s="4245"/>
      <c r="P26" s="2984"/>
      <c r="Q26" s="4254"/>
      <c r="R26" s="4255"/>
      <c r="S26" s="4255"/>
    </row>
    <row r="27" spans="1:33" s="42" customFormat="1" ht="10.5" customHeight="1">
      <c r="A27" s="993" t="s">
        <v>3521</v>
      </c>
      <c r="B27" s="841" t="s">
        <v>3552</v>
      </c>
      <c r="C27" s="942"/>
      <c r="D27" s="994"/>
      <c r="E27" s="1282">
        <f>$O$294</f>
        <v>0</v>
      </c>
      <c r="F27" s="4243" t="str">
        <f>$A$326</f>
        <v>The applicant has not received a loan that will qualify as "favorable financing" nor is a ground lease in place.</v>
      </c>
      <c r="G27" s="4244"/>
      <c r="H27" s="4244"/>
      <c r="I27" s="4244"/>
      <c r="J27" s="4244"/>
      <c r="K27" s="4244"/>
      <c r="L27" s="4244"/>
      <c r="M27" s="4244"/>
      <c r="N27" s="4244"/>
      <c r="O27" s="4245"/>
      <c r="P27" s="2984"/>
      <c r="Q27" s="4254"/>
      <c r="R27" s="4255"/>
      <c r="S27" s="4255"/>
    </row>
    <row r="28" spans="1:33" s="42" customFormat="1" ht="10.5" customHeight="1">
      <c r="A28" s="993" t="s">
        <v>3521</v>
      </c>
      <c r="B28" s="841" t="s">
        <v>3553</v>
      </c>
      <c r="C28" s="942"/>
      <c r="D28" s="994"/>
      <c r="E28" s="1284">
        <f>$O$330</f>
        <v>0</v>
      </c>
      <c r="F28" s="4243" t="str">
        <f>$A$346</f>
        <v>The applicant is not claiming points in this category.</v>
      </c>
      <c r="G28" s="4244"/>
      <c r="H28" s="4244"/>
      <c r="I28" s="4244"/>
      <c r="J28" s="4244"/>
      <c r="K28" s="4244"/>
      <c r="L28" s="4244"/>
      <c r="M28" s="4244"/>
      <c r="N28" s="4244"/>
      <c r="O28" s="4245"/>
      <c r="P28" s="2984"/>
      <c r="Q28" s="4254"/>
      <c r="R28" s="4255"/>
      <c r="S28" s="4255"/>
    </row>
    <row r="29" spans="1:33" s="42" customFormat="1" ht="10.5" customHeight="1">
      <c r="A29" s="995" t="s">
        <v>3528</v>
      </c>
      <c r="B29" s="996" t="s">
        <v>6365</v>
      </c>
      <c r="C29" s="997"/>
      <c r="D29" s="998"/>
      <c r="E29" s="1709">
        <f>$O$358</f>
        <v>2</v>
      </c>
      <c r="F29" s="4300" t="str">
        <f>$A$375</f>
        <v xml:space="preserve">The Peaks at Turnberry outside of Rincon located in Effingham County is a 48-unit multifamily development. In order to meet the DCA requirements for sufficient number of one-bedroom units without PBRA as outlined in Exhibit B of Appendix II: Scoring, there will be 12 one-bedroom units. This number of one-bedroom units exceeds the 20% required for family tenancy with a total of 25% one-bedroom units.  The property is located near public transportation that operates frequently; Coastal Regional Coaches of Georgia provides rural public transit in Effingham County. Coastal Regional Coaches of Georgia is a demand-response, advance reservation service and therefore is in proximity to The Peaks at Turnberry. The Peaks at Turnberry is located centrally in Effingham County. Its location allows for access to many healthcare services that are distinctly relevant to the family population that will be residents at the development. The health care providers consist of Effingham Family Medicine, Howard Family Dentistry, Rincon Medical Center Urgent Care, Towne Pharmacy of Rincon, and Kids First Pediatrics. All services are within 2 miles of the proposed development site and accessible by public transportation provided by Coastal Regional Coaches of Georgia. It is important to note that the property is located near retail amenities as it scores maximum points in Desirable/Undesirable Activities, subsection A. Desirable Activities. Effingham County exhibits a high concentration of both supportive housing needs and relevant services - many of these services are facilited through a local non-profit, Effingham Family Promise. For almost 40 years Family Promise has been providing support and shelter for families in danger of becoming homeless or are homeless. Effingham Family Promise’s mission is to help homes and low-income families achieve decent, safe, affordable housing while achieving sustainable independence by cooking and serving meals, assisting with resume writing or financial counseling, locating child care services, providing overnight shelter, and general assistance to families in need. We are proud to state that the applicant currently owns 5 RAD Conversions.  Vantage Management also manages several properties with an 811 program/set aside. The selected management company has worked with RAD PBRA, RAD PBV, Tenant Based Housing Choice Vouchers, 811 and the HOME program. Additionally, they have experience owning and/or managing properties serving individuals with disabilities, the formerly homeless, or other supportive housing. All of the applicants owned developments have units set aside for mobility/sensory impaired and/or homeless. Finally, please note that applicant also has long-term experience working with a referring state agency. The selected management company, Vantage Management Company, LLC, is in compliance with DCA on all developments.     </v>
      </c>
      <c r="G29" s="4301"/>
      <c r="H29" s="4301"/>
      <c r="I29" s="4301"/>
      <c r="J29" s="4301"/>
      <c r="K29" s="4301"/>
      <c r="L29" s="4301"/>
      <c r="M29" s="4301"/>
      <c r="N29" s="4301"/>
      <c r="O29" s="4302"/>
      <c r="P29" s="2985"/>
      <c r="Q29" s="4254"/>
      <c r="R29" s="4255"/>
      <c r="S29" s="4255"/>
    </row>
    <row r="30" spans="1:33" s="157" customFormat="1" ht="5.25" customHeight="1">
      <c r="C30" s="89"/>
      <c r="D30" s="89"/>
      <c r="E30" s="89"/>
      <c r="F30" s="89"/>
      <c r="G30" s="1584"/>
      <c r="H30" s="1612"/>
      <c r="I30" s="1612"/>
      <c r="J30" s="1612"/>
      <c r="K30" s="1612"/>
    </row>
    <row r="31" spans="1:33" s="157" customFormat="1" ht="12.75" customHeight="1">
      <c r="A31" s="151" t="s">
        <v>710</v>
      </c>
      <c r="B31" s="105" t="s">
        <v>6373</v>
      </c>
      <c r="C31" s="101"/>
      <c r="D31" s="89"/>
      <c r="E31" s="89"/>
      <c r="F31" s="89"/>
      <c r="G31" s="4257" t="s">
        <v>6357</v>
      </c>
      <c r="H31" s="4257"/>
      <c r="I31" s="4257" t="s">
        <v>932</v>
      </c>
      <c r="J31" s="4257"/>
      <c r="K31" s="2672" t="s">
        <v>6358</v>
      </c>
      <c r="L31" s="1613"/>
      <c r="M31" s="4270" t="s">
        <v>6374</v>
      </c>
      <c r="N31" s="4270"/>
      <c r="O31" s="4270"/>
      <c r="P31" s="4270"/>
      <c r="Q31" s="1618"/>
      <c r="R31" s="1618"/>
      <c r="S31" s="2522" t="s">
        <v>6373</v>
      </c>
      <c r="T31" s="1618"/>
      <c r="U31" s="1618"/>
      <c r="V31" s="1618"/>
      <c r="X31" s="4425" t="s">
        <v>6357</v>
      </c>
      <c r="Y31" s="4426"/>
      <c r="Z31" s="4425" t="s">
        <v>932</v>
      </c>
      <c r="AA31" s="4426"/>
      <c r="AB31" s="2523" t="s">
        <v>6358</v>
      </c>
      <c r="AC31" s="4427" t="s">
        <v>6357</v>
      </c>
      <c r="AD31" s="4428"/>
      <c r="AE31" s="4427" t="s">
        <v>932</v>
      </c>
      <c r="AF31" s="4428"/>
      <c r="AG31" s="2524" t="s">
        <v>6358</v>
      </c>
    </row>
    <row r="32" spans="1:33" s="157" customFormat="1" ht="11.25" customHeight="1">
      <c r="A32" s="418"/>
      <c r="B32" s="463"/>
      <c r="C32" s="404"/>
      <c r="D32" s="404"/>
      <c r="E32" s="404"/>
      <c r="F32" s="404"/>
      <c r="G32" s="2525">
        <v>0.09</v>
      </c>
      <c r="H32" s="2525">
        <v>0.04</v>
      </c>
      <c r="I32" s="2525">
        <v>0.09</v>
      </c>
      <c r="J32" s="2525">
        <v>0.04</v>
      </c>
      <c r="K32" s="2525">
        <v>0.09</v>
      </c>
      <c r="L32" s="1613"/>
      <c r="M32" s="4332" t="str">
        <f>'Part I-Project Information'!F12</f>
        <v>9% Credit Competitive Round only</v>
      </c>
      <c r="N32" s="4333"/>
      <c r="O32" s="4333"/>
      <c r="P32" s="4334"/>
      <c r="Q32" s="1618"/>
      <c r="R32" s="418"/>
      <c r="S32" s="133"/>
      <c r="T32" s="418"/>
      <c r="U32" s="418"/>
      <c r="V32" s="418"/>
      <c r="W32" s="418"/>
      <c r="X32" s="2525">
        <v>0.09</v>
      </c>
      <c r="Y32" s="2525">
        <v>0.04</v>
      </c>
      <c r="Z32" s="2525">
        <v>0.09</v>
      </c>
      <c r="AA32" s="2525">
        <v>0.04</v>
      </c>
      <c r="AB32" s="2525">
        <v>0.09</v>
      </c>
      <c r="AC32" s="2525">
        <v>0.09</v>
      </c>
      <c r="AD32" s="2525">
        <v>0.04</v>
      </c>
      <c r="AE32" s="2525">
        <v>0.09</v>
      </c>
      <c r="AF32" s="2525">
        <v>0.04</v>
      </c>
      <c r="AG32" s="2525">
        <v>0.09</v>
      </c>
    </row>
    <row r="33" spans="1:33" s="157" customFormat="1" ht="10.5" customHeight="1">
      <c r="A33" s="1615" t="s">
        <v>712</v>
      </c>
      <c r="B33" s="2526" t="s">
        <v>6359</v>
      </c>
      <c r="C33" s="1790"/>
      <c r="D33" s="1791"/>
      <c r="E33" s="1791"/>
      <c r="F33" s="1791"/>
      <c r="G33" s="2527">
        <v>10</v>
      </c>
      <c r="H33" s="2528"/>
      <c r="I33" s="2527">
        <v>10</v>
      </c>
      <c r="J33" s="2528"/>
      <c r="K33" s="2529">
        <v>10</v>
      </c>
      <c r="L33" s="1613"/>
      <c r="M33" s="1799" t="s">
        <v>6375</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6" t="s">
        <v>6359</v>
      </c>
      <c r="T33" s="2530"/>
      <c r="U33" s="2531"/>
      <c r="V33" s="2531"/>
      <c r="W33" s="2531"/>
      <c r="X33" s="2532">
        <f>O59</f>
        <v>10</v>
      </c>
      <c r="Y33" s="2528"/>
      <c r="Z33" s="2533">
        <f>O59</f>
        <v>10</v>
      </c>
      <c r="AA33" s="2528"/>
      <c r="AB33" s="2534">
        <f>O59</f>
        <v>10</v>
      </c>
      <c r="AC33" s="2535">
        <f>P59</f>
        <v>10</v>
      </c>
      <c r="AD33" s="2528"/>
      <c r="AE33" s="2533">
        <f>P59</f>
        <v>10</v>
      </c>
      <c r="AF33" s="2528"/>
      <c r="AG33" s="2536">
        <f>P59</f>
        <v>10</v>
      </c>
    </row>
    <row r="34" spans="1:33" s="157" customFormat="1" ht="10.5" customHeight="1">
      <c r="A34" s="1615" t="s">
        <v>1711</v>
      </c>
      <c r="B34" s="2537" t="s">
        <v>6360</v>
      </c>
      <c r="C34" s="1792"/>
      <c r="D34" s="1793"/>
      <c r="E34" s="1793"/>
      <c r="F34" s="1793"/>
      <c r="G34" s="2538">
        <v>3</v>
      </c>
      <c r="H34" s="2539">
        <v>3</v>
      </c>
      <c r="I34" s="2538">
        <v>3</v>
      </c>
      <c r="J34" s="2539">
        <v>3</v>
      </c>
      <c r="K34" s="2540"/>
      <c r="L34" s="1613"/>
      <c r="M34" s="4271" t="s">
        <v>6379</v>
      </c>
      <c r="N34" s="4271"/>
      <c r="O34" s="4271"/>
      <c r="P34" s="4271"/>
      <c r="Q34" s="1613"/>
      <c r="R34" s="1615" t="s">
        <v>1711</v>
      </c>
      <c r="S34" s="2537" t="s">
        <v>6360</v>
      </c>
      <c r="T34" s="1794"/>
      <c r="U34" s="1795"/>
      <c r="V34" s="1795"/>
      <c r="W34" s="1795"/>
      <c r="X34" s="2541">
        <f>O84</f>
        <v>2</v>
      </c>
      <c r="Y34" s="2542">
        <f>O84</f>
        <v>2</v>
      </c>
      <c r="Z34" s="2541">
        <f>O84</f>
        <v>2</v>
      </c>
      <c r="AA34" s="2541">
        <f>O84</f>
        <v>2</v>
      </c>
      <c r="AB34" s="2543"/>
      <c r="AC34" s="2544">
        <f>P84</f>
        <v>0</v>
      </c>
      <c r="AD34" s="2542">
        <f>P84</f>
        <v>0</v>
      </c>
      <c r="AE34" s="2541">
        <f>P84</f>
        <v>0</v>
      </c>
      <c r="AF34" s="2542">
        <f>P84</f>
        <v>0</v>
      </c>
      <c r="AG34" s="2540"/>
    </row>
    <row r="35" spans="1:33" s="157" customFormat="1" ht="10.5" customHeight="1">
      <c r="A35" s="1615" t="s">
        <v>1713</v>
      </c>
      <c r="B35" s="2537" t="s">
        <v>3548</v>
      </c>
      <c r="C35" s="1792"/>
      <c r="D35" s="1793"/>
      <c r="E35" s="1793"/>
      <c r="F35" s="1793"/>
      <c r="G35" s="2538">
        <v>20</v>
      </c>
      <c r="H35" s="2539">
        <v>12</v>
      </c>
      <c r="I35" s="2538"/>
      <c r="J35" s="2539"/>
      <c r="K35" s="2540"/>
      <c r="L35" s="1613"/>
      <c r="M35" s="1695" t="s">
        <v>6383</v>
      </c>
      <c r="N35" s="1696"/>
      <c r="O35" s="1697"/>
      <c r="P35" s="1801" t="str">
        <f>IF('Part I-Project Information'!$P$101="","",'Part I-Project Information'!$P$101)</f>
        <v>No</v>
      </c>
      <c r="Q35" s="1613"/>
      <c r="R35" s="1615" t="s">
        <v>1713</v>
      </c>
      <c r="S35" s="2537" t="s">
        <v>3548</v>
      </c>
      <c r="T35" s="1794"/>
      <c r="U35" s="1795"/>
      <c r="V35" s="1795"/>
      <c r="W35" s="1795"/>
      <c r="X35" s="2545">
        <f>O98</f>
        <v>20</v>
      </c>
      <c r="Y35" s="2546">
        <f>O98</f>
        <v>20</v>
      </c>
      <c r="Z35" s="2538"/>
      <c r="AA35" s="2539"/>
      <c r="AB35" s="2543"/>
      <c r="AC35" s="2547">
        <f>P98</f>
        <v>0</v>
      </c>
      <c r="AD35" s="2546">
        <f>P98</f>
        <v>0</v>
      </c>
      <c r="AE35" s="2538"/>
      <c r="AF35" s="2539"/>
      <c r="AG35" s="2540"/>
    </row>
    <row r="36" spans="1:33" s="157" customFormat="1" ht="10.5" customHeight="1">
      <c r="A36" s="1615" t="s">
        <v>505</v>
      </c>
      <c r="B36" s="2537" t="s">
        <v>4244</v>
      </c>
      <c r="C36" s="1792"/>
      <c r="D36" s="1793"/>
      <c r="E36" s="1793"/>
      <c r="F36" s="1793"/>
      <c r="G36" s="2538">
        <v>6</v>
      </c>
      <c r="H36" s="2539">
        <v>4</v>
      </c>
      <c r="I36" s="2538"/>
      <c r="J36" s="2539"/>
      <c r="K36" s="2540"/>
      <c r="L36" s="1613"/>
      <c r="M36" s="1698" t="s">
        <v>932</v>
      </c>
      <c r="N36" s="1699"/>
      <c r="O36" s="1700"/>
      <c r="P36" s="1802" t="str">
        <f>IF('Part I-Project Information'!$M$100="","",'Part I-Project Information'!$M$100)</f>
        <v>No</v>
      </c>
      <c r="Q36" s="1613"/>
      <c r="R36" s="1615" t="s">
        <v>505</v>
      </c>
      <c r="S36" s="2537" t="s">
        <v>4244</v>
      </c>
      <c r="T36" s="1794"/>
      <c r="U36" s="1795"/>
      <c r="V36" s="1795"/>
      <c r="W36" s="1795"/>
      <c r="X36" s="2545">
        <f>O108</f>
        <v>2</v>
      </c>
      <c r="Y36" s="2546">
        <f>O108</f>
        <v>2</v>
      </c>
      <c r="Z36" s="2538"/>
      <c r="AA36" s="2539"/>
      <c r="AB36" s="2543"/>
      <c r="AC36" s="2547">
        <f>P108</f>
        <v>0</v>
      </c>
      <c r="AD36" s="2546">
        <f>P108</f>
        <v>0</v>
      </c>
      <c r="AE36" s="2538"/>
      <c r="AF36" s="2539"/>
      <c r="AG36" s="2540"/>
    </row>
    <row r="37" spans="1:33" s="157" customFormat="1" ht="10.5" customHeight="1">
      <c r="A37" s="1615" t="s">
        <v>742</v>
      </c>
      <c r="B37" s="2537" t="s">
        <v>3487</v>
      </c>
      <c r="C37" s="1792"/>
      <c r="D37" s="1793"/>
      <c r="E37" s="1793"/>
      <c r="F37" s="1793"/>
      <c r="G37" s="2538">
        <v>3</v>
      </c>
      <c r="H37" s="2539">
        <v>2</v>
      </c>
      <c r="I37" s="2538"/>
      <c r="J37" s="2539"/>
      <c r="K37" s="2540"/>
      <c r="L37" s="1613"/>
      <c r="M37" s="1698" t="s">
        <v>6384</v>
      </c>
      <c r="N37" s="1699"/>
      <c r="O37" s="1700"/>
      <c r="P37" s="1802" t="str">
        <f>IF('Part I-Project Information'!$P$100="","",'Part I-Project Information'!$P$100)</f>
        <v>No</v>
      </c>
      <c r="Q37" s="1613"/>
      <c r="R37" s="1615" t="s">
        <v>742</v>
      </c>
      <c r="S37" s="2537" t="s">
        <v>3487</v>
      </c>
      <c r="T37" s="1794"/>
      <c r="U37" s="1795"/>
      <c r="V37" s="1795"/>
      <c r="W37" s="1795"/>
      <c r="X37" s="2538">
        <f>O147</f>
        <v>3</v>
      </c>
      <c r="Y37" s="2539">
        <f>O147</f>
        <v>3</v>
      </c>
      <c r="Z37" s="2538"/>
      <c r="AA37" s="2539"/>
      <c r="AB37" s="2543"/>
      <c r="AC37" s="2548">
        <f>P147</f>
        <v>0</v>
      </c>
      <c r="AD37" s="2539">
        <f>P147</f>
        <v>0</v>
      </c>
      <c r="AE37" s="2538"/>
      <c r="AF37" s="2539"/>
      <c r="AG37" s="2540"/>
    </row>
    <row r="38" spans="1:33" s="157" customFormat="1" ht="10.5" customHeight="1">
      <c r="A38" s="1615" t="s">
        <v>281</v>
      </c>
      <c r="B38" s="2537" t="s">
        <v>3549</v>
      </c>
      <c r="C38" s="1792"/>
      <c r="D38" s="1793"/>
      <c r="E38" s="1793"/>
      <c r="F38" s="1793"/>
      <c r="G38" s="2538">
        <v>7</v>
      </c>
      <c r="H38" s="2539">
        <v>5</v>
      </c>
      <c r="I38" s="2538"/>
      <c r="J38" s="2539"/>
      <c r="K38" s="2540"/>
      <c r="L38" s="1613"/>
      <c r="M38" s="1701" t="s">
        <v>2534</v>
      </c>
      <c r="N38" s="1702"/>
      <c r="O38" s="1703"/>
      <c r="P38" s="1803" t="str">
        <f>IF('Part I-Project Information'!$H$103="","",'Part I-Project Information'!$H$103)</f>
        <v>No</v>
      </c>
      <c r="Q38" s="1613"/>
      <c r="R38" s="1615" t="s">
        <v>281</v>
      </c>
      <c r="S38" s="2537" t="s">
        <v>3549</v>
      </c>
      <c r="T38" s="1794"/>
      <c r="U38" s="1795"/>
      <c r="V38" s="1795"/>
      <c r="W38" s="1795"/>
      <c r="X38" s="2541">
        <f>O163</f>
        <v>0</v>
      </c>
      <c r="Y38" s="2542">
        <f>O163</f>
        <v>0</v>
      </c>
      <c r="Z38" s="2538"/>
      <c r="AA38" s="2539"/>
      <c r="AB38" s="2543"/>
      <c r="AC38" s="2544">
        <f>P163</f>
        <v>0</v>
      </c>
      <c r="AD38" s="2542">
        <f>P163</f>
        <v>0</v>
      </c>
      <c r="AE38" s="2538"/>
      <c r="AF38" s="2539"/>
      <c r="AG38" s="2540"/>
    </row>
    <row r="39" spans="1:33" s="157" customFormat="1" ht="10.5" customHeight="1">
      <c r="A39" s="1615" t="s">
        <v>407</v>
      </c>
      <c r="B39" s="2537" t="s">
        <v>3550</v>
      </c>
      <c r="C39" s="1792"/>
      <c r="D39" s="1793"/>
      <c r="E39" s="1793"/>
      <c r="F39" s="1793"/>
      <c r="G39" s="2538">
        <v>3</v>
      </c>
      <c r="H39" s="2539"/>
      <c r="I39" s="2538"/>
      <c r="J39" s="2539"/>
      <c r="K39" s="2540"/>
      <c r="L39" s="1613"/>
      <c r="M39" s="279" t="s">
        <v>6539</v>
      </c>
      <c r="P39" s="531" t="str">
        <f>'Part III-Sources of Funds'!$L$14</f>
        <v>No</v>
      </c>
      <c r="Q39" s="1613"/>
      <c r="R39" s="1615" t="s">
        <v>407</v>
      </c>
      <c r="S39" s="2537" t="s">
        <v>3550</v>
      </c>
      <c r="T39" s="1794"/>
      <c r="U39" s="1795"/>
      <c r="V39" s="1795"/>
      <c r="W39" s="1795"/>
      <c r="X39" s="2549"/>
      <c r="Y39" s="2550"/>
      <c r="Z39" s="2549"/>
      <c r="AA39" s="2550"/>
      <c r="AB39" s="2551"/>
      <c r="AC39" s="2544">
        <f>P184</f>
        <v>0</v>
      </c>
      <c r="AD39" s="2539"/>
      <c r="AE39" s="2538"/>
      <c r="AF39" s="2539"/>
      <c r="AG39" s="2540"/>
    </row>
    <row r="40" spans="1:33" s="157" customFormat="1" ht="10.5" customHeight="1">
      <c r="A40" s="1615" t="s">
        <v>346</v>
      </c>
      <c r="B40" s="2537" t="s">
        <v>4245</v>
      </c>
      <c r="C40" s="1792"/>
      <c r="D40" s="1793"/>
      <c r="E40" s="1793"/>
      <c r="F40" s="1793"/>
      <c r="G40" s="2538">
        <v>10</v>
      </c>
      <c r="H40" s="2539">
        <v>5</v>
      </c>
      <c r="I40" s="2538"/>
      <c r="J40" s="2539"/>
      <c r="K40" s="2540"/>
      <c r="L40" s="1613"/>
      <c r="M40" s="4331" t="s">
        <v>6540</v>
      </c>
      <c r="N40" s="4331"/>
      <c r="O40" s="481"/>
      <c r="P40" s="1804" t="str">
        <f>IF('Part I-Project Information'!$P$101="","",'Part I-Project Information'!$P$101)</f>
        <v>No</v>
      </c>
      <c r="Q40" s="1613"/>
      <c r="R40" s="1615" t="s">
        <v>346</v>
      </c>
      <c r="S40" s="2537" t="s">
        <v>4245</v>
      </c>
      <c r="T40" s="1794"/>
      <c r="U40" s="1795"/>
      <c r="V40" s="1795"/>
      <c r="W40" s="1795"/>
      <c r="X40" s="2541">
        <f>O199</f>
        <v>10</v>
      </c>
      <c r="Y40" s="2542">
        <f>O199</f>
        <v>10</v>
      </c>
      <c r="Z40" s="2538"/>
      <c r="AA40" s="2539"/>
      <c r="AB40" s="2543"/>
      <c r="AC40" s="2544">
        <f>P199</f>
        <v>0</v>
      </c>
      <c r="AD40" s="2542">
        <f>P199</f>
        <v>0</v>
      </c>
      <c r="AE40" s="2538"/>
      <c r="AF40" s="2539"/>
      <c r="AG40" s="2540"/>
    </row>
    <row r="41" spans="1:33" s="157" customFormat="1" ht="10.5" customHeight="1">
      <c r="A41" s="1615" t="s">
        <v>347</v>
      </c>
      <c r="B41" s="2537" t="s">
        <v>6361</v>
      </c>
      <c r="C41" s="1792"/>
      <c r="D41" s="1793"/>
      <c r="E41" s="1793"/>
      <c r="F41" s="1793"/>
      <c r="G41" s="2538">
        <v>1</v>
      </c>
      <c r="H41" s="2539"/>
      <c r="I41" s="2538"/>
      <c r="J41" s="2539"/>
      <c r="K41" s="2540"/>
      <c r="L41" s="1613"/>
      <c r="Q41" s="1613"/>
      <c r="R41" s="1615" t="s">
        <v>347</v>
      </c>
      <c r="S41" s="2537" t="s">
        <v>6361</v>
      </c>
      <c r="T41" s="1794"/>
      <c r="U41" s="1795"/>
      <c r="V41" s="1795"/>
      <c r="W41" s="1795"/>
      <c r="X41" s="2541">
        <f>O220</f>
        <v>1</v>
      </c>
      <c r="Y41" s="2539"/>
      <c r="Z41" s="2538"/>
      <c r="AA41" s="2539"/>
      <c r="AB41" s="2543"/>
      <c r="AC41" s="2544">
        <f>P220</f>
        <v>0</v>
      </c>
      <c r="AD41" s="2539"/>
      <c r="AE41" s="2538"/>
      <c r="AF41" s="2539"/>
      <c r="AG41" s="2540"/>
    </row>
    <row r="42" spans="1:33" s="157" customFormat="1" ht="10.5" customHeight="1">
      <c r="A42" s="1615" t="s">
        <v>348</v>
      </c>
      <c r="B42" s="2537" t="s">
        <v>3397</v>
      </c>
      <c r="C42" s="1792"/>
      <c r="D42" s="1793"/>
      <c r="E42" s="1793"/>
      <c r="F42" s="1793"/>
      <c r="G42" s="2538">
        <v>10</v>
      </c>
      <c r="H42" s="2539">
        <v>5</v>
      </c>
      <c r="I42" s="2538"/>
      <c r="J42" s="2539"/>
      <c r="K42" s="2540"/>
      <c r="L42" s="1613"/>
      <c r="P42" s="1798" t="s">
        <v>6547</v>
      </c>
      <c r="Q42" s="1613"/>
      <c r="R42" s="1615" t="s">
        <v>348</v>
      </c>
      <c r="S42" s="2537" t="s">
        <v>3397</v>
      </c>
      <c r="T42" s="1794"/>
      <c r="U42" s="1795"/>
      <c r="V42" s="1795"/>
      <c r="W42" s="1795"/>
      <c r="X42" s="2541">
        <f>O228</f>
        <v>0</v>
      </c>
      <c r="Y42" s="2542">
        <f>O228</f>
        <v>0</v>
      </c>
      <c r="Z42" s="2538"/>
      <c r="AA42" s="2539"/>
      <c r="AB42" s="2543"/>
      <c r="AC42" s="2544">
        <f>P228</f>
        <v>0</v>
      </c>
      <c r="AD42" s="2542">
        <f>P228</f>
        <v>0</v>
      </c>
      <c r="AE42" s="2538"/>
      <c r="AF42" s="2539"/>
      <c r="AG42" s="2540"/>
    </row>
    <row r="43" spans="1:33" s="157" customFormat="1" ht="10.5" customHeight="1">
      <c r="A43" s="1615" t="s">
        <v>1648</v>
      </c>
      <c r="B43" s="2537" t="s">
        <v>6362</v>
      </c>
      <c r="C43" s="1794"/>
      <c r="D43" s="1795"/>
      <c r="E43" s="1795"/>
      <c r="F43" s="1795"/>
      <c r="G43" s="2538">
        <v>3</v>
      </c>
      <c r="H43" s="2539"/>
      <c r="I43" s="2538"/>
      <c r="J43" s="2539"/>
      <c r="K43" s="2540"/>
      <c r="L43" s="1613"/>
      <c r="M43" s="4272" t="str">
        <f>IF($P$45&gt;$P$46,"New Supply",IF($P$45&lt;$P$46,"Rehabilitation",IF(AND($P$45&gt;0,$P$45=$P$46),"Tie","")))</f>
        <v>New Supply</v>
      </c>
      <c r="N43" s="4273"/>
      <c r="O43" s="4273"/>
      <c r="P43" s="4274"/>
      <c r="Q43" s="1613"/>
      <c r="R43" s="1615" t="s">
        <v>1648</v>
      </c>
      <c r="S43" s="2537" t="s">
        <v>6362</v>
      </c>
      <c r="T43" s="1794"/>
      <c r="U43" s="1795"/>
      <c r="V43" s="1795"/>
      <c r="W43" s="1795"/>
      <c r="X43" s="2541">
        <f>O237</f>
        <v>0</v>
      </c>
      <c r="Y43" s="2539"/>
      <c r="Z43" s="2538"/>
      <c r="AA43" s="2539"/>
      <c r="AB43" s="2543"/>
      <c r="AC43" s="2544">
        <f>P237</f>
        <v>0</v>
      </c>
      <c r="AD43" s="2539"/>
      <c r="AE43" s="2538"/>
      <c r="AF43" s="2539"/>
      <c r="AG43" s="2540"/>
    </row>
    <row r="44" spans="1:33" s="157" customFormat="1" ht="10.5" customHeight="1">
      <c r="A44" s="1615" t="s">
        <v>3522</v>
      </c>
      <c r="B44" s="2537" t="s">
        <v>4249</v>
      </c>
      <c r="C44" s="1794"/>
      <c r="D44" s="1795"/>
      <c r="E44" s="1795"/>
      <c r="F44" s="1795"/>
      <c r="G44" s="2538">
        <v>5</v>
      </c>
      <c r="H44" s="2539"/>
      <c r="I44" s="2538"/>
      <c r="J44" s="2539"/>
      <c r="K44" s="2540"/>
      <c r="L44" s="1613"/>
      <c r="P44" s="1615" t="s">
        <v>3381</v>
      </c>
      <c r="Q44" s="1613"/>
      <c r="R44" s="1615" t="s">
        <v>3522</v>
      </c>
      <c r="S44" s="2537" t="s">
        <v>4249</v>
      </c>
      <c r="T44" s="1794"/>
      <c r="U44" s="1795"/>
      <c r="V44" s="1795"/>
      <c r="W44" s="1795"/>
      <c r="X44" s="2541">
        <f>O247</f>
        <v>3</v>
      </c>
      <c r="Y44" s="2539"/>
      <c r="Z44" s="2538"/>
      <c r="AA44" s="2539"/>
      <c r="AB44" s="2543"/>
      <c r="AC44" s="2544">
        <f>P247</f>
        <v>0</v>
      </c>
      <c r="AD44" s="2539"/>
      <c r="AE44" s="2538"/>
      <c r="AF44" s="2539"/>
      <c r="AG44" s="2540"/>
    </row>
    <row r="45" spans="1:33" s="157" customFormat="1" ht="10.5" customHeight="1">
      <c r="A45" s="1615" t="s">
        <v>2150</v>
      </c>
      <c r="B45" s="2537" t="s">
        <v>3969</v>
      </c>
      <c r="C45" s="1794"/>
      <c r="D45" s="1795"/>
      <c r="E45" s="1795"/>
      <c r="F45" s="1795"/>
      <c r="G45" s="2538">
        <v>4</v>
      </c>
      <c r="H45" s="2539">
        <v>4</v>
      </c>
      <c r="I45" s="2538">
        <v>4</v>
      </c>
      <c r="J45" s="2539">
        <v>4</v>
      </c>
      <c r="K45" s="2540">
        <v>4</v>
      </c>
      <c r="L45" s="1616"/>
      <c r="M45" s="279" t="s">
        <v>6377</v>
      </c>
      <c r="N45" s="1613"/>
      <c r="P45" s="1805">
        <f>'Part VI-Revenues &amp; Expenses'!P115+'Part VI-Revenues &amp; Expenses'!P122+'Part VI-Revenues &amp; Expenses'!P123</f>
        <v>48</v>
      </c>
      <c r="R45" s="1615" t="s">
        <v>2150</v>
      </c>
      <c r="S45" s="2537" t="s">
        <v>3969</v>
      </c>
      <c r="T45" s="1794"/>
      <c r="U45" s="1795"/>
      <c r="V45" s="1795"/>
      <c r="W45" s="1795"/>
      <c r="X45" s="2541">
        <f>O256</f>
        <v>4</v>
      </c>
      <c r="Y45" s="2542">
        <f>O256</f>
        <v>4</v>
      </c>
      <c r="Z45" s="2541">
        <f>O256</f>
        <v>4</v>
      </c>
      <c r="AA45" s="2542">
        <f>O256</f>
        <v>4</v>
      </c>
      <c r="AB45" s="2552">
        <f>O256</f>
        <v>4</v>
      </c>
      <c r="AC45" s="2544">
        <f>P256</f>
        <v>0</v>
      </c>
      <c r="AD45" s="2542">
        <f>P256</f>
        <v>0</v>
      </c>
      <c r="AE45" s="2541">
        <f>P256</f>
        <v>0</v>
      </c>
      <c r="AF45" s="2542">
        <f>P256</f>
        <v>0</v>
      </c>
      <c r="AG45" s="2553">
        <f>P256</f>
        <v>0</v>
      </c>
    </row>
    <row r="46" spans="1:33" s="157" customFormat="1" ht="10.5" customHeight="1">
      <c r="A46" s="1615" t="s">
        <v>3522</v>
      </c>
      <c r="B46" s="2537" t="s">
        <v>6363</v>
      </c>
      <c r="C46" s="1794"/>
      <c r="D46" s="1795"/>
      <c r="E46" s="1795"/>
      <c r="F46" s="1795"/>
      <c r="G46" s="2538">
        <v>2</v>
      </c>
      <c r="H46" s="2539"/>
      <c r="I46" s="2538">
        <v>2</v>
      </c>
      <c r="J46" s="2539"/>
      <c r="K46" s="2540"/>
      <c r="L46" s="1613"/>
      <c r="M46" s="279" t="s">
        <v>6577</v>
      </c>
      <c r="N46" s="1614"/>
      <c r="O46" s="1614"/>
      <c r="P46" s="1805">
        <f>'Part VI-Revenues &amp; Expenses'!P118+'Part VI-Revenues &amp; Expenses'!P121-'Part VI-Revenues &amp; Expenses'!$P$122-'Part VI-Revenues &amp; Expenses'!$P$123</f>
        <v>0</v>
      </c>
      <c r="Q46" s="1613"/>
      <c r="R46" s="1615" t="s">
        <v>3522</v>
      </c>
      <c r="S46" s="2537" t="s">
        <v>6363</v>
      </c>
      <c r="T46" s="1794"/>
      <c r="U46" s="1795"/>
      <c r="V46" s="1795"/>
      <c r="W46" s="1795"/>
      <c r="X46" s="2554"/>
      <c r="Y46" s="2550"/>
      <c r="Z46" s="2549"/>
      <c r="AA46" s="2550"/>
      <c r="AB46" s="2551"/>
      <c r="AC46" s="2548">
        <f>P269</f>
        <v>0</v>
      </c>
      <c r="AD46" s="2539"/>
      <c r="AE46" s="2538">
        <f>P269</f>
        <v>0</v>
      </c>
      <c r="AF46" s="2539"/>
      <c r="AG46" s="2540"/>
    </row>
    <row r="47" spans="1:33" s="157" customFormat="1" ht="10.5" customHeight="1">
      <c r="A47" s="1615" t="s">
        <v>3523</v>
      </c>
      <c r="B47" s="2537" t="s">
        <v>3551</v>
      </c>
      <c r="C47" s="1794"/>
      <c r="D47" s="1795"/>
      <c r="E47" s="1795"/>
      <c r="F47" s="1795"/>
      <c r="G47" s="2538">
        <v>2</v>
      </c>
      <c r="H47" s="2539"/>
      <c r="I47" s="2538">
        <v>2</v>
      </c>
      <c r="J47" s="2539"/>
      <c r="K47" s="2540">
        <v>2</v>
      </c>
      <c r="L47" s="1613"/>
      <c r="M47" s="4308" t="s">
        <v>6827</v>
      </c>
      <c r="N47" s="4308"/>
      <c r="O47" s="4308"/>
      <c r="P47" s="4308"/>
      <c r="Q47" s="489"/>
      <c r="R47" s="1615" t="s">
        <v>3523</v>
      </c>
      <c r="S47" s="2537" t="s">
        <v>3551</v>
      </c>
      <c r="T47" s="1794"/>
      <c r="U47" s="1795"/>
      <c r="V47" s="1795"/>
      <c r="W47" s="1795"/>
      <c r="X47" s="2541">
        <f>O286</f>
        <v>0</v>
      </c>
      <c r="Y47" s="2539"/>
      <c r="Z47" s="2541">
        <f>O286</f>
        <v>0</v>
      </c>
      <c r="AA47" s="2539"/>
      <c r="AB47" s="2552">
        <f>O286</f>
        <v>0</v>
      </c>
      <c r="AC47" s="2544">
        <f>P286</f>
        <v>0</v>
      </c>
      <c r="AD47" s="2539"/>
      <c r="AE47" s="2541">
        <f>P286</f>
        <v>0</v>
      </c>
      <c r="AF47" s="2539"/>
      <c r="AG47" s="2553">
        <f>P286</f>
        <v>0</v>
      </c>
    </row>
    <row r="48" spans="1:33" s="157" customFormat="1" ht="10.5" customHeight="1">
      <c r="A48" s="1615" t="s">
        <v>3521</v>
      </c>
      <c r="B48" s="2537" t="s">
        <v>3552</v>
      </c>
      <c r="C48" s="1794"/>
      <c r="D48" s="1795"/>
      <c r="E48" s="1795"/>
      <c r="F48" s="1795"/>
      <c r="G48" s="2538">
        <v>4</v>
      </c>
      <c r="H48" s="2539">
        <v>4</v>
      </c>
      <c r="I48" s="2538">
        <v>4</v>
      </c>
      <c r="J48" s="2539">
        <v>4</v>
      </c>
      <c r="K48" s="2540">
        <v>4</v>
      </c>
      <c r="L48" s="1613"/>
      <c r="M48" s="4308"/>
      <c r="N48" s="4308"/>
      <c r="O48" s="4308"/>
      <c r="P48" s="4308"/>
      <c r="R48" s="1615" t="s">
        <v>3521</v>
      </c>
      <c r="S48" s="2537" t="s">
        <v>3552</v>
      </c>
      <c r="T48" s="1794"/>
      <c r="U48" s="1795"/>
      <c r="V48" s="1795"/>
      <c r="W48" s="1795"/>
      <c r="X48" s="2541">
        <f>O294</f>
        <v>0</v>
      </c>
      <c r="Y48" s="2542">
        <f>O294</f>
        <v>0</v>
      </c>
      <c r="Z48" s="2541">
        <f>O294</f>
        <v>0</v>
      </c>
      <c r="AA48" s="2542">
        <f>O294</f>
        <v>0</v>
      </c>
      <c r="AB48" s="2552">
        <f>O294</f>
        <v>0</v>
      </c>
      <c r="AC48" s="2544">
        <f>P294</f>
        <v>0</v>
      </c>
      <c r="AD48" s="2542">
        <f>P294</f>
        <v>0</v>
      </c>
      <c r="AE48" s="2541">
        <f>P294</f>
        <v>0</v>
      </c>
      <c r="AF48" s="2542">
        <f>P294</f>
        <v>0</v>
      </c>
      <c r="AG48" s="2553">
        <f>P294</f>
        <v>0</v>
      </c>
    </row>
    <row r="49" spans="1:33" s="157" customFormat="1" ht="10.5" customHeight="1">
      <c r="A49" s="1615" t="s">
        <v>3524</v>
      </c>
      <c r="B49" s="2537" t="s">
        <v>3553</v>
      </c>
      <c r="C49" s="1794"/>
      <c r="D49" s="1795"/>
      <c r="E49" s="1795"/>
      <c r="F49" s="1795"/>
      <c r="G49" s="2538">
        <v>2</v>
      </c>
      <c r="H49" s="2539"/>
      <c r="I49" s="2538"/>
      <c r="J49" s="2539"/>
      <c r="K49" s="2540"/>
      <c r="L49" s="1613"/>
      <c r="M49" s="4308"/>
      <c r="N49" s="4308"/>
      <c r="O49" s="4308"/>
      <c r="P49" s="4308"/>
      <c r="R49" s="1615" t="s">
        <v>3524</v>
      </c>
      <c r="S49" s="2537" t="s">
        <v>3553</v>
      </c>
      <c r="T49" s="1794"/>
      <c r="U49" s="1795"/>
      <c r="V49" s="1795"/>
      <c r="W49" s="1795"/>
      <c r="X49" s="2538">
        <f>O330</f>
        <v>0</v>
      </c>
      <c r="Y49" s="2539"/>
      <c r="Z49" s="2538"/>
      <c r="AA49" s="2539"/>
      <c r="AB49" s="2543"/>
      <c r="AC49" s="2548">
        <f>P330</f>
        <v>0</v>
      </c>
      <c r="AD49" s="2539"/>
      <c r="AE49" s="2538"/>
      <c r="AF49" s="2539"/>
      <c r="AG49" s="2540"/>
    </row>
    <row r="50" spans="1:33" s="157" customFormat="1" ht="10.5" customHeight="1">
      <c r="A50" s="1615" t="s">
        <v>3525</v>
      </c>
      <c r="B50" s="2537" t="s">
        <v>6364</v>
      </c>
      <c r="C50" s="1794"/>
      <c r="D50" s="1795"/>
      <c r="E50" s="1795"/>
      <c r="F50" s="1795"/>
      <c r="G50" s="2538">
        <v>10</v>
      </c>
      <c r="H50" s="2539">
        <v>10</v>
      </c>
      <c r="I50" s="2538">
        <v>10</v>
      </c>
      <c r="J50" s="2539">
        <v>10</v>
      </c>
      <c r="K50" s="2540">
        <v>10</v>
      </c>
      <c r="L50" s="1613"/>
      <c r="M50" s="4308"/>
      <c r="N50" s="4308"/>
      <c r="O50" s="4308"/>
      <c r="P50" s="4308"/>
      <c r="R50" s="1615" t="s">
        <v>3525</v>
      </c>
      <c r="S50" s="2537" t="s">
        <v>6364</v>
      </c>
      <c r="T50" s="1794"/>
      <c r="U50" s="1795"/>
      <c r="V50" s="1795"/>
      <c r="W50" s="1795"/>
      <c r="X50" s="2541">
        <f>O350</f>
        <v>10</v>
      </c>
      <c r="Y50" s="2542">
        <f>O350</f>
        <v>10</v>
      </c>
      <c r="Z50" s="2541">
        <f>O350</f>
        <v>10</v>
      </c>
      <c r="AA50" s="2542">
        <f>O350</f>
        <v>10</v>
      </c>
      <c r="AB50" s="2552">
        <f>O350</f>
        <v>10</v>
      </c>
      <c r="AC50" s="2544">
        <f>P350</f>
        <v>10</v>
      </c>
      <c r="AD50" s="2542">
        <f>P350</f>
        <v>10</v>
      </c>
      <c r="AE50" s="2541">
        <f>P350</f>
        <v>10</v>
      </c>
      <c r="AF50" s="2542">
        <f>P350</f>
        <v>10</v>
      </c>
      <c r="AG50" s="2553">
        <f>P350</f>
        <v>10</v>
      </c>
    </row>
    <row r="51" spans="1:33" s="157" customFormat="1" ht="10.5" customHeight="1">
      <c r="A51" s="1615" t="s">
        <v>3528</v>
      </c>
      <c r="B51" s="2537" t="s">
        <v>6365</v>
      </c>
      <c r="C51" s="1794"/>
      <c r="D51" s="1795"/>
      <c r="E51" s="1795"/>
      <c r="F51" s="1795"/>
      <c r="G51" s="2538">
        <v>2</v>
      </c>
      <c r="H51" s="2539"/>
      <c r="I51" s="2538">
        <v>2</v>
      </c>
      <c r="J51" s="2539"/>
      <c r="K51" s="2540"/>
      <c r="L51" s="1613"/>
      <c r="M51" s="4308"/>
      <c r="N51" s="4308"/>
      <c r="O51" s="4308"/>
      <c r="P51" s="4308"/>
      <c r="R51" s="1615" t="s">
        <v>3528</v>
      </c>
      <c r="S51" s="2537" t="s">
        <v>6365</v>
      </c>
      <c r="T51" s="1794"/>
      <c r="U51" s="1795"/>
      <c r="V51" s="1795"/>
      <c r="W51" s="1795"/>
      <c r="X51" s="2541">
        <f>O358</f>
        <v>2</v>
      </c>
      <c r="Y51" s="2539"/>
      <c r="Z51" s="2541">
        <f>O358</f>
        <v>2</v>
      </c>
      <c r="AA51" s="2539"/>
      <c r="AB51" s="2543"/>
      <c r="AC51" s="2544">
        <f>P358</f>
        <v>0</v>
      </c>
      <c r="AD51" s="2539"/>
      <c r="AE51" s="2541">
        <f>P358</f>
        <v>0</v>
      </c>
      <c r="AF51" s="2539"/>
      <c r="AG51" s="2540"/>
    </row>
    <row r="52" spans="1:33" s="157" customFormat="1" ht="10.5" customHeight="1">
      <c r="A52" s="1615" t="s">
        <v>3529</v>
      </c>
      <c r="B52" s="2537" t="s">
        <v>6366</v>
      </c>
      <c r="C52" s="1794"/>
      <c r="D52" s="1795"/>
      <c r="E52" s="1795"/>
      <c r="F52" s="1795"/>
      <c r="G52" s="2538"/>
      <c r="H52" s="2539"/>
      <c r="I52" s="2538">
        <v>6</v>
      </c>
      <c r="J52" s="2539">
        <v>6</v>
      </c>
      <c r="K52" s="2540">
        <v>6</v>
      </c>
      <c r="L52" s="1613"/>
      <c r="M52" s="4309"/>
      <c r="N52" s="4309"/>
      <c r="O52" s="4309"/>
      <c r="P52" s="4309"/>
      <c r="R52" s="1615" t="s">
        <v>3529</v>
      </c>
      <c r="S52" s="2537" t="s">
        <v>6366</v>
      </c>
      <c r="T52" s="1794"/>
      <c r="U52" s="1795"/>
      <c r="V52" s="1795"/>
      <c r="W52" s="1795"/>
      <c r="X52" s="2538"/>
      <c r="Y52" s="2539"/>
      <c r="Z52" s="2541">
        <f>O379</f>
        <v>0</v>
      </c>
      <c r="AA52" s="2542">
        <f>O379</f>
        <v>0</v>
      </c>
      <c r="AB52" s="2552">
        <f>O379</f>
        <v>0</v>
      </c>
      <c r="AC52" s="2548"/>
      <c r="AD52" s="2539"/>
      <c r="AE52" s="2541">
        <f>P379</f>
        <v>0</v>
      </c>
      <c r="AF52" s="2542">
        <f>P379</f>
        <v>0</v>
      </c>
      <c r="AG52" s="2553">
        <f>P379</f>
        <v>0</v>
      </c>
    </row>
    <row r="53" spans="1:33" s="157" customFormat="1" ht="10.5" customHeight="1">
      <c r="A53" s="1615" t="s">
        <v>3530</v>
      </c>
      <c r="B53" s="2537" t="s">
        <v>6367</v>
      </c>
      <c r="C53" s="1794"/>
      <c r="D53" s="1795"/>
      <c r="E53" s="1795"/>
      <c r="F53" s="1795"/>
      <c r="G53" s="2538"/>
      <c r="H53" s="2539"/>
      <c r="I53" s="2538">
        <v>6</v>
      </c>
      <c r="J53" s="2539"/>
      <c r="K53" s="2540"/>
      <c r="L53" s="1613"/>
      <c r="M53" s="4335" t="s">
        <v>6357</v>
      </c>
      <c r="N53" s="4336"/>
      <c r="O53" s="4336"/>
      <c r="P53" s="4337"/>
      <c r="Q53" s="1613"/>
      <c r="R53" s="1615" t="s">
        <v>3530</v>
      </c>
      <c r="S53" s="2537" t="s">
        <v>6367</v>
      </c>
      <c r="T53" s="1794"/>
      <c r="U53" s="1795"/>
      <c r="V53" s="1795"/>
      <c r="W53" s="1795"/>
      <c r="X53" s="2538"/>
      <c r="Y53" s="2539"/>
      <c r="Z53" s="2538">
        <f>O383</f>
        <v>0</v>
      </c>
      <c r="AA53" s="2539"/>
      <c r="AB53" s="2543"/>
      <c r="AC53" s="2548"/>
      <c r="AD53" s="2539"/>
      <c r="AE53" s="2538">
        <f>P383</f>
        <v>0</v>
      </c>
      <c r="AF53" s="2539"/>
      <c r="AG53" s="2540"/>
    </row>
    <row r="54" spans="1:33" s="157" customFormat="1" ht="10.5" customHeight="1">
      <c r="A54" s="1615" t="s">
        <v>3531</v>
      </c>
      <c r="B54" s="2537" t="s">
        <v>6368</v>
      </c>
      <c r="C54" s="1794"/>
      <c r="D54" s="1795"/>
      <c r="E54" s="1795"/>
      <c r="F54" s="1795"/>
      <c r="G54" s="2538"/>
      <c r="H54" s="2539"/>
      <c r="I54" s="2538"/>
      <c r="J54" s="2539">
        <v>4</v>
      </c>
      <c r="K54" s="2540"/>
      <c r="L54" s="1613"/>
      <c r="Q54" s="1613"/>
      <c r="R54" s="1615" t="s">
        <v>3531</v>
      </c>
      <c r="S54" s="2537" t="s">
        <v>6368</v>
      </c>
      <c r="T54" s="1794"/>
      <c r="U54" s="1795"/>
      <c r="V54" s="1795"/>
      <c r="W54" s="1795"/>
      <c r="X54" s="2538"/>
      <c r="Y54" s="2539"/>
      <c r="Z54" s="2538"/>
      <c r="AA54" s="2542">
        <f>O387</f>
        <v>0</v>
      </c>
      <c r="AB54" s="2543"/>
      <c r="AC54" s="2548"/>
      <c r="AD54" s="2539"/>
      <c r="AE54" s="2538"/>
      <c r="AF54" s="2542">
        <f>P387</f>
        <v>0</v>
      </c>
      <c r="AG54" s="2540"/>
    </row>
    <row r="55" spans="1:33" s="157" customFormat="1" ht="10.5" customHeight="1">
      <c r="A55" s="1615" t="s">
        <v>3532</v>
      </c>
      <c r="B55" s="2537" t="s">
        <v>6369</v>
      </c>
      <c r="C55" s="1794"/>
      <c r="D55" s="1795"/>
      <c r="E55" s="1795"/>
      <c r="F55" s="1795"/>
      <c r="G55" s="2538"/>
      <c r="H55" s="2539"/>
      <c r="I55" s="2538">
        <v>2</v>
      </c>
      <c r="J55" s="2539"/>
      <c r="K55" s="2540">
        <v>2</v>
      </c>
      <c r="L55" s="1613"/>
      <c r="M55" s="4271" t="s">
        <v>6376</v>
      </c>
      <c r="N55" s="4271"/>
      <c r="O55" s="4271"/>
      <c r="P55" s="4271"/>
      <c r="Q55" s="1613"/>
      <c r="R55" s="1615" t="s">
        <v>3532</v>
      </c>
      <c r="S55" s="2537" t="s">
        <v>6369</v>
      </c>
      <c r="T55" s="1794"/>
      <c r="U55" s="1795"/>
      <c r="V55" s="1795"/>
      <c r="W55" s="1795"/>
      <c r="X55" s="2538"/>
      <c r="Y55" s="2539"/>
      <c r="Z55" s="2541">
        <f>O391</f>
        <v>0</v>
      </c>
      <c r="AA55" s="2539"/>
      <c r="AB55" s="2552">
        <f>O391</f>
        <v>0</v>
      </c>
      <c r="AC55" s="2548"/>
      <c r="AD55" s="2539"/>
      <c r="AE55" s="2541">
        <f>P391</f>
        <v>0</v>
      </c>
      <c r="AF55" s="2539"/>
      <c r="AG55" s="2553">
        <f>P391</f>
        <v>0</v>
      </c>
    </row>
    <row r="56" spans="1:33" s="157" customFormat="1" ht="10.5" customHeight="1">
      <c r="A56" s="1615" t="s">
        <v>3533</v>
      </c>
      <c r="B56" s="2555" t="s">
        <v>6370</v>
      </c>
      <c r="C56" s="1796"/>
      <c r="D56" s="1797"/>
      <c r="E56" s="1797"/>
      <c r="F56" s="1797"/>
      <c r="G56" s="2556"/>
      <c r="H56" s="2557">
        <v>16</v>
      </c>
      <c r="I56" s="2556"/>
      <c r="J56" s="2557">
        <v>16</v>
      </c>
      <c r="K56" s="2558"/>
      <c r="L56" s="1613"/>
      <c r="M56" s="4267" t="str">
        <f>'Part I-Project Information'!$H$105</f>
        <v>Rural</v>
      </c>
      <c r="N56" s="4268"/>
      <c r="O56" s="4268"/>
      <c r="P56" s="4269"/>
      <c r="Q56" s="1613"/>
      <c r="R56" s="1615" t="s">
        <v>3533</v>
      </c>
      <c r="S56" s="2555" t="s">
        <v>6370</v>
      </c>
      <c r="T56" s="1796"/>
      <c r="U56" s="1797"/>
      <c r="V56" s="1797"/>
      <c r="W56" s="1797"/>
      <c r="X56" s="2556"/>
      <c r="Y56" s="2559">
        <f>O395</f>
        <v>0</v>
      </c>
      <c r="Z56" s="2556"/>
      <c r="AA56" s="2559">
        <f>O395</f>
        <v>0</v>
      </c>
      <c r="AB56" s="2560"/>
      <c r="AC56" s="2561"/>
      <c r="AD56" s="2559">
        <f>P395</f>
        <v>0</v>
      </c>
      <c r="AE56" s="2556"/>
      <c r="AF56" s="2559">
        <f>P395</f>
        <v>0</v>
      </c>
      <c r="AG56" s="2558"/>
    </row>
    <row r="57" spans="1:33" s="43" customFormat="1" ht="2.25" customHeight="1">
      <c r="A57" s="42"/>
      <c r="B57" s="63"/>
      <c r="C57" s="36"/>
      <c r="D57" s="48"/>
      <c r="E57" s="48"/>
      <c r="F57" s="53"/>
      <c r="G57" s="48"/>
      <c r="H57" s="48"/>
      <c r="I57" s="48"/>
      <c r="J57" s="48"/>
      <c r="K57" s="48"/>
      <c r="L57" s="42"/>
      <c r="M57" s="46"/>
      <c r="N57" s="62"/>
      <c r="O57" s="3"/>
      <c r="P57" s="777"/>
      <c r="R57" s="522"/>
      <c r="S57" s="522"/>
      <c r="T57" s="2562"/>
      <c r="U57" s="2562"/>
      <c r="V57" s="2562"/>
      <c r="W57" s="2562"/>
      <c r="X57" s="2562"/>
      <c r="Y57" s="2562"/>
      <c r="Z57" s="2562"/>
      <c r="AA57" s="2562"/>
      <c r="AB57" s="2562"/>
      <c r="AC57" s="2562"/>
      <c r="AD57" s="2562"/>
      <c r="AE57" s="2562"/>
      <c r="AF57" s="2562"/>
      <c r="AG57" s="2562"/>
    </row>
    <row r="58" spans="1:33" s="43" customFormat="1" ht="6" customHeight="1" thickBot="1">
      <c r="A58" s="42"/>
      <c r="B58" s="63"/>
      <c r="C58" s="36"/>
      <c r="D58" s="1718" t="s">
        <v>6535</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2"/>
      <c r="U58" s="2562"/>
      <c r="V58" s="2562"/>
      <c r="W58" s="2562"/>
      <c r="X58" s="2563">
        <f>SUM(X33:X56)</f>
        <v>67</v>
      </c>
      <c r="Y58" s="2563">
        <f t="shared" ref="Y58:AB58" si="1">SUM(Y33:Y56)</f>
        <v>51</v>
      </c>
      <c r="Z58" s="2563">
        <f t="shared" si="1"/>
        <v>28</v>
      </c>
      <c r="AA58" s="2563">
        <f t="shared" si="1"/>
        <v>16</v>
      </c>
      <c r="AB58" s="2563">
        <f t="shared" si="1"/>
        <v>24</v>
      </c>
      <c r="AC58" s="2563">
        <f>SUM(AC33:AC56)</f>
        <v>20</v>
      </c>
      <c r="AD58" s="2563">
        <f t="shared" ref="AD58:AG58" si="2">SUM(AD33:AD56)</f>
        <v>10</v>
      </c>
      <c r="AE58" s="2563">
        <f t="shared" si="2"/>
        <v>20</v>
      </c>
      <c r="AF58" s="2563">
        <f t="shared" si="2"/>
        <v>10</v>
      </c>
      <c r="AG58" s="2563">
        <f t="shared" si="2"/>
        <v>20</v>
      </c>
    </row>
    <row r="59" spans="1:33" s="42" customFormat="1" ht="13.5" customHeight="1" thickBot="1">
      <c r="A59" s="151" t="s">
        <v>712</v>
      </c>
      <c r="B59" s="105" t="s">
        <v>2607</v>
      </c>
      <c r="C59" s="4"/>
      <c r="D59" s="4"/>
      <c r="E59" s="4"/>
      <c r="F59" s="52"/>
      <c r="G59" s="52"/>
      <c r="H59" s="170" t="s">
        <v>4006</v>
      </c>
      <c r="M59" s="2651">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1894</v>
      </c>
      <c r="B61" s="163" t="s">
        <v>3970</v>
      </c>
      <c r="D61" s="48"/>
      <c r="E61" s="48"/>
      <c r="F61" s="1673"/>
      <c r="N61" s="64" t="s">
        <v>1894</v>
      </c>
      <c r="P61" s="1680">
        <f>SUM(P62:P64)</f>
        <v>0</v>
      </c>
      <c r="Q61" s="36" t="s">
        <v>6532</v>
      </c>
    </row>
    <row r="62" spans="1:33" s="43" customFormat="1" ht="12.75" customHeight="1">
      <c r="A62" s="176"/>
      <c r="B62" s="1681" t="s">
        <v>1897</v>
      </c>
      <c r="C62" s="109" t="s">
        <v>3973</v>
      </c>
      <c r="D62" s="48"/>
      <c r="E62" s="48"/>
      <c r="F62" s="1673"/>
      <c r="H62" s="170" t="s">
        <v>3299</v>
      </c>
      <c r="J62" s="49"/>
      <c r="N62" s="381" t="s">
        <v>1897</v>
      </c>
      <c r="P62" s="976">
        <f>F70</f>
        <v>0</v>
      </c>
    </row>
    <row r="63" spans="1:33" s="43" customFormat="1" ht="12.75" customHeight="1">
      <c r="A63" s="176"/>
      <c r="B63" s="1681" t="s">
        <v>1899</v>
      </c>
      <c r="C63" s="109" t="s">
        <v>6531</v>
      </c>
      <c r="D63" s="48"/>
      <c r="E63" s="48"/>
      <c r="F63" s="1673"/>
      <c r="H63" s="170" t="s">
        <v>3971</v>
      </c>
      <c r="J63" s="49"/>
      <c r="N63" s="381" t="s">
        <v>1899</v>
      </c>
      <c r="P63" s="1261">
        <f>J70</f>
        <v>0</v>
      </c>
    </row>
    <row r="64" spans="1:33" s="43" customFormat="1" ht="12.75" customHeight="1">
      <c r="A64" s="176"/>
      <c r="B64" s="1681" t="s">
        <v>2417</v>
      </c>
      <c r="C64" s="109" t="s">
        <v>3972</v>
      </c>
      <c r="D64" s="48"/>
      <c r="E64" s="48"/>
      <c r="F64" s="1673"/>
      <c r="H64" s="170" t="s">
        <v>3976</v>
      </c>
      <c r="J64" s="49"/>
      <c r="N64" s="381" t="s">
        <v>2417</v>
      </c>
      <c r="P64" s="2986"/>
    </row>
    <row r="65" spans="1:20" s="43" customFormat="1" ht="12.75" customHeight="1">
      <c r="C65" s="4310" t="s">
        <v>4082</v>
      </c>
      <c r="D65" s="4311"/>
      <c r="E65" s="4311"/>
      <c r="F65" s="4311"/>
      <c r="G65" s="4311"/>
      <c r="H65" s="4311"/>
      <c r="I65" s="4311"/>
      <c r="J65" s="4311"/>
      <c r="K65" s="4311"/>
      <c r="L65" s="4311"/>
      <c r="M65" s="4311"/>
      <c r="N65" s="4311"/>
      <c r="O65" s="4311"/>
      <c r="P65" s="4312"/>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1896</v>
      </c>
      <c r="B67" s="163" t="s">
        <v>696</v>
      </c>
      <c r="D67" s="48"/>
      <c r="E67" s="48"/>
      <c r="F67" s="1673"/>
      <c r="H67" s="170" t="s">
        <v>2571</v>
      </c>
      <c r="J67" s="49"/>
      <c r="M67" s="6"/>
      <c r="N67" s="64" t="s">
        <v>1896</v>
      </c>
      <c r="P67" s="1264">
        <f>O70</f>
        <v>0</v>
      </c>
      <c r="Q67" s="36" t="s">
        <v>6532</v>
      </c>
    </row>
    <row r="68" spans="1:20" s="414" customFormat="1" ht="3" customHeight="1">
      <c r="A68" s="531"/>
      <c r="B68" s="528"/>
      <c r="C68" s="529"/>
      <c r="D68" s="138"/>
      <c r="K68" s="785"/>
      <c r="L68" s="785"/>
      <c r="M68" s="910"/>
      <c r="N68" s="381"/>
      <c r="O68" s="790"/>
      <c r="P68" s="790"/>
    </row>
    <row r="69" spans="1:20" s="42" customFormat="1" ht="12.75" customHeight="1">
      <c r="A69" s="4085" t="s">
        <v>6286</v>
      </c>
      <c r="B69" s="4085"/>
      <c r="C69" s="4085"/>
      <c r="D69" s="4085"/>
      <c r="E69" s="4085"/>
      <c r="F69" s="1260" t="s">
        <v>3545</v>
      </c>
      <c r="G69" s="4292" t="s">
        <v>6288</v>
      </c>
      <c r="H69" s="4292"/>
      <c r="I69" s="4292"/>
      <c r="J69" s="1260" t="s">
        <v>3545</v>
      </c>
      <c r="K69" s="4296" t="s">
        <v>6287</v>
      </c>
      <c r="L69" s="4296"/>
      <c r="M69" s="4296"/>
      <c r="N69" s="4296"/>
      <c r="O69" s="4290" t="s">
        <v>3545</v>
      </c>
      <c r="P69" s="4291"/>
      <c r="R69" s="429"/>
      <c r="S69" s="156"/>
    </row>
    <row r="70" spans="1:20" s="42" customFormat="1" ht="12.75" customHeight="1">
      <c r="A70" s="4289"/>
      <c r="B70" s="4289"/>
      <c r="C70" s="4289"/>
      <c r="D70" s="4289"/>
      <c r="E70" s="4289"/>
      <c r="F70" s="76">
        <f>SUM(F71:F82)</f>
        <v>0</v>
      </c>
      <c r="G70" s="4293"/>
      <c r="H70" s="4294"/>
      <c r="I70" s="4295"/>
      <c r="J70" s="76">
        <f>SUM(J71:J82)</f>
        <v>0</v>
      </c>
      <c r="K70" s="4297"/>
      <c r="L70" s="4298"/>
      <c r="M70" s="4298"/>
      <c r="N70" s="4299"/>
      <c r="O70" s="4280">
        <f>SUM(O71:O82)</f>
        <v>0</v>
      </c>
      <c r="P70" s="4281"/>
      <c r="Q70" s="429"/>
      <c r="R70" s="156"/>
    </row>
    <row r="71" spans="1:20" s="42" customFormat="1" ht="24.75" customHeight="1">
      <c r="A71" s="4282">
        <v>1</v>
      </c>
      <c r="B71" s="4283"/>
      <c r="C71" s="4283"/>
      <c r="D71" s="4283"/>
      <c r="E71" s="4284"/>
      <c r="F71" s="2987"/>
      <c r="G71" s="4282">
        <v>1</v>
      </c>
      <c r="H71" s="4283"/>
      <c r="I71" s="4284"/>
      <c r="J71" s="775" t="s">
        <v>1654</v>
      </c>
      <c r="K71" s="4285">
        <v>1</v>
      </c>
      <c r="L71" s="4286"/>
      <c r="M71" s="4286"/>
      <c r="N71" s="4286"/>
      <c r="O71" s="4287" t="s">
        <v>1654</v>
      </c>
      <c r="P71" s="4288"/>
      <c r="Q71" s="427" t="s">
        <v>1208</v>
      </c>
      <c r="R71" s="156"/>
    </row>
    <row r="72" spans="1:20" s="42" customFormat="1" ht="24.75" customHeight="1">
      <c r="A72" s="4251">
        <v>2</v>
      </c>
      <c r="B72" s="4252"/>
      <c r="C72" s="4252"/>
      <c r="D72" s="4252"/>
      <c r="E72" s="4253"/>
      <c r="F72" s="2988"/>
      <c r="G72" s="4251">
        <v>2</v>
      </c>
      <c r="H72" s="4252"/>
      <c r="I72" s="4253"/>
      <c r="J72" s="2988"/>
      <c r="K72" s="4275">
        <v>2</v>
      </c>
      <c r="L72" s="4276"/>
      <c r="M72" s="4276"/>
      <c r="N72" s="4276"/>
      <c r="O72" s="4241"/>
      <c r="P72" s="4242"/>
      <c r="Q72" s="428"/>
      <c r="R72" s="156"/>
    </row>
    <row r="73" spans="1:20" s="42" customFormat="1" ht="24.75" customHeight="1">
      <c r="A73" s="4251">
        <v>3</v>
      </c>
      <c r="B73" s="4252"/>
      <c r="C73" s="4252"/>
      <c r="D73" s="4252"/>
      <c r="E73" s="4253"/>
      <c r="F73" s="2988"/>
      <c r="G73" s="4251">
        <v>3</v>
      </c>
      <c r="H73" s="4252"/>
      <c r="I73" s="4253"/>
      <c r="J73" s="1003" t="s">
        <v>2693</v>
      </c>
      <c r="K73" s="4275">
        <v>3</v>
      </c>
      <c r="L73" s="4276"/>
      <c r="M73" s="4276"/>
      <c r="N73" s="4276"/>
      <c r="O73" s="4431" t="s">
        <v>2693</v>
      </c>
      <c r="P73" s="4432"/>
      <c r="Q73" s="4429" t="s">
        <v>3974</v>
      </c>
      <c r="R73" s="4430"/>
      <c r="S73" s="1262"/>
      <c r="T73" s="1262"/>
    </row>
    <row r="74" spans="1:20" s="42" customFormat="1" ht="24.75" customHeight="1">
      <c r="A74" s="4251">
        <v>4</v>
      </c>
      <c r="B74" s="4252"/>
      <c r="C74" s="4252"/>
      <c r="D74" s="4252"/>
      <c r="E74" s="4253"/>
      <c r="F74" s="2988"/>
      <c r="G74" s="4251">
        <v>4</v>
      </c>
      <c r="H74" s="4252"/>
      <c r="I74" s="4253"/>
      <c r="J74" s="2988"/>
      <c r="K74" s="4275">
        <v>4</v>
      </c>
      <c r="L74" s="4276"/>
      <c r="M74" s="4276"/>
      <c r="N74" s="4276"/>
      <c r="O74" s="4431" t="s">
        <v>2693</v>
      </c>
      <c r="P74" s="4432"/>
      <c r="Q74" s="4429"/>
      <c r="R74" s="4430"/>
      <c r="S74" s="1262"/>
      <c r="T74" s="1262"/>
    </row>
    <row r="75" spans="1:20" s="42" customFormat="1" ht="24.75" customHeight="1">
      <c r="A75" s="4251">
        <v>5</v>
      </c>
      <c r="B75" s="4252"/>
      <c r="C75" s="4252"/>
      <c r="D75" s="4252"/>
      <c r="E75" s="4253"/>
      <c r="F75" s="2988"/>
      <c r="G75" s="4251">
        <v>5</v>
      </c>
      <c r="H75" s="4252"/>
      <c r="I75" s="4253"/>
      <c r="J75" s="1003" t="s">
        <v>3266</v>
      </c>
      <c r="K75" s="4275">
        <v>5</v>
      </c>
      <c r="L75" s="4276"/>
      <c r="M75" s="4276"/>
      <c r="N75" s="4276"/>
      <c r="O75" s="4241"/>
      <c r="P75" s="4242"/>
      <c r="Q75" s="4429"/>
      <c r="R75" s="4430"/>
      <c r="S75" s="1262"/>
      <c r="T75" s="1262"/>
    </row>
    <row r="76" spans="1:20" s="42" customFormat="1" ht="24" customHeight="1">
      <c r="A76" s="4251">
        <v>6</v>
      </c>
      <c r="B76" s="4252"/>
      <c r="C76" s="4252"/>
      <c r="D76" s="4252"/>
      <c r="E76" s="4253"/>
      <c r="F76" s="2988"/>
      <c r="G76" s="4251">
        <v>6</v>
      </c>
      <c r="H76" s="4252"/>
      <c r="I76" s="4253"/>
      <c r="J76" s="2988"/>
      <c r="K76" s="4275">
        <v>6</v>
      </c>
      <c r="L76" s="4276"/>
      <c r="M76" s="4276"/>
      <c r="N76" s="4276"/>
      <c r="O76" s="4241"/>
      <c r="P76" s="4242"/>
      <c r="Q76" s="4429"/>
      <c r="R76" s="4430"/>
    </row>
    <row r="77" spans="1:20" s="42" customFormat="1" ht="24.75" customHeight="1">
      <c r="A77" s="4251">
        <v>7</v>
      </c>
      <c r="B77" s="4252"/>
      <c r="C77" s="4252"/>
      <c r="D77" s="4252"/>
      <c r="E77" s="4253"/>
      <c r="F77" s="2988"/>
      <c r="G77" s="4251">
        <v>7</v>
      </c>
      <c r="H77" s="4252"/>
      <c r="I77" s="4253"/>
      <c r="J77" s="1003" t="s">
        <v>3267</v>
      </c>
      <c r="K77" s="4275">
        <v>7</v>
      </c>
      <c r="L77" s="4276"/>
      <c r="M77" s="4276"/>
      <c r="N77" s="4276"/>
      <c r="O77" s="4241"/>
      <c r="P77" s="4242"/>
      <c r="Q77" s="156"/>
      <c r="R77" s="156"/>
    </row>
    <row r="78" spans="1:20" s="42" customFormat="1" ht="24.75" customHeight="1">
      <c r="A78" s="4251">
        <v>8</v>
      </c>
      <c r="B78" s="4252"/>
      <c r="C78" s="4252"/>
      <c r="D78" s="4252"/>
      <c r="E78" s="4253"/>
      <c r="F78" s="2988"/>
      <c r="G78" s="4251">
        <v>8</v>
      </c>
      <c r="H78" s="4252"/>
      <c r="I78" s="4253"/>
      <c r="J78" s="2988"/>
      <c r="K78" s="4275">
        <v>8</v>
      </c>
      <c r="L78" s="4276"/>
      <c r="M78" s="4276"/>
      <c r="N78" s="4276"/>
      <c r="O78" s="4241"/>
      <c r="P78" s="4242"/>
      <c r="Q78" s="156"/>
      <c r="R78" s="156"/>
    </row>
    <row r="79" spans="1:20" s="42" customFormat="1" ht="24.75" customHeight="1">
      <c r="A79" s="4251">
        <v>9</v>
      </c>
      <c r="B79" s="4252"/>
      <c r="C79" s="4252"/>
      <c r="D79" s="4252"/>
      <c r="E79" s="4253"/>
      <c r="F79" s="2988"/>
      <c r="G79" s="4251">
        <v>9</v>
      </c>
      <c r="H79" s="4252"/>
      <c r="I79" s="4253"/>
      <c r="J79" s="1003" t="s">
        <v>3268</v>
      </c>
      <c r="K79" s="4275">
        <v>9</v>
      </c>
      <c r="L79" s="4276"/>
      <c r="M79" s="4276"/>
      <c r="N79" s="4276"/>
      <c r="O79" s="4241"/>
      <c r="P79" s="4242"/>
      <c r="Q79" s="156"/>
      <c r="R79" s="156"/>
    </row>
    <row r="80" spans="1:20" s="42" customFormat="1" ht="24.75" customHeight="1">
      <c r="A80" s="4251">
        <v>10</v>
      </c>
      <c r="B80" s="4252"/>
      <c r="C80" s="4252"/>
      <c r="D80" s="4252"/>
      <c r="E80" s="4253"/>
      <c r="F80" s="2988"/>
      <c r="G80" s="4251">
        <v>10</v>
      </c>
      <c r="H80" s="4252"/>
      <c r="I80" s="4253"/>
      <c r="J80" s="2988"/>
      <c r="K80" s="4275">
        <v>10</v>
      </c>
      <c r="L80" s="4276"/>
      <c r="M80" s="4276"/>
      <c r="N80" s="4276"/>
      <c r="O80" s="4241"/>
      <c r="P80" s="4242"/>
      <c r="Q80" s="156"/>
    </row>
    <row r="81" spans="1:19" s="42" customFormat="1" ht="24.75" customHeight="1">
      <c r="A81" s="4251">
        <v>11</v>
      </c>
      <c r="B81" s="4252"/>
      <c r="C81" s="4252"/>
      <c r="D81" s="4252"/>
      <c r="E81" s="4253"/>
      <c r="F81" s="2988"/>
      <c r="G81" s="4251">
        <v>11</v>
      </c>
      <c r="H81" s="4252"/>
      <c r="I81" s="4253"/>
      <c r="J81" s="1003" t="s">
        <v>3269</v>
      </c>
      <c r="K81" s="4251">
        <v>11</v>
      </c>
      <c r="L81" s="4252"/>
      <c r="M81" s="4252"/>
      <c r="N81" s="4253"/>
      <c r="O81" s="4241"/>
      <c r="P81" s="4242"/>
      <c r="Q81" s="156"/>
      <c r="R81" s="156"/>
    </row>
    <row r="82" spans="1:19" s="42" customFormat="1" ht="24.75" customHeight="1">
      <c r="A82" s="4321">
        <v>12</v>
      </c>
      <c r="B82" s="4322"/>
      <c r="C82" s="4322"/>
      <c r="D82" s="4322"/>
      <c r="E82" s="4323"/>
      <c r="F82" s="2989"/>
      <c r="G82" s="4321">
        <v>12</v>
      </c>
      <c r="H82" s="4322"/>
      <c r="I82" s="4323"/>
      <c r="J82" s="2989"/>
      <c r="K82" s="4321">
        <v>12</v>
      </c>
      <c r="L82" s="4322"/>
      <c r="M82" s="4322"/>
      <c r="N82" s="4323"/>
      <c r="O82" s="4414"/>
      <c r="P82" s="4415"/>
    </row>
    <row r="83" spans="1:19" s="43" customFormat="1" ht="3" customHeight="1" thickBot="1">
      <c r="D83" s="39"/>
      <c r="E83" s="36"/>
      <c r="F83" s="777"/>
      <c r="G83" s="777"/>
      <c r="H83" s="777"/>
      <c r="I83" s="777"/>
      <c r="J83" s="783"/>
      <c r="K83" s="783"/>
      <c r="L83" s="783"/>
      <c r="M83" s="60"/>
      <c r="N83" s="777"/>
      <c r="O83" s="2653"/>
      <c r="P83" s="3"/>
    </row>
    <row r="84" spans="1:19" s="101" customFormat="1" ht="13.5" customHeight="1" thickBot="1">
      <c r="A84" s="151" t="s">
        <v>1711</v>
      </c>
      <c r="B84" s="105" t="s">
        <v>3270</v>
      </c>
      <c r="E84" s="57"/>
      <c r="G84" s="211"/>
      <c r="I84" s="1620" t="s">
        <v>6545</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3983</v>
      </c>
      <c r="G85" s="87"/>
      <c r="H85" s="52"/>
      <c r="I85" s="45"/>
      <c r="K85" s="488"/>
      <c r="L85" s="776"/>
      <c r="M85" s="777"/>
      <c r="N85" s="7"/>
      <c r="O85" s="3"/>
      <c r="P85" s="3"/>
      <c r="Q85" s="108"/>
      <c r="R85" s="367"/>
    </row>
    <row r="86" spans="1:19" s="43" customFormat="1" ht="13.5" customHeight="1">
      <c r="A86" s="137" t="s">
        <v>1894</v>
      </c>
      <c r="B86" s="786" t="s">
        <v>6378</v>
      </c>
      <c r="E86" s="57"/>
      <c r="G86" s="87"/>
      <c r="H86" s="55" t="s">
        <v>4068</v>
      </c>
      <c r="I86" s="1316" t="str">
        <f>'Part I-Project Information'!$K$94</f>
        <v>Income Averaging</v>
      </c>
      <c r="M86" s="777"/>
      <c r="N86" s="7"/>
      <c r="Q86" s="7"/>
      <c r="R86" s="367"/>
    </row>
    <row r="87" spans="1:19" s="101" customFormat="1" ht="9" customHeight="1">
      <c r="A87" s="137"/>
      <c r="B87" s="4410" t="s">
        <v>3977</v>
      </c>
      <c r="C87" s="4410"/>
      <c r="D87" s="4410"/>
      <c r="E87" s="4410"/>
      <c r="F87" s="4410"/>
      <c r="G87" s="4410"/>
      <c r="H87" s="4410"/>
      <c r="I87" s="4410"/>
      <c r="J87" s="4410"/>
      <c r="K87" s="4410"/>
      <c r="L87" s="4410"/>
      <c r="M87" s="777"/>
      <c r="N87" s="7"/>
      <c r="Q87" s="7"/>
      <c r="R87" s="367"/>
    </row>
    <row r="88" spans="1:19" s="101" customFormat="1" ht="13.5" customHeight="1">
      <c r="B88" s="4410"/>
      <c r="C88" s="4410"/>
      <c r="D88" s="4410"/>
      <c r="E88" s="4410"/>
      <c r="F88" s="4410"/>
      <c r="G88" s="4410"/>
      <c r="H88" s="4410"/>
      <c r="I88" s="4410"/>
      <c r="J88" s="4410"/>
      <c r="K88" s="4410"/>
      <c r="L88" s="4410"/>
      <c r="M88" s="782">
        <v>2</v>
      </c>
      <c r="N88" s="381" t="s">
        <v>1894</v>
      </c>
      <c r="O88" s="791">
        <f>IF(OR($P$35="Yes",NOT($J$84="9%")),0,MIN($M88,O89+O90))</f>
        <v>2</v>
      </c>
      <c r="P88" s="791">
        <f>IF(NOT($J$84="9%"),0,MIN($M88, P89+P90))</f>
        <v>0</v>
      </c>
    </row>
    <row r="89" spans="1:19" s="101" customFormat="1" ht="13.5" customHeight="1">
      <c r="A89" s="137"/>
      <c r="B89" s="1279" t="s">
        <v>1897</v>
      </c>
      <c r="C89" s="1268" t="s">
        <v>3978</v>
      </c>
      <c r="D89" s="52"/>
      <c r="H89" s="52" t="s">
        <v>3979</v>
      </c>
      <c r="I89" s="1266"/>
      <c r="J89" s="1318">
        <f>'Part VI-Revenues &amp; Expenses'!B50</f>
        <v>57.291666666666664</v>
      </c>
      <c r="L89" s="4413" t="str">
        <f>IF(AND(O89&gt;0,O90&gt;0), "CHOOSE EITHER A OR B, NOT BOTH!", "")</f>
        <v/>
      </c>
      <c r="M89" s="910">
        <v>2</v>
      </c>
      <c r="N89" s="172" t="s">
        <v>1897</v>
      </c>
      <c r="O89" s="2564">
        <v>2</v>
      </c>
      <c r="P89" s="2990"/>
      <c r="Q89" s="1295" t="str">
        <f>IF(OR($O89=$M89,$O89=0,$O89=""),"","*CHECK!*")</f>
        <v/>
      </c>
      <c r="R89" s="892" t="s">
        <v>4267</v>
      </c>
    </row>
    <row r="90" spans="1:19" s="101" customFormat="1" ht="13.5" customHeight="1">
      <c r="A90" s="1267" t="s">
        <v>3105</v>
      </c>
      <c r="B90" s="1279" t="s">
        <v>1899</v>
      </c>
      <c r="C90" s="1268" t="s">
        <v>3980</v>
      </c>
      <c r="D90" s="52"/>
      <c r="I90" s="1266"/>
      <c r="K90" s="52"/>
      <c r="L90" s="4413"/>
      <c r="M90" s="910">
        <v>2</v>
      </c>
      <c r="N90" s="172" t="s">
        <v>1899</v>
      </c>
      <c r="O90" s="2565"/>
      <c r="P90" s="2991"/>
      <c r="Q90" s="1295" t="str">
        <f>IF(OR($O90=$M90,$O90=0,$O90=""),"","*CHECK!*")</f>
        <v/>
      </c>
      <c r="R90" s="892" t="s">
        <v>4267</v>
      </c>
    </row>
    <row r="91" spans="1:19" s="414" customFormat="1" ht="6.75" customHeight="1">
      <c r="A91" s="531"/>
      <c r="B91" s="528"/>
      <c r="C91" s="529"/>
      <c r="D91" s="138"/>
      <c r="K91" s="785"/>
      <c r="L91" s="785"/>
      <c r="M91" s="910"/>
      <c r="N91" s="381"/>
      <c r="O91" s="790"/>
      <c r="P91" s="790"/>
    </row>
    <row r="92" spans="1:19" s="414" customFormat="1" ht="13.5" customHeight="1">
      <c r="A92" s="137" t="s">
        <v>1896</v>
      </c>
      <c r="B92" s="786" t="s">
        <v>3300</v>
      </c>
      <c r="E92" s="415"/>
      <c r="H92" s="4383" t="s">
        <v>3981</v>
      </c>
      <c r="I92" s="4384"/>
      <c r="J92" s="1271" t="s">
        <v>3982</v>
      </c>
      <c r="M92" s="782">
        <v>3</v>
      </c>
      <c r="N92" s="159" t="s">
        <v>1896</v>
      </c>
      <c r="O92" s="791">
        <f>IF(AND(O93="Yes", O94="Yes"),$M$92,0)</f>
        <v>0</v>
      </c>
      <c r="P92" s="791">
        <f>IF(AND(P93="Yes", P94="Yes"),$M$92,0)</f>
        <v>0</v>
      </c>
    </row>
    <row r="93" spans="1:19" s="414" customFormat="1" ht="13.5" customHeight="1">
      <c r="A93" s="413"/>
      <c r="B93" s="1279" t="s">
        <v>1897</v>
      </c>
      <c r="C93" s="1269">
        <v>0.3</v>
      </c>
      <c r="D93" s="841" t="s">
        <v>3301</v>
      </c>
      <c r="E93" s="415"/>
      <c r="F93" s="774"/>
      <c r="H93" s="2566"/>
      <c r="I93" s="2992"/>
      <c r="J93" s="1270">
        <f>'Part VI-Revenues &amp; Expenses'!P65</f>
        <v>48</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1897</v>
      </c>
      <c r="O93" s="787" t="str">
        <f>IF(AND(K93 &gt;= $C$93,O94="Yes"),"Yes","No")</f>
        <v>No</v>
      </c>
      <c r="P93" s="787" t="str">
        <f>IF(AND(L93 &gt;= $C$93,P94="Yes"),"Yes","No")</f>
        <v>No</v>
      </c>
    </row>
    <row r="94" spans="1:19" s="414" customFormat="1" ht="13.5" customHeight="1">
      <c r="A94" s="531"/>
      <c r="B94" s="1279" t="s">
        <v>1899</v>
      </c>
      <c r="C94" s="809" t="s">
        <v>3470</v>
      </c>
      <c r="E94" s="818"/>
      <c r="F94" s="774"/>
      <c r="I94" s="789"/>
      <c r="J94" s="789"/>
      <c r="K94" s="789"/>
      <c r="L94" s="789"/>
      <c r="M94" s="789"/>
      <c r="N94" s="381" t="s">
        <v>1899</v>
      </c>
      <c r="O94" s="2668" t="s">
        <v>2773</v>
      </c>
      <c r="P94" s="2955"/>
    </row>
    <row r="95" spans="1:19" s="43" customFormat="1" ht="10.5" customHeight="1">
      <c r="A95" s="42"/>
      <c r="B95" s="96" t="s">
        <v>1781</v>
      </c>
      <c r="C95" s="414"/>
      <c r="D95" s="85"/>
      <c r="E95" s="2654"/>
      <c r="F95" s="2654"/>
      <c r="G95" s="2654"/>
      <c r="H95" s="2654"/>
      <c r="I95" s="2654"/>
      <c r="J95" s="2654"/>
      <c r="K95" s="2654"/>
      <c r="L95" s="2654"/>
      <c r="M95" s="2654"/>
      <c r="N95" s="74"/>
      <c r="O95" s="70"/>
      <c r="P95" s="2651"/>
      <c r="Q95" s="414"/>
    </row>
    <row r="96" spans="1:19" s="43" customFormat="1" ht="22.5" customHeight="1">
      <c r="A96" s="3960"/>
      <c r="B96" s="3961"/>
      <c r="C96" s="3961"/>
      <c r="D96" s="3961"/>
      <c r="E96" s="3961"/>
      <c r="F96" s="3961"/>
      <c r="G96" s="3961"/>
      <c r="H96" s="3961"/>
      <c r="I96" s="3961"/>
      <c r="J96" s="3961"/>
      <c r="K96" s="3961"/>
      <c r="L96" s="3961"/>
      <c r="M96" s="3961"/>
      <c r="N96" s="3961"/>
      <c r="O96" s="3961"/>
      <c r="P96" s="3962"/>
      <c r="Q96" s="427"/>
    </row>
    <row r="97" spans="1:21" ht="7.5" customHeight="1" thickBot="1"/>
    <row r="98" spans="1:21" s="43" customFormat="1" ht="13.5" customHeight="1" thickBot="1">
      <c r="A98" s="151" t="s">
        <v>1713</v>
      </c>
      <c r="B98" s="104" t="s">
        <v>3520</v>
      </c>
      <c r="D98" s="41"/>
      <c r="K98" s="1624" t="s">
        <v>367</v>
      </c>
      <c r="L98" s="1625" t="str">
        <f>M43</f>
        <v>New Supply</v>
      </c>
      <c r="M98" s="2651">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45" t="s">
        <v>3386</v>
      </c>
      <c r="D99" s="39"/>
      <c r="E99" s="36"/>
      <c r="F99" s="777"/>
      <c r="G99" s="777"/>
      <c r="H99" s="897"/>
      <c r="I99" s="897"/>
      <c r="J99" s="897"/>
      <c r="K99" s="897"/>
      <c r="L99" s="897"/>
      <c r="M99" s="60"/>
      <c r="N99" s="777"/>
      <c r="O99" s="2653"/>
      <c r="P99" s="3"/>
    </row>
    <row r="100" spans="1:21" s="101" customFormat="1" ht="12.75" customHeight="1">
      <c r="A100" s="137"/>
      <c r="B100" s="36" t="s">
        <v>3423</v>
      </c>
      <c r="D100" s="33"/>
      <c r="N100" s="439"/>
      <c r="O100" s="2516" t="s">
        <v>2770</v>
      </c>
      <c r="P100" s="2993"/>
    </row>
    <row r="101" spans="1:21" s="101" customFormat="1" ht="12.75" customHeight="1">
      <c r="A101" s="137" t="s">
        <v>1894</v>
      </c>
      <c r="B101" s="163" t="s">
        <v>1788</v>
      </c>
      <c r="C101" s="4"/>
      <c r="D101" s="4"/>
      <c r="F101" s="291"/>
      <c r="H101" s="753" t="s">
        <v>2566</v>
      </c>
      <c r="I101" s="4416" t="s">
        <v>4250</v>
      </c>
      <c r="J101" s="4417"/>
      <c r="K101" s="4417"/>
      <c r="L101" s="4418"/>
      <c r="M101" s="72">
        <v>20</v>
      </c>
      <c r="N101" s="172" t="s">
        <v>1894</v>
      </c>
      <c r="O101" s="2567">
        <v>20</v>
      </c>
      <c r="P101" s="2994"/>
      <c r="Q101" s="1295"/>
      <c r="R101" s="892" t="s">
        <v>4267</v>
      </c>
    </row>
    <row r="102" spans="1:21" s="101" customFormat="1" ht="12.75" customHeight="1">
      <c r="A102" s="137" t="s">
        <v>1896</v>
      </c>
      <c r="B102" s="163" t="s">
        <v>3417</v>
      </c>
      <c r="D102" s="961"/>
      <c r="F102" s="1317"/>
      <c r="H102" s="753" t="s">
        <v>3486</v>
      </c>
      <c r="I102" s="4419"/>
      <c r="J102" s="4420"/>
      <c r="K102" s="4420"/>
      <c r="L102" s="4421"/>
      <c r="M102" s="2667" t="s">
        <v>1192</v>
      </c>
      <c r="N102" s="439" t="s">
        <v>1896</v>
      </c>
      <c r="O102" s="2568">
        <v>0</v>
      </c>
      <c r="P102" s="2995"/>
      <c r="R102" s="892" t="s">
        <v>4267</v>
      </c>
    </row>
    <row r="103" spans="1:21" s="43" customFormat="1" ht="12.75" customHeight="1" thickBot="1">
      <c r="A103" s="42"/>
      <c r="B103" s="1007" t="s">
        <v>3374</v>
      </c>
      <c r="C103" s="42"/>
      <c r="D103" s="48"/>
      <c r="E103" s="48"/>
      <c r="F103" s="48"/>
      <c r="G103" s="48"/>
      <c r="H103" s="36"/>
      <c r="I103" s="4422"/>
      <c r="J103" s="4423"/>
      <c r="K103" s="4423"/>
      <c r="L103" s="4424"/>
      <c r="M103" s="46"/>
      <c r="N103" s="62"/>
      <c r="O103" s="3"/>
      <c r="P103" s="2653"/>
    </row>
    <row r="104" spans="1:21" s="43" customFormat="1" ht="67.5" customHeight="1" thickTop="1" thickBot="1">
      <c r="A104" s="4177" t="s">
        <v>7007</v>
      </c>
      <c r="B104" s="4178"/>
      <c r="C104" s="4178"/>
      <c r="D104" s="4178"/>
      <c r="E104" s="4178"/>
      <c r="F104" s="4178"/>
      <c r="G104" s="4178"/>
      <c r="H104" s="4178"/>
      <c r="I104" s="4178"/>
      <c r="J104" s="4178"/>
      <c r="K104" s="4178"/>
      <c r="L104" s="4178"/>
      <c r="M104" s="4178"/>
      <c r="N104" s="4178"/>
      <c r="O104" s="4178"/>
      <c r="P104" s="4179"/>
      <c r="Q104" s="933" t="s">
        <v>1208</v>
      </c>
      <c r="R104" s="428"/>
    </row>
    <row r="105" spans="1:21" s="43" customFormat="1" ht="11.45" customHeight="1" thickTop="1">
      <c r="A105" s="42"/>
      <c r="B105" s="66" t="s">
        <v>1781</v>
      </c>
      <c r="C105" s="42"/>
      <c r="D105" s="135"/>
      <c r="E105" s="2654"/>
      <c r="F105" s="2654"/>
      <c r="G105" s="2654"/>
      <c r="H105" s="2654"/>
      <c r="I105" s="2654"/>
      <c r="J105" s="2654"/>
      <c r="K105" s="2654"/>
      <c r="L105" s="2654"/>
      <c r="M105" s="2654"/>
      <c r="N105" s="74"/>
      <c r="O105" s="70"/>
      <c r="P105" s="2651"/>
      <c r="Q105" s="414"/>
      <c r="R105" s="414"/>
    </row>
    <row r="106" spans="1:21" s="43" customFormat="1" ht="90" customHeight="1">
      <c r="A106" s="3960"/>
      <c r="B106" s="3961"/>
      <c r="C106" s="3961"/>
      <c r="D106" s="3961"/>
      <c r="E106" s="3961"/>
      <c r="F106" s="3961"/>
      <c r="G106" s="3961"/>
      <c r="H106" s="3961"/>
      <c r="I106" s="3961"/>
      <c r="J106" s="3961"/>
      <c r="K106" s="3961"/>
      <c r="L106" s="3961"/>
      <c r="M106" s="3961"/>
      <c r="N106" s="3961"/>
      <c r="O106" s="3961"/>
      <c r="P106" s="3962"/>
      <c r="Q106" s="427"/>
      <c r="R106" s="428"/>
    </row>
    <row r="107" spans="1:21" ht="7.5" customHeight="1" thickBot="1">
      <c r="M107" s="33"/>
      <c r="N107" s="113"/>
      <c r="O107" s="149"/>
      <c r="P107" s="149"/>
    </row>
    <row r="108" spans="1:21" s="43" customFormat="1" ht="13.5" customHeight="1" thickBot="1">
      <c r="A108" s="151" t="s">
        <v>505</v>
      </c>
      <c r="B108" s="104" t="s">
        <v>2503</v>
      </c>
      <c r="D108" s="41"/>
      <c r="H108" s="1622" t="s">
        <v>6385</v>
      </c>
      <c r="I108" s="1705" t="s">
        <v>6376</v>
      </c>
      <c r="J108" s="1625" t="str">
        <f>$M$56</f>
        <v>Rural</v>
      </c>
      <c r="K108" s="1624" t="s">
        <v>367</v>
      </c>
      <c r="L108" s="1625" t="str">
        <f>M43</f>
        <v>New Supply</v>
      </c>
      <c r="M108" s="2651">
        <v>6</v>
      </c>
      <c r="N108" s="439"/>
      <c r="O108" s="1687">
        <f>MAX(O124,O131,O138)</f>
        <v>2</v>
      </c>
      <c r="P108" s="1687">
        <f>MAX(P124,P131,P138)</f>
        <v>0</v>
      </c>
      <c r="Q108" s="108" t="s">
        <v>422</v>
      </c>
      <c r="R108" s="4218" t="s">
        <v>4127</v>
      </c>
      <c r="S108" s="4219"/>
      <c r="T108" s="4219"/>
      <c r="U108" s="4220"/>
    </row>
    <row r="109" spans="1:21" s="43" customFormat="1" ht="17.25" customHeight="1">
      <c r="A109" s="151"/>
      <c r="B109" s="109" t="s">
        <v>3471</v>
      </c>
      <c r="D109" s="41"/>
      <c r="H109" s="163"/>
      <c r="M109" s="2651"/>
      <c r="N109" s="439"/>
      <c r="O109" s="891" t="s">
        <v>3271</v>
      </c>
      <c r="P109" s="891" t="s">
        <v>3272</v>
      </c>
      <c r="Q109" s="108"/>
      <c r="R109" s="4221"/>
      <c r="S109" s="4222"/>
      <c r="T109" s="4222"/>
      <c r="U109" s="4223"/>
    </row>
    <row r="110" spans="1:21" s="43" customFormat="1" ht="11.25" customHeight="1">
      <c r="A110" s="151"/>
      <c r="B110" s="365" t="s">
        <v>1897</v>
      </c>
      <c r="C110" s="36" t="s">
        <v>3986</v>
      </c>
      <c r="D110" s="961"/>
      <c r="E110" s="101"/>
      <c r="F110" s="101"/>
      <c r="G110" s="101"/>
      <c r="H110" s="45"/>
      <c r="I110" s="49"/>
      <c r="M110" s="2651"/>
      <c r="N110" s="439"/>
      <c r="O110" s="2492" t="s">
        <v>2770</v>
      </c>
      <c r="P110" s="2953"/>
      <c r="Q110" s="108"/>
      <c r="R110" s="4221"/>
      <c r="S110" s="4222"/>
      <c r="T110" s="4222"/>
      <c r="U110" s="4223"/>
    </row>
    <row r="111" spans="1:21" s="43" customFormat="1" ht="11.25" customHeight="1">
      <c r="A111" s="151"/>
      <c r="B111" s="365" t="s">
        <v>1899</v>
      </c>
      <c r="C111" s="36" t="s">
        <v>3987</v>
      </c>
      <c r="D111" s="961"/>
      <c r="E111" s="101"/>
      <c r="F111" s="101"/>
      <c r="G111" s="101"/>
      <c r="H111" s="45"/>
      <c r="I111" s="49"/>
      <c r="J111" s="48"/>
      <c r="K111" s="48"/>
      <c r="L111" s="101"/>
      <c r="M111" s="101"/>
      <c r="N111" s="439"/>
      <c r="O111" s="2670" t="s">
        <v>2770</v>
      </c>
      <c r="P111" s="2954"/>
      <c r="Q111" s="108"/>
      <c r="R111" s="4221"/>
      <c r="S111" s="4222"/>
      <c r="T111" s="4222"/>
      <c r="U111" s="4223"/>
    </row>
    <row r="112" spans="1:21" s="43" customFormat="1" ht="11.25" customHeight="1">
      <c r="A112" s="151"/>
      <c r="B112" s="365" t="s">
        <v>2417</v>
      </c>
      <c r="C112" s="36" t="s">
        <v>6389</v>
      </c>
      <c r="D112" s="961"/>
      <c r="E112" s="101"/>
      <c r="F112" s="101"/>
      <c r="G112" s="101"/>
      <c r="H112" s="45"/>
      <c r="I112" s="49"/>
      <c r="J112" s="48"/>
      <c r="K112" s="48"/>
      <c r="L112" s="101"/>
      <c r="M112" s="101"/>
      <c r="N112" s="439"/>
      <c r="O112" s="2670" t="s">
        <v>6858</v>
      </c>
      <c r="P112" s="2954"/>
      <c r="Q112" s="108"/>
      <c r="R112" s="4221"/>
      <c r="S112" s="4222"/>
      <c r="T112" s="4222"/>
      <c r="U112" s="4223"/>
    </row>
    <row r="113" spans="1:21" s="43" customFormat="1" ht="11.25" customHeight="1">
      <c r="A113" s="151"/>
      <c r="B113" s="365" t="s">
        <v>1178</v>
      </c>
      <c r="C113" s="36" t="s">
        <v>6390</v>
      </c>
      <c r="D113" s="961"/>
      <c r="E113" s="101"/>
      <c r="F113" s="101"/>
      <c r="G113" s="101"/>
      <c r="H113" s="45"/>
      <c r="I113" s="49"/>
      <c r="J113" s="48"/>
      <c r="K113" s="48"/>
      <c r="L113" s="101"/>
      <c r="M113" s="101"/>
      <c r="N113" s="439"/>
      <c r="O113" s="2670" t="s">
        <v>6858</v>
      </c>
      <c r="P113" s="2954"/>
      <c r="Q113" s="108"/>
      <c r="R113" s="4221"/>
      <c r="S113" s="4222"/>
      <c r="T113" s="4222"/>
      <c r="U113" s="4223"/>
    </row>
    <row r="114" spans="1:21" s="43" customFormat="1" ht="11.25" customHeight="1">
      <c r="A114" s="151"/>
      <c r="B114" s="365">
        <v>5</v>
      </c>
      <c r="C114" s="36" t="s">
        <v>6550</v>
      </c>
      <c r="D114" s="961"/>
      <c r="E114" s="101"/>
      <c r="F114" s="101"/>
      <c r="G114" s="101"/>
      <c r="H114" s="45"/>
      <c r="I114" s="49"/>
      <c r="J114" s="48"/>
      <c r="K114" s="48"/>
      <c r="L114" s="101"/>
      <c r="M114" s="101"/>
      <c r="N114" s="439"/>
      <c r="O114" s="2668" t="s">
        <v>6858</v>
      </c>
      <c r="P114" s="2955"/>
      <c r="Q114" s="108"/>
      <c r="R114" s="4221"/>
      <c r="S114" s="4222"/>
      <c r="T114" s="4222"/>
      <c r="U114" s="4223"/>
    </row>
    <row r="115" spans="1:21" s="43" customFormat="1" ht="3" customHeight="1">
      <c r="A115" s="151"/>
      <c r="B115" s="104"/>
      <c r="D115" s="41"/>
      <c r="H115" s="45"/>
      <c r="I115" s="49"/>
      <c r="J115" s="48"/>
      <c r="K115" s="48"/>
      <c r="M115" s="2651"/>
      <c r="N115" s="439"/>
      <c r="O115" s="3"/>
      <c r="P115" s="3"/>
      <c r="Q115" s="108"/>
      <c r="R115" s="4221"/>
      <c r="S115" s="4222"/>
      <c r="T115" s="4222"/>
      <c r="U115" s="4223"/>
    </row>
    <row r="116" spans="1:21" s="43" customFormat="1" ht="13.5" customHeight="1">
      <c r="A116" s="151"/>
      <c r="B116" s="109" t="s">
        <v>3475</v>
      </c>
      <c r="D116" s="41"/>
      <c r="F116" s="4238" t="s">
        <v>3348</v>
      </c>
      <c r="G116" s="4238"/>
      <c r="H116" s="4238"/>
      <c r="I116" s="4238"/>
      <c r="J116" s="4238" t="s">
        <v>3349</v>
      </c>
      <c r="K116" s="4238"/>
      <c r="L116" s="4238"/>
      <c r="M116" s="4238"/>
      <c r="N116" s="439"/>
      <c r="O116" s="4435" t="s">
        <v>4069</v>
      </c>
      <c r="P116" s="4436"/>
      <c r="Q116" s="108"/>
      <c r="R116" s="4221"/>
      <c r="S116" s="4222"/>
      <c r="T116" s="4222"/>
      <c r="U116" s="4223"/>
    </row>
    <row r="117" spans="1:21" s="43" customFormat="1" ht="12.75" customHeight="1">
      <c r="A117" s="151"/>
      <c r="C117" s="462" t="s">
        <v>3474</v>
      </c>
      <c r="D117" s="552"/>
      <c r="E117" s="265"/>
      <c r="F117" s="4227"/>
      <c r="G117" s="4228"/>
      <c r="H117" s="4386"/>
      <c r="I117" s="4387"/>
      <c r="J117" s="4227"/>
      <c r="K117" s="4228"/>
      <c r="L117" s="4386"/>
      <c r="M117" s="4387"/>
      <c r="N117" s="439"/>
      <c r="Q117" s="108"/>
      <c r="R117" s="4221"/>
      <c r="S117" s="4222"/>
      <c r="T117" s="4222"/>
      <c r="U117" s="4223"/>
    </row>
    <row r="118" spans="1:21" s="43" customFormat="1" ht="12.75" customHeight="1">
      <c r="A118" s="4397" t="s">
        <v>3544</v>
      </c>
      <c r="B118" s="4397"/>
      <c r="E118" s="1252" t="s">
        <v>6391</v>
      </c>
      <c r="F118" s="4403"/>
      <c r="G118" s="4404"/>
      <c r="H118" s="4400"/>
      <c r="I118" s="4401"/>
      <c r="J118" s="4403"/>
      <c r="K118" s="4404"/>
      <c r="L118" s="4400"/>
      <c r="M118" s="4401"/>
      <c r="N118" s="439"/>
      <c r="O118" s="2569"/>
      <c r="P118" s="2996"/>
      <c r="Q118" s="108"/>
      <c r="R118" s="4221"/>
      <c r="S118" s="4222"/>
      <c r="T118" s="4222"/>
      <c r="U118" s="4223"/>
    </row>
    <row r="119" spans="1:21" s="43" customFormat="1" ht="12.75" customHeight="1">
      <c r="A119" s="4397"/>
      <c r="B119" s="4397"/>
      <c r="C119" s="462" t="s">
        <v>3518</v>
      </c>
      <c r="D119" s="552"/>
      <c r="E119" s="265"/>
      <c r="F119" s="4230"/>
      <c r="G119" s="4231"/>
      <c r="H119" s="4433"/>
      <c r="I119" s="4434"/>
      <c r="J119" s="4230"/>
      <c r="K119" s="4231"/>
      <c r="L119" s="4433"/>
      <c r="M119" s="4434"/>
      <c r="N119" s="439"/>
      <c r="O119" s="439"/>
      <c r="P119" s="439"/>
      <c r="Q119" s="108"/>
      <c r="R119" s="4221"/>
      <c r="S119" s="4222"/>
      <c r="T119" s="4222"/>
      <c r="U119" s="4223"/>
    </row>
    <row r="120" spans="1:21" s="43" customFormat="1" ht="12.75" customHeight="1">
      <c r="A120" s="4397"/>
      <c r="B120" s="4397"/>
      <c r="E120" s="1252" t="s">
        <v>3517</v>
      </c>
      <c r="F120" s="4239"/>
      <c r="G120" s="4240"/>
      <c r="H120" s="4398"/>
      <c r="I120" s="4399"/>
      <c r="J120" s="4239"/>
      <c r="K120" s="4240"/>
      <c r="L120" s="4398"/>
      <c r="M120" s="4399"/>
      <c r="N120" s="439"/>
      <c r="O120" s="2569"/>
      <c r="P120" s="2996"/>
      <c r="Q120" s="108"/>
      <c r="R120" s="4224"/>
      <c r="S120" s="4225"/>
      <c r="T120" s="4225"/>
      <c r="U120" s="4226"/>
    </row>
    <row r="121" spans="1:21" s="43" customFormat="1" ht="9" customHeight="1">
      <c r="A121" s="151"/>
      <c r="B121" s="104"/>
      <c r="D121" s="41"/>
      <c r="H121" s="45"/>
      <c r="I121" s="49"/>
      <c r="J121" s="48"/>
      <c r="K121" s="48"/>
      <c r="M121" s="2651"/>
      <c r="N121" s="439"/>
      <c r="O121" s="3"/>
      <c r="P121" s="3"/>
      <c r="Q121" s="108"/>
      <c r="R121" s="960"/>
      <c r="S121" s="960"/>
      <c r="T121" s="960"/>
      <c r="U121" s="960"/>
    </row>
    <row r="122" spans="1:21" s="43" customFormat="1" ht="12.6" customHeight="1">
      <c r="A122" s="483" t="s">
        <v>6386</v>
      </c>
      <c r="B122" s="104"/>
      <c r="D122" s="41"/>
      <c r="F122" s="61" t="s">
        <v>6299</v>
      </c>
      <c r="I122" s="4402" t="str">
        <f>IF(AND(O124&gt;0,O131&gt;0),"Pick A or B, not both!","")</f>
        <v/>
      </c>
      <c r="J122" s="4402"/>
      <c r="K122" s="4402" t="str">
        <f>IF(AND(P124&gt;0,P131&gt;0),"Pick A or B, not both!","")</f>
        <v/>
      </c>
      <c r="L122" s="4402"/>
      <c r="M122" s="2651"/>
      <c r="N122" s="2651"/>
      <c r="O122" s="2651"/>
      <c r="P122" s="2651"/>
      <c r="Q122" s="108"/>
      <c r="R122" s="960"/>
      <c r="S122" s="960"/>
      <c r="T122" s="960"/>
      <c r="U122" s="960"/>
    </row>
    <row r="123" spans="1:21" s="43" customFormat="1" ht="2.25" customHeight="1">
      <c r="A123" s="483"/>
      <c r="B123" s="104"/>
      <c r="D123" s="41"/>
      <c r="F123" s="61"/>
      <c r="M123" s="2651"/>
      <c r="N123" s="2651"/>
      <c r="O123" s="2651"/>
      <c r="P123" s="2651"/>
      <c r="Q123" s="108"/>
      <c r="R123" s="960"/>
      <c r="S123" s="960"/>
      <c r="T123" s="960"/>
      <c r="U123" s="960"/>
    </row>
    <row r="124" spans="1:21" s="43" customFormat="1" ht="12.6" customHeight="1">
      <c r="A124" s="142" t="s">
        <v>1894</v>
      </c>
      <c r="B124" s="163" t="s">
        <v>3370</v>
      </c>
      <c r="D124" s="41"/>
      <c r="F124" s="45" t="s">
        <v>3425</v>
      </c>
      <c r="M124" s="2651">
        <v>6</v>
      </c>
      <c r="N124" s="381" t="s">
        <v>1894</v>
      </c>
      <c r="O124" s="1688">
        <f>IF(OR($J$108="Atlanta Metro",$J$108="Other Metro"),MIN($M124,O126+O127),0)</f>
        <v>0</v>
      </c>
      <c r="P124" s="1688">
        <f>IF(OR($J$108="Atlanta Metro",$J$108="Other Metro"),MIN($M124,P126+P127),0)</f>
        <v>0</v>
      </c>
      <c r="Q124" s="108"/>
    </row>
    <row r="125" spans="1:21" s="43" customFormat="1" ht="12.6" customHeight="1">
      <c r="A125" s="142"/>
      <c r="B125" s="36" t="s">
        <v>6393</v>
      </c>
      <c r="D125" s="41"/>
      <c r="F125" s="45"/>
      <c r="M125" s="2651"/>
      <c r="N125" s="381"/>
      <c r="O125" s="2668" t="s">
        <v>6858</v>
      </c>
      <c r="P125" s="2955"/>
      <c r="Q125" s="108"/>
    </row>
    <row r="126" spans="1:21" s="401" customFormat="1" ht="36.75" customHeight="1">
      <c r="B126" s="423" t="s">
        <v>1897</v>
      </c>
      <c r="C126" s="3958" t="s">
        <v>6394</v>
      </c>
      <c r="D126" s="3958"/>
      <c r="E126" s="3958"/>
      <c r="F126" s="3958"/>
      <c r="G126" s="3958"/>
      <c r="H126" s="3958"/>
      <c r="I126" s="4388" t="s">
        <v>3516</v>
      </c>
      <c r="J126" s="4389"/>
      <c r="K126" s="4389"/>
      <c r="L126" s="4390"/>
      <c r="M126" s="479">
        <v>6</v>
      </c>
      <c r="N126" s="452" t="s">
        <v>1897</v>
      </c>
      <c r="O126" s="2570"/>
      <c r="P126" s="2997"/>
      <c r="Q126" s="1295"/>
      <c r="R126" s="892" t="s">
        <v>4267</v>
      </c>
    </row>
    <row r="127" spans="1:21" s="401" customFormat="1" ht="12" customHeight="1">
      <c r="A127" s="531" t="s">
        <v>1304</v>
      </c>
      <c r="B127" s="423" t="s">
        <v>1899</v>
      </c>
      <c r="C127" s="3958" t="s">
        <v>6388</v>
      </c>
      <c r="D127" s="3958"/>
      <c r="E127" s="3958"/>
      <c r="F127" s="3958"/>
      <c r="G127" s="534"/>
      <c r="I127" s="4391"/>
      <c r="J127" s="4392"/>
      <c r="K127" s="4392"/>
      <c r="L127" s="4393"/>
      <c r="M127" s="72">
        <v>5</v>
      </c>
      <c r="N127" s="421" t="s">
        <v>1899</v>
      </c>
      <c r="O127" s="2571"/>
      <c r="P127" s="2998"/>
      <c r="Q127" s="1295"/>
      <c r="R127" s="892" t="s">
        <v>4267</v>
      </c>
    </row>
    <row r="128" spans="1:21" s="401" customFormat="1" ht="12" customHeight="1">
      <c r="B128" s="423"/>
      <c r="C128" s="3958"/>
      <c r="D128" s="3958"/>
      <c r="E128" s="3958"/>
      <c r="F128" s="3958"/>
      <c r="G128" s="4125" t="s">
        <v>6392</v>
      </c>
      <c r="H128" s="4385"/>
      <c r="I128" s="4391"/>
      <c r="J128" s="4392"/>
      <c r="K128" s="4392"/>
      <c r="L128" s="4393"/>
      <c r="M128" s="4411" t="str">
        <f>IF(AND(O127&gt;0,O126&gt;0),"Pick A1 or A2!","")</f>
        <v/>
      </c>
      <c r="N128" s="4412"/>
      <c r="O128" s="4412"/>
      <c r="P128" s="4412"/>
      <c r="Q128" s="1295"/>
      <c r="R128" s="1260" t="s">
        <v>6569</v>
      </c>
      <c r="S128" s="1260" t="s">
        <v>6387</v>
      </c>
    </row>
    <row r="129" spans="1:21" s="401" customFormat="1" ht="12" customHeight="1">
      <c r="B129" s="423"/>
      <c r="C129" s="3958"/>
      <c r="D129" s="3958"/>
      <c r="E129" s="3958"/>
      <c r="F129" s="3958"/>
      <c r="G129" s="2572"/>
      <c r="H129" s="2999"/>
      <c r="I129" s="4391"/>
      <c r="J129" s="4392"/>
      <c r="K129" s="4392"/>
      <c r="L129" s="4393"/>
      <c r="Q129" s="895"/>
      <c r="R129" s="1626">
        <v>0.25</v>
      </c>
      <c r="S129" s="1626">
        <v>5</v>
      </c>
    </row>
    <row r="130" spans="1:21" s="401" customFormat="1" ht="12" customHeight="1">
      <c r="B130" s="423"/>
      <c r="C130" s="3958"/>
      <c r="D130" s="3958"/>
      <c r="E130" s="3958"/>
      <c r="F130" s="3958"/>
      <c r="G130" s="1673"/>
      <c r="H130" s="1673"/>
      <c r="I130" s="4394"/>
      <c r="J130" s="4395"/>
      <c r="K130" s="4395"/>
      <c r="L130" s="4396"/>
      <c r="M130" s="101"/>
      <c r="N130" s="101"/>
      <c r="O130" s="101"/>
      <c r="P130" s="101"/>
      <c r="Q130" s="895"/>
      <c r="R130" s="1626">
        <v>0.5</v>
      </c>
      <c r="S130" s="1626">
        <v>4.5</v>
      </c>
    </row>
    <row r="131" spans="1:21" s="401" customFormat="1" ht="12" customHeight="1">
      <c r="A131" s="142" t="s">
        <v>1896</v>
      </c>
      <c r="B131" s="972" t="s">
        <v>3371</v>
      </c>
      <c r="C131" s="573"/>
      <c r="D131" s="573"/>
      <c r="F131" s="959" t="s">
        <v>3424</v>
      </c>
      <c r="I131" s="4406" t="s">
        <v>6925</v>
      </c>
      <c r="J131" s="4407"/>
      <c r="K131" s="4407"/>
      <c r="L131" s="4249" t="s">
        <v>6926</v>
      </c>
      <c r="M131" s="2651">
        <v>3</v>
      </c>
      <c r="N131" s="439" t="s">
        <v>1896</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3395</v>
      </c>
      <c r="C132" s="170" t="s">
        <v>3985</v>
      </c>
      <c r="D132" s="961"/>
      <c r="F132" s="101"/>
      <c r="G132" s="101"/>
      <c r="H132" s="45"/>
      <c r="I132" s="4408"/>
      <c r="J132" s="4409"/>
      <c r="K132" s="4409"/>
      <c r="L132" s="4250"/>
      <c r="M132" s="101"/>
      <c r="N132" s="378" t="s">
        <v>3395</v>
      </c>
      <c r="O132" s="2500"/>
      <c r="P132" s="2965"/>
      <c r="Q132" s="108"/>
      <c r="R132" s="380"/>
      <c r="S132" s="401"/>
      <c r="T132" s="401"/>
      <c r="U132" s="401"/>
    </row>
    <row r="133" spans="1:21" s="43" customFormat="1" ht="11.25" customHeight="1">
      <c r="A133" s="151"/>
      <c r="B133" s="378" t="s">
        <v>3396</v>
      </c>
      <c r="C133" s="170" t="s">
        <v>3984</v>
      </c>
      <c r="D133" s="961"/>
      <c r="F133" s="101"/>
      <c r="G133" s="101"/>
      <c r="H133" s="45"/>
      <c r="I133" s="4232" t="s">
        <v>2626</v>
      </c>
      <c r="J133" s="4233"/>
      <c r="K133" s="4233"/>
      <c r="L133" s="4234"/>
      <c r="M133" s="101"/>
      <c r="N133" s="378" t="s">
        <v>3396</v>
      </c>
      <c r="O133" s="2668"/>
      <c r="P133" s="2955"/>
      <c r="Q133" s="108"/>
      <c r="R133" s="380"/>
      <c r="S133" s="401"/>
      <c r="T133" s="401"/>
      <c r="U133" s="401"/>
    </row>
    <row r="134" spans="1:21" s="401" customFormat="1" ht="12" customHeight="1">
      <c r="A134" s="137"/>
      <c r="B134" s="1319" t="s">
        <v>1897</v>
      </c>
      <c r="C134" s="4169" t="s">
        <v>3472</v>
      </c>
      <c r="D134" s="4169"/>
      <c r="E134" s="4169"/>
      <c r="F134" s="4169"/>
      <c r="G134" s="4169"/>
      <c r="H134" s="4229"/>
      <c r="I134" s="4235"/>
      <c r="J134" s="4236"/>
      <c r="K134" s="4236"/>
      <c r="L134" s="4237"/>
      <c r="M134" s="72">
        <v>3</v>
      </c>
      <c r="N134" s="421" t="s">
        <v>1897</v>
      </c>
      <c r="O134" s="2564"/>
      <c r="P134" s="3000"/>
      <c r="Q134" s="895" t="str">
        <f>IF(OR($O134=$M134,$O134=0,$O134=""),"","*CHECK!*")</f>
        <v/>
      </c>
      <c r="R134" s="892" t="s">
        <v>4267</v>
      </c>
    </row>
    <row r="135" spans="1:21" s="43" customFormat="1" ht="12" customHeight="1">
      <c r="A135" s="531" t="s">
        <v>1304</v>
      </c>
      <c r="B135" s="1319" t="s">
        <v>1899</v>
      </c>
      <c r="C135" s="4169" t="s">
        <v>3473</v>
      </c>
      <c r="D135" s="4169"/>
      <c r="E135" s="4169"/>
      <c r="F135" s="4169"/>
      <c r="G135" s="4169"/>
      <c r="H135" s="4229"/>
      <c r="I135" s="4232" t="s">
        <v>6927</v>
      </c>
      <c r="J135" s="4233"/>
      <c r="K135" s="4233"/>
      <c r="L135" s="4234"/>
      <c r="M135" s="72">
        <v>2</v>
      </c>
      <c r="N135" s="421" t="s">
        <v>1899</v>
      </c>
      <c r="O135" s="2564"/>
      <c r="P135" s="2990"/>
      <c r="Q135" s="895" t="str">
        <f>IF(OR($O135=$M135,$O135=0,$O135=""),"","*CHECK!*")</f>
        <v/>
      </c>
      <c r="R135" s="892" t="s">
        <v>4267</v>
      </c>
    </row>
    <row r="136" spans="1:21" s="43" customFormat="1" ht="21.75" customHeight="1">
      <c r="A136" s="1715" t="s">
        <v>1304</v>
      </c>
      <c r="B136" s="1716" t="s">
        <v>2417</v>
      </c>
      <c r="C136" s="3958" t="s">
        <v>6551</v>
      </c>
      <c r="D136" s="3958"/>
      <c r="E136" s="3958"/>
      <c r="F136" s="3958"/>
      <c r="G136" s="3958"/>
      <c r="H136" s="3984"/>
      <c r="I136" s="4235"/>
      <c r="J136" s="4236"/>
      <c r="K136" s="4236"/>
      <c r="L136" s="4237"/>
      <c r="M136" s="479">
        <v>1</v>
      </c>
      <c r="N136" s="452" t="s">
        <v>2417</v>
      </c>
      <c r="O136" s="2573"/>
      <c r="P136" s="3001"/>
      <c r="Q136" s="895" t="str">
        <f>IF(OR($O136=$M136,$O136=0,$O136=""),"","*CHECK!*")</f>
        <v/>
      </c>
      <c r="R136" s="892" t="s">
        <v>4267</v>
      </c>
    </row>
    <row r="137" spans="1:21" s="43" customFormat="1" ht="12.6" customHeight="1">
      <c r="A137" s="483" t="s">
        <v>2609</v>
      </c>
      <c r="B137" s="163"/>
      <c r="E137" s="41"/>
      <c r="I137" s="4232" t="s">
        <v>3273</v>
      </c>
      <c r="J137" s="4233"/>
      <c r="K137" s="4233"/>
      <c r="L137" s="4234"/>
      <c r="M137" s="72"/>
      <c r="N137" s="72"/>
      <c r="O137" s="72"/>
      <c r="P137" s="72"/>
      <c r="Q137" s="367"/>
      <c r="R137" s="367"/>
    </row>
    <row r="138" spans="1:21" s="101" customFormat="1" ht="12" customHeight="1">
      <c r="A138" s="137"/>
      <c r="B138" s="423" t="s">
        <v>1178</v>
      </c>
      <c r="C138" s="163" t="s">
        <v>6395</v>
      </c>
      <c r="D138" s="163"/>
      <c r="E138" s="163"/>
      <c r="F138" s="163"/>
      <c r="G138" s="163"/>
      <c r="H138" s="163"/>
      <c r="I138" s="4318"/>
      <c r="J138" s="4319"/>
      <c r="K138" s="4319"/>
      <c r="L138" s="4320"/>
      <c r="M138" s="72">
        <v>2</v>
      </c>
      <c r="N138" s="421" t="s">
        <v>1178</v>
      </c>
      <c r="O138" s="2574">
        <v>2</v>
      </c>
      <c r="P138" s="3002"/>
      <c r="Q138" s="895" t="str">
        <f>IF(OR($O138=$M138,$O138=0,$O138=""),"","*CHECK!*")</f>
        <v/>
      </c>
      <c r="R138" s="892" t="s">
        <v>4267</v>
      </c>
    </row>
    <row r="139" spans="1:21" s="101" customFormat="1" ht="12" customHeight="1">
      <c r="A139" s="137"/>
      <c r="B139" s="423"/>
      <c r="C139" s="163" t="s">
        <v>6396</v>
      </c>
      <c r="D139" s="163"/>
      <c r="E139" s="163"/>
      <c r="F139" s="163"/>
      <c r="G139" s="163"/>
      <c r="H139" s="163"/>
      <c r="I139" s="163"/>
      <c r="J139" s="163"/>
      <c r="K139" s="163"/>
      <c r="L139" s="163"/>
      <c r="M139" s="163"/>
      <c r="N139" s="163"/>
      <c r="O139" s="163"/>
      <c r="P139" s="163"/>
      <c r="Q139" s="895"/>
      <c r="R139" s="973"/>
    </row>
    <row r="140" spans="1:21" s="43" customFormat="1" ht="12.6" customHeight="1">
      <c r="A140" s="36" t="s">
        <v>3519</v>
      </c>
      <c r="B140" s="163"/>
      <c r="E140" s="41"/>
      <c r="K140" s="48"/>
      <c r="M140" s="72"/>
      <c r="N140" s="72"/>
      <c r="O140" s="72"/>
      <c r="P140" s="72"/>
      <c r="Q140" s="367"/>
      <c r="R140" s="367"/>
    </row>
    <row r="141" spans="1:21" s="43" customFormat="1" ht="11.25" customHeight="1" thickBot="1">
      <c r="A141" s="42"/>
      <c r="B141" s="1007" t="s">
        <v>3374</v>
      </c>
      <c r="C141" s="42"/>
      <c r="D141" s="48"/>
      <c r="E141" s="48"/>
      <c r="F141" s="48"/>
      <c r="G141" s="48"/>
      <c r="H141" s="36"/>
      <c r="K141" s="48"/>
      <c r="M141" s="46"/>
      <c r="N141" s="62"/>
      <c r="O141" s="3"/>
      <c r="P141" s="2653"/>
    </row>
    <row r="142" spans="1:21" s="43" customFormat="1" ht="38.1" customHeight="1" thickTop="1" thickBot="1">
      <c r="A142" s="4177" t="s">
        <v>6928</v>
      </c>
      <c r="B142" s="4178"/>
      <c r="C142" s="4178"/>
      <c r="D142" s="4178"/>
      <c r="E142" s="4178"/>
      <c r="F142" s="4178"/>
      <c r="G142" s="4178"/>
      <c r="H142" s="4178"/>
      <c r="I142" s="4178"/>
      <c r="J142" s="4178"/>
      <c r="K142" s="4178"/>
      <c r="L142" s="4178"/>
      <c r="M142" s="4178"/>
      <c r="N142" s="4178"/>
      <c r="O142" s="4178"/>
      <c r="P142" s="4179"/>
      <c r="Q142" s="933" t="s">
        <v>1208</v>
      </c>
      <c r="R142" s="428"/>
    </row>
    <row r="143" spans="1:21" s="101" customFormat="1" ht="11.45" customHeight="1" thickTop="1">
      <c r="A143" s="42"/>
      <c r="B143" s="96" t="s">
        <v>1781</v>
      </c>
      <c r="C143" s="42"/>
      <c r="D143" s="96"/>
      <c r="E143" s="2658"/>
      <c r="F143" s="2658"/>
      <c r="G143" s="2658"/>
      <c r="H143" s="2658"/>
      <c r="I143" s="2658"/>
      <c r="J143" s="2658"/>
      <c r="K143" s="2658"/>
      <c r="L143" s="2658"/>
      <c r="M143" s="2658"/>
      <c r="N143" s="92"/>
      <c r="O143" s="767"/>
      <c r="P143" s="2651"/>
      <c r="Q143" s="414"/>
    </row>
    <row r="144" spans="1:21" s="43" customFormat="1" ht="11.25" customHeight="1">
      <c r="A144" s="3960"/>
      <c r="B144" s="3961"/>
      <c r="C144" s="3961"/>
      <c r="D144" s="3961"/>
      <c r="E144" s="3961"/>
      <c r="F144" s="3961"/>
      <c r="G144" s="3961"/>
      <c r="H144" s="3961"/>
      <c r="I144" s="3961"/>
      <c r="J144" s="3961"/>
      <c r="K144" s="3961"/>
      <c r="L144" s="3961"/>
      <c r="M144" s="3961"/>
      <c r="N144" s="3961"/>
      <c r="O144" s="3961"/>
      <c r="P144" s="3962"/>
      <c r="Q144" s="427"/>
    </row>
    <row r="145" spans="1:19" ht="3" customHeight="1">
      <c r="B145" s="115"/>
      <c r="C145" s="115"/>
      <c r="D145" s="115"/>
      <c r="E145" s="115"/>
      <c r="R145" s="43"/>
    </row>
    <row r="146" spans="1:19" s="43" customFormat="1" ht="3" customHeight="1" thickBot="1">
      <c r="A146" s="42"/>
      <c r="C146" s="2654"/>
      <c r="D146" s="2654"/>
      <c r="E146" s="2654"/>
      <c r="F146" s="2654"/>
      <c r="G146" s="2654"/>
      <c r="H146" s="2654"/>
      <c r="I146" s="2654"/>
      <c r="J146" s="2654"/>
      <c r="K146" s="2654"/>
      <c r="L146" s="2654"/>
      <c r="M146" s="2654"/>
      <c r="N146" s="74"/>
      <c r="O146" s="70"/>
      <c r="P146" s="777"/>
    </row>
    <row r="147" spans="1:19" s="43" customFormat="1" ht="13.5" customHeight="1" thickBot="1">
      <c r="A147" s="151" t="s">
        <v>742</v>
      </c>
      <c r="B147" s="105" t="s">
        <v>6397</v>
      </c>
      <c r="C147" s="2654"/>
      <c r="D147" s="2654"/>
      <c r="E147" s="2654"/>
      <c r="G147" s="1707" t="s">
        <v>3988</v>
      </c>
      <c r="H147" s="1708" t="str">
        <f>'Part I-Project Information'!$H$77</f>
        <v>Family</v>
      </c>
      <c r="M147" s="777">
        <v>3</v>
      </c>
      <c r="N147" s="74"/>
      <c r="O147" s="2575">
        <v>3</v>
      </c>
      <c r="P147" s="3003"/>
      <c r="Q147" s="1295" t="str">
        <f>IF(OR($O147&lt;=$M147,$O147=0,$O147=""),"","*CHECK!*")</f>
        <v/>
      </c>
      <c r="R147" s="1690" t="s">
        <v>422</v>
      </c>
      <c r="S147" s="892" t="s">
        <v>4267</v>
      </c>
    </row>
    <row r="148" spans="1:19" ht="18.75" customHeight="1">
      <c r="C148" s="2576" t="s">
        <v>6565</v>
      </c>
      <c r="F148" s="2576"/>
      <c r="G148" s="2576"/>
      <c r="H148" s="2576"/>
      <c r="I148" s="2577"/>
      <c r="J148" s="2578"/>
      <c r="K148" s="2579"/>
      <c r="L148" s="2580"/>
      <c r="M148" s="2562"/>
      <c r="N148" s="27"/>
      <c r="O148" s="27"/>
      <c r="P148" s="27"/>
    </row>
    <row r="149" spans="1:19" ht="12" customHeight="1">
      <c r="B149" s="2581"/>
      <c r="C149" s="2581"/>
      <c r="D149" s="2581"/>
      <c r="E149" s="2581"/>
      <c r="H149" s="4405" t="s">
        <v>6575</v>
      </c>
      <c r="I149" s="4405"/>
      <c r="J149" s="4405"/>
      <c r="K149" s="4405" t="s">
        <v>6576</v>
      </c>
      <c r="L149" s="4405"/>
      <c r="M149" s="2562"/>
      <c r="N149" s="27"/>
    </row>
    <row r="150" spans="1:19" ht="12" customHeight="1">
      <c r="B150" s="2581"/>
      <c r="C150" s="2581"/>
      <c r="D150" s="2581"/>
      <c r="E150" s="2581"/>
      <c r="H150" s="4405"/>
      <c r="I150" s="4405"/>
      <c r="J150" s="4405"/>
      <c r="K150" s="4405"/>
      <c r="L150" s="4405"/>
      <c r="M150" s="2562"/>
      <c r="N150" s="27"/>
    </row>
    <row r="151" spans="1:19" ht="12" customHeight="1">
      <c r="B151" s="2562"/>
      <c r="C151" s="2582" t="s">
        <v>6839</v>
      </c>
      <c r="D151" s="1674"/>
      <c r="E151" s="2562"/>
      <c r="H151" s="4405"/>
      <c r="I151" s="4405"/>
      <c r="J151" s="4405"/>
      <c r="K151" s="4405"/>
      <c r="L151" s="4405"/>
      <c r="M151" s="2562"/>
      <c r="N151" s="27"/>
    </row>
    <row r="152" spans="1:19">
      <c r="B152" s="2583"/>
      <c r="C152" s="4328" t="s">
        <v>7008</v>
      </c>
      <c r="D152" s="4329"/>
      <c r="E152" s="4329"/>
      <c r="F152" s="4329"/>
      <c r="G152" s="4330"/>
      <c r="H152" s="4256" t="s">
        <v>2770</v>
      </c>
      <c r="I152" s="4256"/>
      <c r="J152" s="4256"/>
      <c r="K152" s="4256" t="s">
        <v>2770</v>
      </c>
      <c r="L152" s="4256"/>
      <c r="M152" s="2959"/>
      <c r="N152" s="27"/>
    </row>
    <row r="153" spans="1:19">
      <c r="B153" s="2583"/>
      <c r="C153" s="4325" t="s">
        <v>7009</v>
      </c>
      <c r="D153" s="4326"/>
      <c r="E153" s="4326"/>
      <c r="F153" s="4326"/>
      <c r="G153" s="4327"/>
      <c r="H153" s="4176" t="s">
        <v>2770</v>
      </c>
      <c r="I153" s="4176"/>
      <c r="J153" s="4176"/>
      <c r="K153" s="4176" t="s">
        <v>2773</v>
      </c>
      <c r="L153" s="4176"/>
      <c r="M153" s="2954"/>
      <c r="N153" s="27"/>
    </row>
    <row r="154" spans="1:19" ht="15">
      <c r="B154" s="2583"/>
      <c r="C154" s="4325" t="s">
        <v>7010</v>
      </c>
      <c r="D154" s="4326"/>
      <c r="E154" s="4326"/>
      <c r="F154" s="4326"/>
      <c r="G154" s="4327"/>
      <c r="H154" s="4176" t="s">
        <v>2770</v>
      </c>
      <c r="I154" s="4176"/>
      <c r="J154" s="4176"/>
      <c r="K154" s="4176" t="s">
        <v>2773</v>
      </c>
      <c r="L154" s="4176"/>
      <c r="M154" s="2954"/>
      <c r="N154" s="2562"/>
    </row>
    <row r="155" spans="1:19" ht="15">
      <c r="B155" s="2583"/>
      <c r="C155" s="4325"/>
      <c r="D155" s="4326"/>
      <c r="E155" s="4326"/>
      <c r="F155" s="4326"/>
      <c r="G155" s="4327"/>
      <c r="H155" s="4176"/>
      <c r="I155" s="4176"/>
      <c r="J155" s="4176"/>
      <c r="K155" s="4176"/>
      <c r="L155" s="4176"/>
      <c r="M155" s="2954"/>
      <c r="N155" s="2562"/>
    </row>
    <row r="156" spans="1:19" ht="15">
      <c r="B156" s="2583"/>
      <c r="C156" s="4325"/>
      <c r="D156" s="4326"/>
      <c r="E156" s="4326"/>
      <c r="F156" s="4326"/>
      <c r="G156" s="4327"/>
      <c r="H156" s="4176"/>
      <c r="I156" s="4176"/>
      <c r="J156" s="4176"/>
      <c r="K156" s="4176"/>
      <c r="L156" s="4176"/>
      <c r="M156" s="2954"/>
      <c r="N156" s="2562"/>
    </row>
    <row r="157" spans="1:19" ht="15">
      <c r="B157" s="2583"/>
      <c r="C157" s="4173"/>
      <c r="D157" s="4174"/>
      <c r="E157" s="4174"/>
      <c r="F157" s="4174"/>
      <c r="G157" s="4175"/>
      <c r="H157" s="4362"/>
      <c r="I157" s="4362"/>
      <c r="J157" s="4362"/>
      <c r="K157" s="4362"/>
      <c r="L157" s="4362"/>
      <c r="M157" s="2955"/>
      <c r="N157" s="2562"/>
    </row>
    <row r="158" spans="1:19" s="43" customFormat="1" ht="10.5" customHeight="1" thickBot="1">
      <c r="A158" s="42"/>
      <c r="B158" s="1007" t="s">
        <v>3374</v>
      </c>
      <c r="C158" s="42"/>
      <c r="D158" s="48"/>
      <c r="E158" s="48"/>
      <c r="F158" s="48"/>
      <c r="G158" s="48"/>
      <c r="H158" s="36"/>
      <c r="I158" s="36"/>
      <c r="J158" s="36"/>
      <c r="K158" s="36"/>
      <c r="M158" s="46"/>
      <c r="N158" s="62"/>
      <c r="O158" s="3"/>
      <c r="P158" s="2653"/>
    </row>
    <row r="159" spans="1:19" s="43" customFormat="1" ht="35.450000000000003" customHeight="1" thickTop="1" thickBot="1">
      <c r="A159" s="4177" t="s">
        <v>7036</v>
      </c>
      <c r="B159" s="4178"/>
      <c r="C159" s="4178"/>
      <c r="D159" s="4178"/>
      <c r="E159" s="4178"/>
      <c r="F159" s="4178"/>
      <c r="G159" s="4178"/>
      <c r="H159" s="4178"/>
      <c r="I159" s="4178"/>
      <c r="J159" s="4178"/>
      <c r="K159" s="4178"/>
      <c r="L159" s="4178"/>
      <c r="M159" s="4178"/>
      <c r="N159" s="4178"/>
      <c r="O159" s="4178"/>
      <c r="P159" s="4179"/>
      <c r="Q159" s="933" t="s">
        <v>1208</v>
      </c>
    </row>
    <row r="160" spans="1:19" s="43" customFormat="1" ht="10.5" customHeight="1" thickTop="1">
      <c r="A160" s="42"/>
      <c r="B160" s="85" t="s">
        <v>1781</v>
      </c>
      <c r="C160" s="97"/>
      <c r="D160" s="85"/>
      <c r="E160" s="98"/>
      <c r="F160" s="2654"/>
      <c r="G160" s="2654"/>
      <c r="H160" s="2654"/>
      <c r="I160" s="2654"/>
      <c r="J160" s="2654"/>
      <c r="K160" s="2654"/>
      <c r="L160" s="2654"/>
      <c r="M160" s="2654"/>
      <c r="N160" s="74"/>
      <c r="O160" s="70"/>
      <c r="P160" s="2651"/>
      <c r="Q160" s="414"/>
    </row>
    <row r="161" spans="1:26" s="43" customFormat="1" ht="11.25" customHeight="1">
      <c r="A161" s="4008"/>
      <c r="B161" s="4009"/>
      <c r="C161" s="4009"/>
      <c r="D161" s="4009"/>
      <c r="E161" s="4009"/>
      <c r="F161" s="4009"/>
      <c r="G161" s="4009"/>
      <c r="H161" s="4009"/>
      <c r="I161" s="4009"/>
      <c r="J161" s="4009"/>
      <c r="K161" s="4009"/>
      <c r="L161" s="4009"/>
      <c r="M161" s="4009"/>
      <c r="N161" s="4009"/>
      <c r="O161" s="4009"/>
      <c r="P161" s="4010"/>
      <c r="Q161" s="427"/>
      <c r="U161" s="1273"/>
    </row>
    <row r="162" spans="1:26" s="43" customFormat="1" ht="3" customHeight="1" thickBot="1">
      <c r="A162" s="42"/>
      <c r="C162" s="2654"/>
      <c r="D162" s="2654"/>
      <c r="E162" s="2654"/>
      <c r="F162" s="2654"/>
      <c r="G162" s="2654"/>
      <c r="H162" s="2654"/>
      <c r="I162" s="2654"/>
      <c r="J162" s="2654"/>
      <c r="K162" s="2654"/>
      <c r="L162" s="2654"/>
      <c r="M162" s="2654"/>
      <c r="N162" s="74"/>
      <c r="O162" s="70"/>
      <c r="P162" s="777"/>
    </row>
    <row r="163" spans="1:26" s="101" customFormat="1" ht="13.5" customHeight="1" thickBot="1">
      <c r="A163" s="151" t="s">
        <v>281</v>
      </c>
      <c r="B163" s="105" t="s">
        <v>3488</v>
      </c>
      <c r="C163" s="91"/>
      <c r="D163" s="59"/>
      <c r="E163" s="59"/>
      <c r="L163" s="1732" t="str">
        <f>IF(AND(O163&gt;0,O165="",O178=""),"Indicate subtotal score(s) in A or B below!","")</f>
        <v/>
      </c>
      <c r="M163" s="2651">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1894</v>
      </c>
      <c r="B165" s="175" t="s">
        <v>6431</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1894</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1897</v>
      </c>
      <c r="C166" s="133" t="s">
        <v>6574</v>
      </c>
      <c r="D166" s="163"/>
      <c r="E166" s="163"/>
      <c r="F166" s="163"/>
      <c r="G166" s="163"/>
      <c r="H166" s="163"/>
      <c r="I166" s="163"/>
      <c r="J166" s="163"/>
      <c r="K166" s="163"/>
      <c r="L166" s="163"/>
      <c r="M166" s="417">
        <v>2</v>
      </c>
      <c r="N166" s="903" t="s">
        <v>1658</v>
      </c>
      <c r="O166" s="2584"/>
      <c r="P166" s="3004"/>
      <c r="Q166" s="1295" t="str">
        <f>IF(OR($O166=$M166,$O166=0,$O166=""),"","*CHECK!*")</f>
        <v/>
      </c>
      <c r="R166" s="892" t="s">
        <v>4267</v>
      </c>
      <c r="S166" s="1712"/>
      <c r="T166" s="1712"/>
      <c r="U166" s="1712"/>
    </row>
    <row r="167" spans="1:26" s="383" customFormat="1" ht="12" customHeight="1">
      <c r="B167" s="903" t="s">
        <v>2325</v>
      </c>
      <c r="C167" s="4358" t="s">
        <v>6428</v>
      </c>
      <c r="D167" s="4358"/>
      <c r="E167" s="4358"/>
      <c r="F167" s="4358"/>
      <c r="G167" s="4358"/>
      <c r="H167" s="4358"/>
      <c r="I167" s="4358"/>
      <c r="J167" s="4358"/>
      <c r="K167" s="4358"/>
      <c r="L167" s="903"/>
      <c r="M167" s="4369" t="s">
        <v>6305</v>
      </c>
      <c r="N167" s="4369"/>
      <c r="O167" s="4369"/>
      <c r="P167" s="4369"/>
      <c r="S167" s="1712"/>
      <c r="T167" s="1712"/>
      <c r="U167" s="1712"/>
      <c r="V167" s="1408"/>
      <c r="W167" s="1408"/>
      <c r="X167" s="1408"/>
      <c r="Y167" s="1408"/>
      <c r="Z167" s="1408"/>
    </row>
    <row r="168" spans="1:26" s="43" customFormat="1" ht="12.75" customHeight="1">
      <c r="A168" s="364"/>
      <c r="B168" s="366"/>
      <c r="C168" s="4358"/>
      <c r="D168" s="4358"/>
      <c r="E168" s="4358"/>
      <c r="F168" s="4358"/>
      <c r="G168" s="4358"/>
      <c r="H168" s="4358"/>
      <c r="I168" s="4358"/>
      <c r="J168" s="4358"/>
      <c r="K168" s="4358"/>
      <c r="L168" s="903" t="s">
        <v>2325</v>
      </c>
      <c r="M168" s="4366" t="s">
        <v>3426</v>
      </c>
      <c r="N168" s="4367"/>
      <c r="O168" s="4367"/>
      <c r="P168" s="4368"/>
      <c r="S168" s="1712"/>
      <c r="T168" s="1712"/>
      <c r="U168" s="1712"/>
    </row>
    <row r="169" spans="1:26" s="33" customFormat="1" ht="12.75" customHeight="1">
      <c r="B169" s="366" t="s">
        <v>2326</v>
      </c>
      <c r="C169" s="133" t="s">
        <v>4161</v>
      </c>
      <c r="D169" s="463"/>
      <c r="E169" s="463"/>
      <c r="F169" s="463"/>
      <c r="G169" s="463"/>
      <c r="H169" s="463"/>
      <c r="L169" s="366" t="s">
        <v>2326</v>
      </c>
      <c r="M169" s="4363" t="s">
        <v>3426</v>
      </c>
      <c r="N169" s="4364"/>
      <c r="O169" s="4364"/>
      <c r="P169" s="4365"/>
      <c r="S169" s="1712"/>
      <c r="T169" s="1712"/>
      <c r="U169" s="1712"/>
      <c r="V169" s="522"/>
      <c r="W169" s="522"/>
      <c r="X169" s="522"/>
      <c r="Y169" s="522"/>
      <c r="Z169" s="522"/>
    </row>
    <row r="170" spans="1:26" s="33" customFormat="1" ht="12.75" customHeight="1">
      <c r="B170" s="366" t="s">
        <v>2327</v>
      </c>
      <c r="C170" s="463" t="s">
        <v>6429</v>
      </c>
      <c r="D170" s="463"/>
      <c r="E170" s="463"/>
      <c r="F170" s="463"/>
      <c r="G170" s="463"/>
      <c r="H170" s="463"/>
      <c r="L170" s="366" t="s">
        <v>2327</v>
      </c>
      <c r="M170" s="4363" t="s">
        <v>3426</v>
      </c>
      <c r="N170" s="4364"/>
      <c r="O170" s="4364"/>
      <c r="P170" s="4365"/>
      <c r="Q170" s="1402">
        <f>IF(K170="Yes",1,0)</f>
        <v>0</v>
      </c>
      <c r="S170" s="1712"/>
      <c r="T170" s="1712"/>
      <c r="U170" s="1712"/>
      <c r="V170" s="1402" t="e">
        <f>IF(#REF!="Yes",1,0)</f>
        <v>#REF!</v>
      </c>
      <c r="W170" s="522"/>
      <c r="X170" s="522"/>
      <c r="Y170" s="522"/>
      <c r="Z170" s="522"/>
    </row>
    <row r="171" spans="1:26" s="33" customFormat="1" ht="12.75" customHeight="1">
      <c r="A171" s="378"/>
      <c r="B171" s="366" t="s">
        <v>2328</v>
      </c>
      <c r="C171" s="52" t="s">
        <v>6430</v>
      </c>
      <c r="D171" s="463"/>
      <c r="E171" s="463"/>
      <c r="F171" s="463"/>
      <c r="G171" s="463"/>
      <c r="L171" s="366" t="s">
        <v>2328</v>
      </c>
      <c r="M171" s="4359" t="s">
        <v>3426</v>
      </c>
      <c r="N171" s="4360"/>
      <c r="O171" s="4360"/>
      <c r="P171" s="4361"/>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5" t="s">
        <v>1899</v>
      </c>
      <c r="C173" s="1006" t="s">
        <v>6552</v>
      </c>
      <c r="D173" s="1491"/>
      <c r="E173" s="1491"/>
      <c r="F173" s="1491"/>
      <c r="G173" s="1491"/>
      <c r="H173" s="1491"/>
      <c r="I173" s="1491"/>
      <c r="K173" s="1004"/>
      <c r="L173" s="1004"/>
      <c r="R173" s="1712"/>
      <c r="S173" s="1712"/>
      <c r="T173" s="1712"/>
      <c r="U173" s="1712"/>
    </row>
    <row r="174" spans="1:26">
      <c r="A174" s="478"/>
      <c r="B174" s="903" t="s">
        <v>2325</v>
      </c>
      <c r="C174" s="4344" t="s">
        <v>6434</v>
      </c>
      <c r="D174" s="4344"/>
      <c r="E174" s="4344"/>
      <c r="F174" s="4344"/>
      <c r="G174" s="4344"/>
      <c r="H174" s="4344"/>
      <c r="I174" s="4344"/>
      <c r="J174" s="4344"/>
      <c r="K174" s="4344"/>
      <c r="L174" s="4344"/>
      <c r="M174" s="971">
        <v>1</v>
      </c>
      <c r="N174" s="903" t="s">
        <v>4287</v>
      </c>
      <c r="O174" s="2586"/>
      <c r="P174" s="3005"/>
      <c r="Q174" s="1295" t="str">
        <f>IF(OR($O174=$M174,$O174=0,$O174=""),"","*CHECK!*")</f>
        <v/>
      </c>
      <c r="R174" s="892" t="s">
        <v>4267</v>
      </c>
    </row>
    <row r="175" spans="1:26" ht="36.75" customHeight="1">
      <c r="A175" s="478"/>
      <c r="B175" s="379" t="s">
        <v>2326</v>
      </c>
      <c r="C175" s="4344" t="s">
        <v>6435</v>
      </c>
      <c r="D175" s="4344"/>
      <c r="E175" s="4344"/>
      <c r="F175" s="4344"/>
      <c r="G175" s="4344"/>
      <c r="H175" s="4344"/>
      <c r="I175" s="4344"/>
      <c r="J175" s="4344"/>
      <c r="K175" s="4344"/>
      <c r="L175" s="4344"/>
      <c r="M175" s="971">
        <v>1</v>
      </c>
      <c r="N175" s="903" t="s">
        <v>6566</v>
      </c>
      <c r="O175" s="2587"/>
      <c r="P175" s="3006"/>
      <c r="Q175" s="1295" t="str">
        <f>IF(OR($O175=$M175,$O175=0,$O175=""),"","*CHECK!*")</f>
        <v/>
      </c>
      <c r="R175" s="892" t="s">
        <v>4267</v>
      </c>
    </row>
    <row r="176" spans="1:26" ht="12" customHeight="1">
      <c r="A176" s="478"/>
      <c r="B176" s="366" t="s">
        <v>2327</v>
      </c>
      <c r="C176" s="898" t="s">
        <v>6568</v>
      </c>
      <c r="D176" s="902"/>
      <c r="E176" s="902"/>
      <c r="F176" s="902"/>
      <c r="G176" s="902"/>
      <c r="H176" s="902"/>
      <c r="I176" s="902"/>
      <c r="J176" s="902"/>
      <c r="K176" s="902"/>
      <c r="L176" s="902"/>
      <c r="M176" s="2663">
        <v>1</v>
      </c>
      <c r="N176" s="378" t="s">
        <v>6567</v>
      </c>
      <c r="O176" s="2588"/>
      <c r="P176" s="3007"/>
      <c r="Q176" s="1295" t="str">
        <f>IF(OR($O176=$M176,$O176=0,$O176=""),"","*CHECK!*")</f>
        <v/>
      </c>
      <c r="R176" s="892" t="s">
        <v>4267</v>
      </c>
    </row>
    <row r="177" spans="1:23" ht="4.5" customHeight="1">
      <c r="A177" s="478"/>
      <c r="B177" s="449"/>
      <c r="C177" s="898"/>
      <c r="D177" s="898"/>
      <c r="E177" s="898"/>
      <c r="F177" s="898"/>
      <c r="G177" s="898"/>
      <c r="H177" s="898"/>
      <c r="M177" s="1293"/>
      <c r="N177" s="27"/>
      <c r="O177" s="27"/>
      <c r="P177" s="27"/>
      <c r="R177" s="157"/>
    </row>
    <row r="178" spans="1:23" ht="12.75" customHeight="1">
      <c r="A178" s="137" t="s">
        <v>1896</v>
      </c>
      <c r="B178" s="175" t="s">
        <v>3989</v>
      </c>
      <c r="D178" s="33"/>
      <c r="F178" s="1275"/>
      <c r="K178" s="985"/>
      <c r="L178" s="367" t="str">
        <f>IF(OR($O178=$M178,$O178=0,$O178=""),"","* * Check Score! * *")</f>
        <v/>
      </c>
      <c r="M178" s="417">
        <v>2</v>
      </c>
      <c r="N178" s="64" t="s">
        <v>1896</v>
      </c>
      <c r="O178" s="2574"/>
      <c r="P178" s="3008"/>
      <c r="Q178" s="895" t="str">
        <f>IF(OR($O178=$M178,$O178=0,$O178=""),"","*CHECK!*")</f>
        <v/>
      </c>
      <c r="R178" s="892" t="s">
        <v>4267</v>
      </c>
    </row>
    <row r="179" spans="1:23" s="101" customFormat="1" ht="10.5" customHeight="1" thickBot="1">
      <c r="A179" s="42"/>
      <c r="B179" s="1007" t="s">
        <v>3374</v>
      </c>
      <c r="C179" s="42"/>
      <c r="D179" s="48"/>
      <c r="E179" s="48"/>
      <c r="F179" s="48"/>
      <c r="G179" s="48"/>
      <c r="H179" s="36"/>
      <c r="I179" s="36"/>
      <c r="J179" s="36"/>
      <c r="K179" s="36"/>
      <c r="M179" s="46"/>
      <c r="N179" s="6"/>
      <c r="O179" s="3"/>
      <c r="P179" s="2651"/>
    </row>
    <row r="180" spans="1:23" s="43" customFormat="1" ht="21.75" customHeight="1" thickTop="1" thickBot="1">
      <c r="A180" s="4177" t="s">
        <v>6929</v>
      </c>
      <c r="B180" s="4178"/>
      <c r="C180" s="4178"/>
      <c r="D180" s="4178"/>
      <c r="E180" s="4178"/>
      <c r="F180" s="4178"/>
      <c r="G180" s="4178"/>
      <c r="H180" s="4178"/>
      <c r="I180" s="4178"/>
      <c r="J180" s="4178"/>
      <c r="K180" s="4178"/>
      <c r="L180" s="4178"/>
      <c r="M180" s="4178"/>
      <c r="N180" s="4178"/>
      <c r="O180" s="4178"/>
      <c r="P180" s="4179"/>
      <c r="Q180" s="933" t="s">
        <v>1208</v>
      </c>
    </row>
    <row r="181" spans="1:23" s="101" customFormat="1" ht="11.45" customHeight="1" thickTop="1">
      <c r="A181" s="42"/>
      <c r="B181" s="96" t="s">
        <v>1781</v>
      </c>
      <c r="C181" s="42"/>
      <c r="D181" s="96"/>
      <c r="E181" s="2658"/>
      <c r="F181" s="2658"/>
      <c r="G181" s="2658"/>
      <c r="H181" s="2658"/>
      <c r="I181" s="2658"/>
      <c r="J181" s="2658"/>
      <c r="K181" s="2658"/>
      <c r="L181" s="2658"/>
      <c r="M181" s="2658"/>
      <c r="N181" s="92"/>
      <c r="O181" s="767"/>
      <c r="P181" s="2651"/>
      <c r="Q181" s="414"/>
    </row>
    <row r="182" spans="1:23" s="43" customFormat="1" ht="11.25" customHeight="1">
      <c r="A182" s="4008"/>
      <c r="B182" s="4009"/>
      <c r="C182" s="4009"/>
      <c r="D182" s="4009"/>
      <c r="E182" s="4009"/>
      <c r="F182" s="4009"/>
      <c r="G182" s="4009"/>
      <c r="H182" s="4009"/>
      <c r="I182" s="4009"/>
      <c r="J182" s="4009"/>
      <c r="K182" s="4009"/>
      <c r="L182" s="4009"/>
      <c r="M182" s="4009"/>
      <c r="N182" s="4009"/>
      <c r="O182" s="4009"/>
      <c r="P182" s="4010"/>
      <c r="Q182" s="427"/>
    </row>
    <row r="183" spans="1:23" s="43" customFormat="1" ht="3" customHeight="1" thickBot="1">
      <c r="A183" s="42"/>
      <c r="C183" s="2654"/>
      <c r="D183" s="2654"/>
      <c r="E183" s="2654"/>
      <c r="F183" s="2654"/>
      <c r="G183" s="2654"/>
      <c r="H183" s="2654"/>
      <c r="I183" s="2654"/>
      <c r="J183" s="2654"/>
      <c r="K183" s="2654"/>
      <c r="L183" s="2654"/>
      <c r="M183" s="2654"/>
      <c r="N183" s="74"/>
      <c r="O183" s="70"/>
      <c r="P183" s="777"/>
    </row>
    <row r="184" spans="1:23" s="43" customFormat="1" ht="13.5" customHeight="1" thickBot="1">
      <c r="A184" s="151" t="s">
        <v>407</v>
      </c>
      <c r="B184" s="105" t="s">
        <v>3489</v>
      </c>
      <c r="C184" s="2654"/>
      <c r="D184" s="2654"/>
      <c r="E184" s="2654"/>
      <c r="F184" s="2654"/>
      <c r="G184" s="2654"/>
      <c r="H184" s="2654"/>
      <c r="I184" s="2654"/>
      <c r="J184" s="2654"/>
      <c r="K184" s="2654"/>
      <c r="L184" s="2654"/>
      <c r="M184" s="777">
        <v>3</v>
      </c>
      <c r="N184" s="74"/>
      <c r="O184" s="70"/>
      <c r="P184" s="965"/>
      <c r="Q184" s="108" t="s">
        <v>422</v>
      </c>
      <c r="R184" s="892" t="s">
        <v>2555</v>
      </c>
    </row>
    <row r="185" spans="1:23" s="43" customFormat="1" ht="13.5" customHeight="1">
      <c r="A185" s="151"/>
      <c r="B185" s="102" t="s">
        <v>3829</v>
      </c>
      <c r="C185" s="2654"/>
      <c r="D185" s="2654"/>
      <c r="E185" s="2654"/>
      <c r="F185" s="2654"/>
      <c r="G185" s="2654"/>
      <c r="H185" s="2654"/>
      <c r="L185" s="1276" t="str">
        <f>IF(OR(O$147&gt;0,O$199&gt;0),"Applicant is ineligible for points in this section!  Points claimed in VI or IX.","")</f>
        <v>Applicant is ineligible for points in this section!  Points claimed in VI or IX.</v>
      </c>
      <c r="M185" s="777"/>
      <c r="N185" s="74"/>
      <c r="O185" s="2493" t="s">
        <v>2773</v>
      </c>
      <c r="P185" s="3009"/>
      <c r="Q185" s="108"/>
      <c r="R185" s="1713"/>
      <c r="S185" s="1713"/>
      <c r="T185" s="1713"/>
      <c r="U185" s="1713"/>
    </row>
    <row r="186" spans="1:23" s="43" customFormat="1" ht="13.5" customHeight="1">
      <c r="A186" s="151"/>
      <c r="B186" s="2589" t="s">
        <v>6553</v>
      </c>
      <c r="C186" s="2654"/>
      <c r="D186" s="2654"/>
      <c r="E186" s="2654"/>
      <c r="F186" s="2654"/>
      <c r="G186" s="2654"/>
      <c r="H186" s="2654"/>
      <c r="L186" s="1276"/>
      <c r="M186" s="777"/>
      <c r="N186" s="777"/>
      <c r="O186" s="777"/>
      <c r="P186" s="777"/>
      <c r="Q186" s="108"/>
      <c r="R186" s="1713"/>
      <c r="S186" s="1713"/>
      <c r="T186" s="1713"/>
      <c r="U186" s="1713"/>
    </row>
    <row r="187" spans="1:23" ht="11.45" customHeight="1">
      <c r="A187" s="137" t="s">
        <v>719</v>
      </c>
      <c r="B187" s="175" t="s">
        <v>6473</v>
      </c>
      <c r="D187" s="33"/>
      <c r="G187" s="449"/>
      <c r="N187" s="27"/>
      <c r="O187" s="485"/>
      <c r="P187" s="485"/>
      <c r="Q187" s="2645"/>
    </row>
    <row r="188" spans="1:23" s="1407" customFormat="1" ht="12.75" customHeight="1">
      <c r="B188" s="423" t="s">
        <v>1897</v>
      </c>
      <c r="C188" s="4358" t="s">
        <v>6470</v>
      </c>
      <c r="D188" s="4358"/>
      <c r="E188" s="4358"/>
      <c r="F188" s="4358"/>
      <c r="G188" s="4358"/>
      <c r="H188" s="4358"/>
      <c r="I188" s="4358"/>
      <c r="J188" s="4358"/>
      <c r="K188" s="4358"/>
      <c r="L188" s="4358"/>
      <c r="M188" s="966" t="s">
        <v>719</v>
      </c>
      <c r="N188" s="381" t="s">
        <v>1897</v>
      </c>
      <c r="O188" s="2502"/>
      <c r="P188" s="2968"/>
      <c r="Q188" s="1013"/>
      <c r="V188" s="1669"/>
      <c r="W188" s="1669"/>
    </row>
    <row r="189" spans="1:23" s="33" customFormat="1" ht="12.75" customHeight="1">
      <c r="A189" s="478"/>
      <c r="B189" s="423" t="s">
        <v>1899</v>
      </c>
      <c r="C189" s="419" t="s">
        <v>6471</v>
      </c>
      <c r="D189" s="848"/>
      <c r="E189" s="848"/>
      <c r="F189" s="848"/>
      <c r="G189" s="848"/>
      <c r="H189" s="848"/>
      <c r="I189" s="848"/>
      <c r="J189" s="848"/>
      <c r="K189" s="848"/>
      <c r="L189" s="848"/>
      <c r="M189" s="848"/>
      <c r="N189" s="381" t="s">
        <v>1899</v>
      </c>
      <c r="O189" s="2670"/>
      <c r="P189" s="2954"/>
      <c r="Q189" s="901"/>
      <c r="V189" s="1008"/>
      <c r="W189" s="1008"/>
    </row>
    <row r="190" spans="1:23" s="33" customFormat="1" ht="22.5" customHeight="1">
      <c r="A190" s="478"/>
      <c r="B190" s="423" t="s">
        <v>2417</v>
      </c>
      <c r="C190" s="4344" t="s">
        <v>6474</v>
      </c>
      <c r="D190" s="4344"/>
      <c r="E190" s="4344"/>
      <c r="F190" s="4344"/>
      <c r="G190" s="4344"/>
      <c r="H190" s="4344"/>
      <c r="I190" s="4344"/>
      <c r="J190" s="4344"/>
      <c r="K190" s="4344"/>
      <c r="L190" s="4344"/>
      <c r="M190" s="899"/>
      <c r="N190" s="381" t="s">
        <v>2417</v>
      </c>
      <c r="O190" s="2666"/>
      <c r="P190" s="2963"/>
      <c r="Q190" s="901"/>
      <c r="V190" s="1008"/>
      <c r="W190" s="1008"/>
    </row>
    <row r="191" spans="1:23" ht="11.45" customHeight="1">
      <c r="A191" s="137" t="s">
        <v>2022</v>
      </c>
      <c r="B191" s="175" t="s">
        <v>6472</v>
      </c>
      <c r="D191" s="33"/>
      <c r="G191" s="449"/>
      <c r="N191" s="27"/>
      <c r="O191" s="485"/>
      <c r="P191" s="485"/>
      <c r="Q191" s="2645"/>
    </row>
    <row r="192" spans="1:23" s="1407" customFormat="1" ht="23.25" customHeight="1">
      <c r="B192" s="423" t="s">
        <v>1897</v>
      </c>
      <c r="C192" s="4358" t="s">
        <v>6475</v>
      </c>
      <c r="D192" s="4358"/>
      <c r="E192" s="4358"/>
      <c r="F192" s="4358"/>
      <c r="G192" s="4358"/>
      <c r="H192" s="4358"/>
      <c r="I192" s="4358"/>
      <c r="J192" s="4358"/>
      <c r="K192" s="4358"/>
      <c r="L192" s="4358"/>
      <c r="M192" s="966" t="s">
        <v>2022</v>
      </c>
      <c r="N192" s="381" t="s">
        <v>1897</v>
      </c>
      <c r="O192" s="2502"/>
      <c r="P192" s="2968"/>
      <c r="Q192" s="1013"/>
      <c r="V192" s="1669"/>
      <c r="W192" s="1669"/>
    </row>
    <row r="193" spans="1:24" s="33" customFormat="1" ht="23.25" customHeight="1">
      <c r="A193" s="478"/>
      <c r="B193" s="423" t="s">
        <v>1899</v>
      </c>
      <c r="C193" s="4344" t="s">
        <v>6554</v>
      </c>
      <c r="D193" s="4344"/>
      <c r="E193" s="4344"/>
      <c r="F193" s="4344"/>
      <c r="G193" s="4344"/>
      <c r="H193" s="4344"/>
      <c r="I193" s="4344"/>
      <c r="J193" s="4344"/>
      <c r="K193" s="4344"/>
      <c r="L193" s="4344"/>
      <c r="M193" s="848"/>
      <c r="N193" s="381" t="s">
        <v>1899</v>
      </c>
      <c r="O193" s="2666"/>
      <c r="P193" s="2963"/>
      <c r="Q193" s="901"/>
      <c r="V193" s="1008"/>
      <c r="W193" s="1008"/>
    </row>
    <row r="194" spans="1:24" s="43" customFormat="1" ht="12" customHeight="1" thickBot="1">
      <c r="A194" s="42"/>
      <c r="B194" s="1007" t="s">
        <v>3374</v>
      </c>
      <c r="C194" s="42"/>
      <c r="D194" s="48"/>
      <c r="E194" s="48"/>
      <c r="F194" s="48"/>
      <c r="G194" s="48"/>
      <c r="H194" s="36"/>
      <c r="I194" s="133"/>
      <c r="M194" s="46"/>
      <c r="N194" s="62"/>
      <c r="O194" s="3"/>
      <c r="P194" s="2653"/>
    </row>
    <row r="195" spans="1:24" s="43" customFormat="1" ht="45.6" customHeight="1" thickTop="1" thickBot="1">
      <c r="A195" s="4340" t="s">
        <v>6930</v>
      </c>
      <c r="B195" s="4341"/>
      <c r="C195" s="4341"/>
      <c r="D195" s="4341"/>
      <c r="E195" s="4341"/>
      <c r="F195" s="4341"/>
      <c r="G195" s="4341"/>
      <c r="H195" s="4341"/>
      <c r="I195" s="4341"/>
      <c r="J195" s="4341"/>
      <c r="K195" s="4341"/>
      <c r="L195" s="4341"/>
      <c r="M195" s="4341"/>
      <c r="N195" s="4341"/>
      <c r="O195" s="4341"/>
      <c r="P195" s="4342"/>
      <c r="Q195" s="933" t="s">
        <v>1208</v>
      </c>
    </row>
    <row r="196" spans="1:24" s="43" customFormat="1" ht="10.5" customHeight="1" thickTop="1">
      <c r="A196" s="42"/>
      <c r="B196" s="85" t="s">
        <v>1781</v>
      </c>
      <c r="C196" s="42"/>
      <c r="D196" s="85"/>
      <c r="E196" s="2654"/>
      <c r="F196" s="2654"/>
      <c r="G196" s="2654"/>
      <c r="H196" s="2654"/>
      <c r="I196" s="2654"/>
      <c r="J196" s="2654"/>
      <c r="K196" s="2654"/>
      <c r="L196" s="2654"/>
      <c r="M196" s="2654"/>
      <c r="N196" s="74"/>
      <c r="O196" s="70"/>
      <c r="P196" s="2651"/>
      <c r="Q196" s="414"/>
    </row>
    <row r="197" spans="1:24" s="43" customFormat="1" ht="22.15" customHeight="1">
      <c r="A197" s="4310"/>
      <c r="B197" s="4311"/>
      <c r="C197" s="4311"/>
      <c r="D197" s="4311"/>
      <c r="E197" s="4311"/>
      <c r="F197" s="4311"/>
      <c r="G197" s="4311"/>
      <c r="H197" s="4311"/>
      <c r="I197" s="4311"/>
      <c r="J197" s="4311"/>
      <c r="K197" s="4311"/>
      <c r="L197" s="4311"/>
      <c r="M197" s="4311"/>
      <c r="N197" s="4311"/>
      <c r="O197" s="4311"/>
      <c r="P197" s="4312"/>
      <c r="Q197" s="427"/>
    </row>
    <row r="198" spans="1:24" ht="6.75" customHeight="1" thickBot="1">
      <c r="B198" s="115"/>
      <c r="C198" s="115"/>
      <c r="D198" s="115"/>
      <c r="E198" s="115"/>
      <c r="V198" s="43"/>
      <c r="W198" s="43"/>
      <c r="X198" s="43"/>
    </row>
    <row r="199" spans="1:24" s="101" customFormat="1" ht="13.5" customHeight="1" thickBot="1">
      <c r="A199" s="151" t="s">
        <v>346</v>
      </c>
      <c r="B199" s="105" t="s">
        <v>2608</v>
      </c>
      <c r="C199" s="91"/>
      <c r="D199" s="59"/>
      <c r="E199" s="59"/>
      <c r="M199" s="2651">
        <v>10</v>
      </c>
      <c r="N199" s="7"/>
      <c r="O199" s="944">
        <f>MIN($M$199,O201+O205)</f>
        <v>10</v>
      </c>
      <c r="P199" s="944">
        <f>MIN($M$199,P201+P205)</f>
        <v>0</v>
      </c>
      <c r="Q199" s="108" t="s">
        <v>422</v>
      </c>
      <c r="R199" s="892" t="s">
        <v>4267</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1894</v>
      </c>
      <c r="B201" s="764" t="s">
        <v>3990</v>
      </c>
      <c r="C201" s="91"/>
      <c r="D201" s="59"/>
      <c r="E201" s="59"/>
      <c r="K201" s="1405"/>
      <c r="M201" s="967">
        <v>5</v>
      </c>
      <c r="N201" s="378" t="s">
        <v>1894</v>
      </c>
      <c r="O201" s="2574">
        <v>5</v>
      </c>
      <c r="P201" s="3008"/>
      <c r="Q201" s="1295" t="str">
        <f>IF(O201&lt;=M201,"","*CHECK!*")</f>
        <v/>
      </c>
      <c r="R201" s="892" t="s">
        <v>4267</v>
      </c>
      <c r="S201" s="1714"/>
      <c r="T201" s="1714"/>
      <c r="U201" s="1714"/>
    </row>
    <row r="202" spans="1:24" ht="12.75" customHeight="1">
      <c r="B202" s="2590"/>
      <c r="C202" s="133" t="s">
        <v>6555</v>
      </c>
      <c r="D202" s="2591"/>
      <c r="E202" s="2592"/>
      <c r="F202" s="2592"/>
      <c r="G202" s="2591"/>
      <c r="H202" s="2591"/>
      <c r="I202" s="2591"/>
      <c r="J202" s="4379" t="s">
        <v>6931</v>
      </c>
      <c r="K202" s="4380"/>
      <c r="L202" s="4381"/>
      <c r="M202" s="4382"/>
      <c r="N202" s="967"/>
      <c r="R202" s="416"/>
      <c r="S202" s="2591"/>
    </row>
    <row r="203" spans="1:24" ht="12.75" customHeight="1">
      <c r="C203" s="2593" t="s">
        <v>6556</v>
      </c>
      <c r="D203" s="418"/>
      <c r="J203" s="4376" t="s">
        <v>6945</v>
      </c>
      <c r="K203" s="4377"/>
      <c r="L203" s="4377"/>
      <c r="M203" s="4378"/>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1896</v>
      </c>
      <c r="B205" s="1279" t="s">
        <v>6476</v>
      </c>
      <c r="C205" s="52"/>
      <c r="E205" s="532"/>
      <c r="G205" s="2671" t="s">
        <v>6537</v>
      </c>
      <c r="H205" s="2594">
        <v>2019</v>
      </c>
      <c r="K205" s="378"/>
      <c r="L205" s="378"/>
      <c r="M205" s="967">
        <v>5</v>
      </c>
      <c r="N205" s="378" t="s">
        <v>1896</v>
      </c>
      <c r="O205" s="2574">
        <v>5</v>
      </c>
      <c r="P205" s="3008"/>
      <c r="Q205" s="1295" t="str">
        <f>IF(O205&lt;=M205,"","*CHECK!*")</f>
        <v/>
      </c>
      <c r="R205" s="892" t="s">
        <v>4267</v>
      </c>
      <c r="S205" s="1714"/>
      <c r="T205" s="1714"/>
      <c r="U205" s="1714"/>
    </row>
    <row r="206" spans="1:24" ht="7.5" customHeight="1">
      <c r="B206" s="418"/>
      <c r="C206" s="2595"/>
      <c r="D206" s="418"/>
      <c r="N206" s="967"/>
      <c r="O206" s="964"/>
      <c r="P206" s="149"/>
      <c r="Q206" s="149"/>
      <c r="R206" s="2596"/>
      <c r="S206" s="2597"/>
      <c r="T206" s="2598"/>
      <c r="U206" s="2598"/>
      <c r="V206" s="2598"/>
    </row>
    <row r="207" spans="1:24">
      <c r="C207" s="418"/>
      <c r="D207" s="2599" t="s">
        <v>6482</v>
      </c>
      <c r="E207" s="418"/>
      <c r="F207" s="4375" t="s">
        <v>6481</v>
      </c>
      <c r="G207" s="4375"/>
      <c r="H207" s="4375"/>
      <c r="I207" s="4375"/>
      <c r="J207" s="4375"/>
      <c r="K207" s="4375"/>
      <c r="L207" s="4375"/>
      <c r="M207" s="418"/>
      <c r="N207" s="27"/>
      <c r="O207" s="27"/>
      <c r="P207" s="27"/>
    </row>
    <row r="208" spans="1:24" ht="13.5" customHeight="1">
      <c r="B208" s="484"/>
      <c r="C208" s="418"/>
      <c r="D208" s="133" t="s">
        <v>6479</v>
      </c>
      <c r="E208" s="133"/>
      <c r="F208" s="4354" t="s">
        <v>7011</v>
      </c>
      <c r="G208" s="4355"/>
      <c r="H208" s="4355"/>
      <c r="I208" s="4356"/>
      <c r="J208" s="4372"/>
      <c r="K208" s="4373"/>
      <c r="L208" s="4373"/>
      <c r="M208" s="4374"/>
      <c r="N208" s="27"/>
    </row>
    <row r="209" spans="1:22" ht="13.5" customHeight="1">
      <c r="C209" s="418"/>
      <c r="D209" s="133" t="s">
        <v>6480</v>
      </c>
      <c r="E209" s="133"/>
      <c r="F209" s="4350" t="s">
        <v>7011</v>
      </c>
      <c r="G209" s="4351"/>
      <c r="H209" s="4351"/>
      <c r="I209" s="4352"/>
      <c r="J209" s="4264"/>
      <c r="K209" s="4265"/>
      <c r="L209" s="4265"/>
      <c r="M209" s="4266"/>
      <c r="N209" s="2600" t="str">
        <f>IF(P205&lt;=N205,"","*CHECK!*")</f>
        <v/>
      </c>
    </row>
    <row r="210" spans="1:22" ht="13.5" customHeight="1">
      <c r="B210" s="484"/>
      <c r="C210" s="418"/>
      <c r="D210" s="133" t="s">
        <v>6477</v>
      </c>
      <c r="E210" s="133"/>
      <c r="F210" s="4350" t="s">
        <v>7011</v>
      </c>
      <c r="G210" s="4351"/>
      <c r="H210" s="4351"/>
      <c r="I210" s="4352"/>
      <c r="J210" s="4264"/>
      <c r="K210" s="4265"/>
      <c r="L210" s="4265"/>
      <c r="M210" s="4266"/>
      <c r="N210" s="27"/>
    </row>
    <row r="211" spans="1:22" ht="13.5" customHeight="1">
      <c r="B211" s="418"/>
      <c r="C211" s="418"/>
      <c r="D211" s="133" t="s">
        <v>6478</v>
      </c>
      <c r="E211" s="133"/>
      <c r="F211" s="4347" t="s">
        <v>7012</v>
      </c>
      <c r="G211" s="4348"/>
      <c r="H211" s="4348"/>
      <c r="I211" s="4349"/>
      <c r="J211" s="4261"/>
      <c r="K211" s="4262"/>
      <c r="L211" s="4262"/>
      <c r="M211" s="4263"/>
      <c r="N211" s="418"/>
      <c r="R211" s="2596"/>
    </row>
    <row r="212" spans="1:22" ht="6" customHeight="1">
      <c r="B212" s="418"/>
      <c r="C212" s="2595"/>
      <c r="D212" s="418"/>
      <c r="N212" s="967"/>
      <c r="O212" s="964"/>
      <c r="P212" s="149"/>
      <c r="Q212" s="149"/>
      <c r="R212" s="2596"/>
      <c r="S212" s="2597"/>
      <c r="T212" s="2598"/>
      <c r="U212" s="2598"/>
      <c r="V212" s="2598"/>
    </row>
    <row r="213" spans="1:22" ht="3" customHeight="1">
      <c r="A213" s="484"/>
      <c r="B213" s="778"/>
      <c r="C213" s="404"/>
      <c r="E213" s="115"/>
      <c r="M213" s="967"/>
      <c r="N213" s="964"/>
      <c r="O213" s="777"/>
      <c r="P213" s="777"/>
    </row>
    <row r="214" spans="1:22" s="43" customFormat="1" ht="10.5" customHeight="1" thickBot="1">
      <c r="A214" s="42"/>
      <c r="B214" s="1007" t="s">
        <v>3374</v>
      </c>
      <c r="C214" s="42"/>
      <c r="D214" s="48"/>
      <c r="E214" s="48"/>
      <c r="F214" s="48"/>
      <c r="G214" s="48"/>
      <c r="H214" s="36"/>
      <c r="I214" s="36"/>
      <c r="J214" s="36"/>
      <c r="K214" s="36"/>
      <c r="M214" s="46"/>
      <c r="N214" s="62"/>
      <c r="O214" s="3"/>
      <c r="P214" s="2653"/>
    </row>
    <row r="215" spans="1:22" s="43" customFormat="1" ht="34.9" customHeight="1" thickTop="1" thickBot="1">
      <c r="A215" s="4177" t="s">
        <v>7037</v>
      </c>
      <c r="B215" s="4178"/>
      <c r="C215" s="4178"/>
      <c r="D215" s="4178"/>
      <c r="E215" s="4178"/>
      <c r="F215" s="4178"/>
      <c r="G215" s="4178"/>
      <c r="H215" s="4178"/>
      <c r="I215" s="4178"/>
      <c r="J215" s="4178"/>
      <c r="K215" s="4178"/>
      <c r="L215" s="4178"/>
      <c r="M215" s="4178"/>
      <c r="N215" s="4178"/>
      <c r="O215" s="4178"/>
      <c r="P215" s="4179"/>
      <c r="Q215" s="933" t="s">
        <v>1208</v>
      </c>
    </row>
    <row r="216" spans="1:22" ht="2.25" customHeight="1" thickTop="1">
      <c r="A216" s="484"/>
      <c r="B216" s="778"/>
      <c r="C216" s="404"/>
      <c r="E216" s="115"/>
      <c r="M216" s="967"/>
      <c r="N216" s="964"/>
      <c r="O216" s="777"/>
      <c r="P216" s="777"/>
    </row>
    <row r="217" spans="1:22" s="43" customFormat="1" ht="10.5" customHeight="1">
      <c r="A217" s="42"/>
      <c r="B217" s="85" t="s">
        <v>1781</v>
      </c>
      <c r="C217" s="42"/>
      <c r="D217" s="85"/>
      <c r="E217" s="2654"/>
      <c r="F217" s="2654"/>
      <c r="G217" s="2654"/>
      <c r="H217" s="2654"/>
      <c r="I217" s="2654"/>
      <c r="J217" s="2654"/>
      <c r="K217" s="2654"/>
      <c r="L217" s="2654"/>
      <c r="M217" s="2654"/>
      <c r="N217" s="74"/>
      <c r="O217" s="70"/>
      <c r="P217" s="2651"/>
      <c r="Q217" s="414"/>
    </row>
    <row r="218" spans="1:22" s="43" customFormat="1" ht="11.25" customHeight="1">
      <c r="A218" s="4310"/>
      <c r="B218" s="4311"/>
      <c r="C218" s="4311"/>
      <c r="D218" s="4311"/>
      <c r="E218" s="4311"/>
      <c r="F218" s="4311"/>
      <c r="G218" s="4311"/>
      <c r="H218" s="4311"/>
      <c r="I218" s="4311"/>
      <c r="J218" s="4311"/>
      <c r="K218" s="4311"/>
      <c r="L218" s="4311"/>
      <c r="M218" s="4311"/>
      <c r="N218" s="4311"/>
      <c r="O218" s="4311"/>
      <c r="P218" s="4312"/>
      <c r="Q218" s="427"/>
    </row>
    <row r="219" spans="1:22" s="43" customFormat="1" ht="5.25" customHeight="1" thickBot="1">
      <c r="A219" s="42"/>
      <c r="D219" s="39"/>
      <c r="E219" s="36"/>
      <c r="F219" s="777"/>
      <c r="G219" s="777"/>
      <c r="H219" s="777"/>
      <c r="I219" s="777"/>
      <c r="J219" s="783"/>
      <c r="K219" s="783"/>
      <c r="L219" s="783"/>
      <c r="M219" s="60"/>
      <c r="N219" s="777"/>
      <c r="O219" s="2653"/>
      <c r="P219" s="3"/>
    </row>
    <row r="220" spans="1:22" ht="13.5" customHeight="1" thickBot="1">
      <c r="A220" s="151" t="s">
        <v>347</v>
      </c>
      <c r="B220" s="1403" t="s">
        <v>4241</v>
      </c>
      <c r="C220" s="404"/>
      <c r="E220" s="115"/>
      <c r="G220" s="1706" t="s">
        <v>6545</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6546</v>
      </c>
      <c r="D221" s="39"/>
      <c r="E221" s="36"/>
      <c r="F221" s="777"/>
      <c r="G221" s="2663" t="s">
        <v>3275</v>
      </c>
      <c r="H221" s="1277">
        <f>IF('Part VI-Revenues &amp; Expenses'!$P$67=0,0,'Part VI-Revenues &amp; Expenses'!$P$64/'Part VI-Revenues &amp; Expenses'!$P$67)</f>
        <v>0</v>
      </c>
      <c r="J221" s="449" t="s">
        <v>4164</v>
      </c>
      <c r="K221" s="4277" t="str">
        <f>'Part I-Project Information'!$K$94</f>
        <v>Income Averaging</v>
      </c>
      <c r="L221" s="4278"/>
      <c r="M221" s="60"/>
      <c r="N221" s="777"/>
      <c r="O221" s="2653"/>
      <c r="P221" s="3"/>
    </row>
    <row r="222" spans="1:22" ht="12" customHeight="1">
      <c r="A222" s="1401" t="s">
        <v>1894</v>
      </c>
      <c r="B222" s="1404" t="s">
        <v>4162</v>
      </c>
      <c r="C222" s="404"/>
      <c r="D222" s="418" t="s">
        <v>4163</v>
      </c>
      <c r="M222" s="72">
        <v>1</v>
      </c>
      <c r="N222" s="439" t="s">
        <v>1894</v>
      </c>
      <c r="O222" s="2601"/>
      <c r="P222" s="3010"/>
      <c r="Q222" s="895" t="str">
        <f>IF(OR($O222=$M222,$O222=0,$O222=""),"","*CHECK!*")</f>
        <v/>
      </c>
      <c r="R222" s="892" t="s">
        <v>4267</v>
      </c>
    </row>
    <row r="223" spans="1:22" ht="12" customHeight="1">
      <c r="A223" s="1401" t="s">
        <v>1896</v>
      </c>
      <c r="B223" s="1404" t="s">
        <v>3978</v>
      </c>
      <c r="C223" s="404"/>
      <c r="D223" s="418" t="s">
        <v>4246</v>
      </c>
      <c r="M223" s="80">
        <v>1</v>
      </c>
      <c r="N223" s="439" t="s">
        <v>1896</v>
      </c>
      <c r="O223" s="2565">
        <v>1</v>
      </c>
      <c r="P223" s="2991"/>
      <c r="Q223" s="895" t="str">
        <f>IF(OR($O223=$M223,$O223=0,$O223=""),"","*CHECK!*")</f>
        <v/>
      </c>
      <c r="R223" s="892" t="s">
        <v>4267</v>
      </c>
    </row>
    <row r="224" spans="1:22" ht="2.25" customHeight="1">
      <c r="A224" s="484"/>
      <c r="B224" s="778"/>
      <c r="C224" s="404"/>
      <c r="E224" s="115"/>
      <c r="M224" s="967"/>
      <c r="N224" s="964"/>
      <c r="O224" s="777"/>
      <c r="P224" s="777"/>
    </row>
    <row r="225" spans="1:27" s="43" customFormat="1" ht="11.25" customHeight="1">
      <c r="A225" s="42"/>
      <c r="B225" s="85" t="s">
        <v>1781</v>
      </c>
      <c r="C225" s="42"/>
      <c r="D225" s="85"/>
      <c r="E225" s="2654"/>
      <c r="F225" s="2654"/>
      <c r="G225" s="2654"/>
      <c r="H225" s="2654"/>
      <c r="I225" s="2654"/>
      <c r="J225" s="2654"/>
      <c r="K225" s="2654"/>
      <c r="L225" s="2654"/>
      <c r="M225" s="2654"/>
      <c r="N225" s="74"/>
      <c r="O225" s="70"/>
      <c r="P225" s="2651"/>
      <c r="Q225" s="414"/>
    </row>
    <row r="226" spans="1:27" s="43" customFormat="1" ht="11.25" customHeight="1">
      <c r="A226" s="4310"/>
      <c r="B226" s="4311"/>
      <c r="C226" s="4311"/>
      <c r="D226" s="4311"/>
      <c r="E226" s="4311"/>
      <c r="F226" s="4311"/>
      <c r="G226" s="4311"/>
      <c r="H226" s="4311"/>
      <c r="I226" s="4311"/>
      <c r="J226" s="4311"/>
      <c r="K226" s="4311"/>
      <c r="L226" s="4311"/>
      <c r="M226" s="4311"/>
      <c r="N226" s="4311"/>
      <c r="O226" s="4311"/>
      <c r="P226" s="4312"/>
      <c r="Q226" s="427"/>
    </row>
    <row r="227" spans="1:27" s="43" customFormat="1" ht="5.25" customHeight="1" thickBot="1">
      <c r="A227" s="42"/>
      <c r="D227" s="39"/>
      <c r="E227" s="36"/>
      <c r="F227" s="777"/>
      <c r="G227" s="777"/>
      <c r="H227" s="777"/>
      <c r="I227" s="777"/>
      <c r="J227" s="783"/>
      <c r="K227" s="783"/>
      <c r="L227" s="783"/>
      <c r="M227" s="60"/>
      <c r="N227" s="777"/>
      <c r="O227" s="2653"/>
      <c r="P227" s="3"/>
    </row>
    <row r="228" spans="1:27" s="101" customFormat="1" ht="13.5" customHeight="1" thickBot="1">
      <c r="A228" s="151" t="s">
        <v>348</v>
      </c>
      <c r="B228" s="105" t="s">
        <v>3490</v>
      </c>
      <c r="C228" s="91"/>
      <c r="D228" s="59"/>
      <c r="E228" s="59"/>
      <c r="G228" s="1710"/>
      <c r="H228" s="170"/>
      <c r="I228" s="170"/>
      <c r="J228" s="170"/>
      <c r="K228" s="170"/>
      <c r="L228" s="170"/>
      <c r="M228" s="2651">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1894</v>
      </c>
      <c r="B230" s="969" t="s">
        <v>3398</v>
      </c>
      <c r="D230" s="558"/>
      <c r="E230" s="558"/>
      <c r="F230" s="558"/>
      <c r="G230" s="558"/>
      <c r="H230" s="558"/>
      <c r="L230" s="904"/>
      <c r="M230" s="4345" t="str">
        <f>IF(OR(SUM(T230:T231)&gt;1,SUM(Q230:Q231)&gt;1),"Only one category can be met by other means!","")</f>
        <v/>
      </c>
      <c r="N230" s="439" t="s">
        <v>1894</v>
      </c>
      <c r="O230" s="2492"/>
      <c r="P230" s="2953"/>
      <c r="Q230" s="914">
        <f>IF(L230="Yes",1,0)</f>
        <v>0</v>
      </c>
      <c r="R230" s="1714"/>
      <c r="S230" s="1714"/>
      <c r="T230" s="1714"/>
      <c r="U230" s="1714"/>
      <c r="V230" s="1714"/>
    </row>
    <row r="231" spans="1:27" ht="11.25" customHeight="1">
      <c r="A231" s="1401" t="s">
        <v>1896</v>
      </c>
      <c r="B231" s="969" t="s">
        <v>3399</v>
      </c>
      <c r="D231" s="558"/>
      <c r="L231" s="904"/>
      <c r="M231" s="4345"/>
      <c r="N231" s="439" t="s">
        <v>1896</v>
      </c>
      <c r="O231" s="2668"/>
      <c r="P231" s="2955"/>
      <c r="Q231" s="914">
        <f>IF(L231="Yes",1,0)</f>
        <v>0</v>
      </c>
      <c r="R231" s="1714"/>
      <c r="S231" s="1714"/>
      <c r="T231" s="1714"/>
      <c r="U231" s="1714"/>
      <c r="V231" s="1714"/>
    </row>
    <row r="232" spans="1:27" s="43" customFormat="1" ht="10.5" customHeight="1" thickBot="1">
      <c r="A232" s="42"/>
      <c r="B232" s="1007" t="s">
        <v>3374</v>
      </c>
      <c r="C232" s="42"/>
      <c r="D232" s="48"/>
      <c r="E232" s="48"/>
      <c r="F232" s="48"/>
      <c r="G232" s="48"/>
      <c r="H232" s="36"/>
      <c r="I232" s="36"/>
      <c r="J232" s="36"/>
      <c r="K232" s="36"/>
      <c r="M232" s="46"/>
      <c r="N232" s="62"/>
      <c r="O232" s="3"/>
      <c r="P232" s="2653"/>
      <c r="R232" s="1714"/>
      <c r="S232" s="1714"/>
      <c r="T232" s="1714"/>
      <c r="U232" s="1714"/>
      <c r="V232" s="1714"/>
    </row>
    <row r="233" spans="1:27" s="43" customFormat="1" ht="34.9" customHeight="1" thickTop="1" thickBot="1">
      <c r="A233" s="4177" t="s">
        <v>6932</v>
      </c>
      <c r="B233" s="4178"/>
      <c r="C233" s="4178"/>
      <c r="D233" s="4178"/>
      <c r="E233" s="4178"/>
      <c r="F233" s="4178"/>
      <c r="G233" s="4178"/>
      <c r="H233" s="4178"/>
      <c r="I233" s="4178"/>
      <c r="J233" s="4178"/>
      <c r="K233" s="4178"/>
      <c r="L233" s="4178"/>
      <c r="M233" s="4178"/>
      <c r="N233" s="4178"/>
      <c r="O233" s="4178"/>
      <c r="P233" s="4179"/>
      <c r="Q233" s="933" t="s">
        <v>1208</v>
      </c>
    </row>
    <row r="234" spans="1:27" s="43" customFormat="1" ht="10.5" customHeight="1" thickTop="1">
      <c r="A234" s="42"/>
      <c r="B234" s="85" t="s">
        <v>1781</v>
      </c>
      <c r="C234" s="42"/>
      <c r="D234" s="85"/>
      <c r="E234" s="2654"/>
      <c r="F234" s="2654"/>
      <c r="G234" s="2654"/>
      <c r="H234" s="2654"/>
      <c r="I234" s="2654"/>
      <c r="J234" s="2654"/>
      <c r="K234" s="2654"/>
      <c r="L234" s="2654"/>
      <c r="M234" s="2654"/>
      <c r="N234" s="74"/>
      <c r="O234" s="70"/>
      <c r="P234" s="2651"/>
      <c r="Q234" s="414"/>
    </row>
    <row r="235" spans="1:27" s="43" customFormat="1" ht="11.25" customHeight="1">
      <c r="A235" s="4310"/>
      <c r="B235" s="4311"/>
      <c r="C235" s="4311"/>
      <c r="D235" s="4311"/>
      <c r="E235" s="4311"/>
      <c r="F235" s="4311"/>
      <c r="G235" s="4311"/>
      <c r="H235" s="4311"/>
      <c r="I235" s="4311"/>
      <c r="J235" s="4311"/>
      <c r="K235" s="4311"/>
      <c r="L235" s="4311"/>
      <c r="M235" s="4311"/>
      <c r="N235" s="4311"/>
      <c r="O235" s="4311"/>
      <c r="P235" s="4312"/>
      <c r="Q235" s="427"/>
    </row>
    <row r="236" spans="1:27" s="43" customFormat="1" ht="5.25" customHeight="1" thickBot="1">
      <c r="A236" s="42"/>
      <c r="D236" s="39"/>
      <c r="E236" s="36"/>
      <c r="F236" s="777"/>
      <c r="G236" s="777"/>
      <c r="H236" s="777"/>
      <c r="I236" s="777"/>
      <c r="J236" s="783"/>
      <c r="K236" s="783"/>
      <c r="L236" s="783"/>
      <c r="M236" s="60"/>
      <c r="N236" s="777"/>
      <c r="O236" s="2653"/>
      <c r="P236" s="3"/>
    </row>
    <row r="237" spans="1:27" s="43" customFormat="1" ht="13.5" customHeight="1" thickBot="1">
      <c r="A237" s="151" t="s">
        <v>1648</v>
      </c>
      <c r="B237" s="104" t="s">
        <v>4243</v>
      </c>
      <c r="D237" s="41"/>
      <c r="E237" s="41"/>
      <c r="F237" s="41"/>
      <c r="G237" s="41"/>
      <c r="H237" s="41"/>
      <c r="I237" s="41"/>
      <c r="J237" s="41"/>
      <c r="K237" s="41"/>
      <c r="L237" s="41"/>
      <c r="M237" s="2651">
        <v>3</v>
      </c>
      <c r="N237" s="6"/>
      <c r="O237" s="944"/>
      <c r="P237" s="965"/>
      <c r="Q237" s="108" t="s">
        <v>422</v>
      </c>
      <c r="R237" s="892" t="s">
        <v>4267</v>
      </c>
      <c r="S237" s="923"/>
      <c r="T237" s="923"/>
      <c r="U237" s="923"/>
      <c r="V237" s="923"/>
      <c r="W237" s="1495"/>
      <c r="X237" s="1495"/>
    </row>
    <row r="238" spans="1:27" s="99" customFormat="1" ht="11.25">
      <c r="A238" s="423"/>
      <c r="B238" s="898" t="s">
        <v>6557</v>
      </c>
      <c r="C238" s="898"/>
      <c r="D238" s="898"/>
      <c r="E238" s="898"/>
      <c r="F238" s="898"/>
      <c r="G238" s="898"/>
      <c r="H238" s="898"/>
      <c r="I238" s="898"/>
      <c r="J238" s="898"/>
      <c r="K238" s="898"/>
      <c r="L238" s="898"/>
      <c r="M238" s="898"/>
      <c r="N238" s="159"/>
      <c r="O238" s="2507" t="s">
        <v>2773</v>
      </c>
      <c r="P238" s="2974"/>
      <c r="Q238" s="1722"/>
      <c r="R238" s="1723"/>
      <c r="S238" s="1723"/>
      <c r="T238" s="1723"/>
      <c r="U238" s="899"/>
      <c r="V238" s="899"/>
      <c r="W238" s="899"/>
      <c r="X238" s="899"/>
      <c r="Y238" s="899"/>
      <c r="Z238" s="899"/>
      <c r="AA238" s="899"/>
    </row>
    <row r="239" spans="1:27" s="116" customFormat="1" ht="11.25" customHeight="1">
      <c r="A239" s="365"/>
      <c r="B239" s="423" t="s">
        <v>1897</v>
      </c>
      <c r="C239" s="133" t="s">
        <v>6558</v>
      </c>
      <c r="E239" s="419" t="s">
        <v>3455</v>
      </c>
      <c r="G239" s="2602"/>
      <c r="H239" s="378" t="s">
        <v>587</v>
      </c>
      <c r="I239" s="4324"/>
      <c r="J239" s="4324"/>
      <c r="L239" s="2603" t="s">
        <v>6560</v>
      </c>
      <c r="M239" s="4180"/>
      <c r="N239" s="4180"/>
    </row>
    <row r="240" spans="1:27" s="116" customFormat="1" ht="11.25" customHeight="1">
      <c r="A240" s="365"/>
      <c r="B240" s="423" t="s">
        <v>1899</v>
      </c>
      <c r="C240" s="133" t="s">
        <v>6559</v>
      </c>
      <c r="E240" s="419" t="s">
        <v>3455</v>
      </c>
      <c r="G240" s="2604"/>
      <c r="H240" s="378" t="s">
        <v>587</v>
      </c>
      <c r="I240" s="4346"/>
      <c r="J240" s="4346"/>
      <c r="L240" s="2603" t="s">
        <v>6560</v>
      </c>
      <c r="M240" s="4353"/>
      <c r="N240" s="4353"/>
    </row>
    <row r="241" spans="1:24" s="43" customFormat="1" ht="5.25" customHeight="1">
      <c r="A241" s="42"/>
      <c r="D241" s="39"/>
      <c r="E241" s="36"/>
      <c r="F241" s="777"/>
      <c r="G241" s="777"/>
      <c r="H241" s="777"/>
      <c r="I241" s="777"/>
      <c r="J241" s="783"/>
      <c r="K241" s="783"/>
      <c r="L241" s="783"/>
      <c r="M241" s="60"/>
      <c r="N241" s="777"/>
      <c r="O241" s="2653"/>
      <c r="P241" s="3"/>
    </row>
    <row r="242" spans="1:24" s="43" customFormat="1" ht="10.5" customHeight="1" thickBot="1">
      <c r="A242" s="42"/>
      <c r="B242" s="1007" t="s">
        <v>3374</v>
      </c>
      <c r="C242" s="42"/>
      <c r="D242" s="48"/>
      <c r="E242" s="48"/>
      <c r="F242" s="48"/>
      <c r="G242" s="48"/>
      <c r="H242" s="36"/>
      <c r="I242" s="36"/>
      <c r="J242" s="36"/>
      <c r="K242" s="36"/>
      <c r="M242" s="46"/>
      <c r="N242" s="62"/>
      <c r="O242" s="3"/>
      <c r="P242" s="2653"/>
    </row>
    <row r="243" spans="1:24" s="43" customFormat="1" ht="21.75" customHeight="1" thickTop="1" thickBot="1">
      <c r="A243" s="4177" t="s">
        <v>6933</v>
      </c>
      <c r="B243" s="4178"/>
      <c r="C243" s="4178"/>
      <c r="D243" s="4178"/>
      <c r="E243" s="4178"/>
      <c r="F243" s="4178"/>
      <c r="G243" s="4178"/>
      <c r="H243" s="4178"/>
      <c r="I243" s="4178"/>
      <c r="J243" s="4178"/>
      <c r="K243" s="4178"/>
      <c r="L243" s="4178"/>
      <c r="M243" s="4178"/>
      <c r="N243" s="4178"/>
      <c r="O243" s="4178"/>
      <c r="P243" s="4179"/>
      <c r="Q243" s="933" t="s">
        <v>1208</v>
      </c>
    </row>
    <row r="244" spans="1:24" s="43" customFormat="1" ht="10.5" customHeight="1" thickTop="1">
      <c r="B244" s="85" t="s">
        <v>1781</v>
      </c>
      <c r="C244" s="97"/>
      <c r="D244" s="85"/>
      <c r="E244" s="98"/>
      <c r="F244" s="2654"/>
      <c r="G244" s="2654"/>
      <c r="H244" s="2654"/>
      <c r="I244" s="2654"/>
      <c r="J244" s="2654"/>
      <c r="K244" s="2654"/>
      <c r="L244" s="2654"/>
      <c r="M244" s="2654"/>
      <c r="N244" s="74"/>
      <c r="O244" s="70"/>
      <c r="P244" s="2651"/>
      <c r="Q244" s="414"/>
    </row>
    <row r="245" spans="1:24" s="43" customFormat="1" ht="11.25" customHeight="1">
      <c r="A245" s="4008"/>
      <c r="B245" s="4009"/>
      <c r="C245" s="4009"/>
      <c r="D245" s="4009"/>
      <c r="E245" s="4009"/>
      <c r="F245" s="4009"/>
      <c r="G245" s="4009"/>
      <c r="H245" s="4009"/>
      <c r="I245" s="4009"/>
      <c r="J245" s="4009"/>
      <c r="K245" s="4009"/>
      <c r="L245" s="4009"/>
      <c r="M245" s="4009"/>
      <c r="N245" s="4009"/>
      <c r="O245" s="4009"/>
      <c r="P245" s="4010"/>
      <c r="Q245" s="427"/>
    </row>
    <row r="246" spans="1:24" s="43" customFormat="1" ht="5.25" customHeight="1" thickBot="1">
      <c r="A246" s="42"/>
      <c r="D246" s="39"/>
      <c r="E246" s="36"/>
      <c r="F246" s="777"/>
      <c r="G246" s="777"/>
      <c r="H246" s="777"/>
      <c r="I246" s="777"/>
      <c r="J246" s="783"/>
      <c r="K246" s="783"/>
      <c r="L246" s="783"/>
      <c r="M246" s="60"/>
      <c r="N246" s="777"/>
      <c r="O246" s="2653"/>
      <c r="P246" s="3"/>
    </row>
    <row r="247" spans="1:24" s="43" customFormat="1" ht="13.5" customHeight="1" thickBot="1">
      <c r="A247" s="151" t="s">
        <v>2606</v>
      </c>
      <c r="B247" s="104" t="s">
        <v>4165</v>
      </c>
      <c r="D247" s="41"/>
      <c r="E247" s="55" t="s">
        <v>6571</v>
      </c>
      <c r="G247" s="61"/>
      <c r="M247" s="2651">
        <v>5</v>
      </c>
      <c r="N247" s="6"/>
      <c r="O247" s="944">
        <f>MIN($M247,MAX(O248,O249,O250))</f>
        <v>3</v>
      </c>
      <c r="P247" s="944">
        <f>MIN($M247,MAX(P248,P249,P250))</f>
        <v>0</v>
      </c>
      <c r="Q247" s="108" t="s">
        <v>422</v>
      </c>
      <c r="R247" s="892" t="s">
        <v>4267</v>
      </c>
      <c r="S247" s="1724"/>
      <c r="T247" s="1724"/>
      <c r="U247" s="1724"/>
      <c r="V247" s="1724"/>
      <c r="W247" s="1495"/>
      <c r="X247" s="1495"/>
    </row>
    <row r="248" spans="1:24" s="33" customFormat="1" ht="11.25" customHeight="1">
      <c r="A248" s="137" t="s">
        <v>1894</v>
      </c>
      <c r="B248" s="175" t="s">
        <v>6570</v>
      </c>
      <c r="D248" s="532"/>
      <c r="M248" s="7">
        <v>5</v>
      </c>
      <c r="N248" s="439" t="s">
        <v>1894</v>
      </c>
      <c r="O248" s="2605"/>
      <c r="P248" s="3011"/>
      <c r="Q248" s="895" t="str">
        <f>IF(OR($O248=$M248,$O248=$M248-1,$O248=0,$O248=""),"","*CHECK!*")</f>
        <v/>
      </c>
      <c r="R248" s="892" t="s">
        <v>4267</v>
      </c>
      <c r="S248" s="1724"/>
      <c r="T248" s="1724"/>
      <c r="U248" s="1724"/>
      <c r="V248" s="1724"/>
    </row>
    <row r="249" spans="1:24" s="33" customFormat="1" ht="11.25" customHeight="1">
      <c r="A249" s="137" t="s">
        <v>1896</v>
      </c>
      <c r="B249" s="175" t="s">
        <v>6572</v>
      </c>
      <c r="D249" s="532"/>
      <c r="M249" s="7">
        <v>3</v>
      </c>
      <c r="N249" s="439" t="s">
        <v>1896</v>
      </c>
      <c r="O249" s="2564">
        <v>3</v>
      </c>
      <c r="P249" s="2990"/>
      <c r="Q249" s="895" t="str">
        <f t="shared" ref="Q249:Q250" si="3">IF(OR($O249=$M249,$O249=$M249-1,$O249=0,$O249=""),"","*CHECK!*")</f>
        <v/>
      </c>
      <c r="R249" s="892" t="s">
        <v>4267</v>
      </c>
    </row>
    <row r="250" spans="1:24">
      <c r="A250" s="137" t="s">
        <v>719</v>
      </c>
      <c r="B250" s="175" t="s">
        <v>6573</v>
      </c>
      <c r="E250" s="40" t="s">
        <v>6501</v>
      </c>
      <c r="I250" s="1406"/>
      <c r="L250" s="1675"/>
      <c r="M250" s="7">
        <v>3</v>
      </c>
      <c r="N250" s="439" t="s">
        <v>719</v>
      </c>
      <c r="O250" s="2565"/>
      <c r="P250" s="2991"/>
      <c r="Q250" s="895" t="str">
        <f t="shared" si="3"/>
        <v/>
      </c>
      <c r="R250" s="892" t="s">
        <v>4267</v>
      </c>
    </row>
    <row r="251" spans="1:24" s="43" customFormat="1" ht="10.5" customHeight="1" thickBot="1">
      <c r="A251" s="42"/>
      <c r="B251" s="1007" t="s">
        <v>3374</v>
      </c>
      <c r="C251" s="42"/>
      <c r="D251" s="48"/>
      <c r="E251" s="48"/>
      <c r="F251" s="48"/>
      <c r="G251" s="48"/>
      <c r="H251" s="36"/>
      <c r="I251" s="36"/>
      <c r="J251" s="36"/>
      <c r="K251" s="36"/>
      <c r="M251" s="46"/>
      <c r="N251" s="62"/>
      <c r="O251" s="3"/>
      <c r="P251" s="2653"/>
    </row>
    <row r="252" spans="1:24" s="43" customFormat="1" ht="21.75" customHeight="1" thickTop="1" thickBot="1">
      <c r="A252" s="4177" t="s">
        <v>7013</v>
      </c>
      <c r="B252" s="4178"/>
      <c r="C252" s="4178"/>
      <c r="D252" s="4178"/>
      <c r="E252" s="4178"/>
      <c r="F252" s="4178"/>
      <c r="G252" s="4178"/>
      <c r="H252" s="4178"/>
      <c r="I252" s="4178"/>
      <c r="J252" s="4178"/>
      <c r="K252" s="4178"/>
      <c r="L252" s="4178"/>
      <c r="M252" s="4178"/>
      <c r="N252" s="4178"/>
      <c r="O252" s="4178"/>
      <c r="P252" s="4179"/>
      <c r="Q252" s="933" t="s">
        <v>1208</v>
      </c>
    </row>
    <row r="253" spans="1:24" s="43" customFormat="1" ht="10.5" customHeight="1" thickTop="1">
      <c r="B253" s="85" t="s">
        <v>1781</v>
      </c>
      <c r="C253" s="97"/>
      <c r="D253" s="85"/>
      <c r="E253" s="98"/>
      <c r="F253" s="2654"/>
      <c r="G253" s="2654"/>
      <c r="H253" s="2654"/>
      <c r="I253" s="2654"/>
      <c r="J253" s="2654"/>
      <c r="K253" s="2654"/>
      <c r="L253" s="2654"/>
      <c r="M253" s="2654"/>
      <c r="N253" s="74"/>
      <c r="O253" s="70"/>
      <c r="P253" s="2651"/>
      <c r="Q253" s="414"/>
    </row>
    <row r="254" spans="1:24" s="43" customFormat="1" ht="11.25" customHeight="1">
      <c r="A254" s="4008"/>
      <c r="B254" s="4009"/>
      <c r="C254" s="4009"/>
      <c r="D254" s="4009"/>
      <c r="E254" s="4009"/>
      <c r="F254" s="4009"/>
      <c r="G254" s="4009"/>
      <c r="H254" s="4009"/>
      <c r="I254" s="4009"/>
      <c r="J254" s="4009"/>
      <c r="K254" s="4009"/>
      <c r="L254" s="4009"/>
      <c r="M254" s="4009"/>
      <c r="N254" s="4009"/>
      <c r="O254" s="4009"/>
      <c r="P254" s="4010"/>
      <c r="Q254" s="427"/>
    </row>
    <row r="255" spans="1:24" ht="6" customHeight="1" thickBot="1">
      <c r="B255" s="115"/>
      <c r="C255" s="115"/>
      <c r="D255" s="115"/>
      <c r="E255" s="115"/>
      <c r="T255" s="929"/>
      <c r="U255" s="929"/>
    </row>
    <row r="256" spans="1:24" s="43" customFormat="1" ht="13.5" customHeight="1" thickBot="1">
      <c r="A256" s="152" t="s">
        <v>2150</v>
      </c>
      <c r="B256" s="105" t="s">
        <v>2627</v>
      </c>
      <c r="C256" s="54"/>
      <c r="D256" s="114"/>
      <c r="E256" s="114"/>
      <c r="F256" s="41"/>
      <c r="H256" s="40"/>
      <c r="J256" s="2667"/>
      <c r="K256" s="48"/>
      <c r="L256" s="439" t="s">
        <v>4268</v>
      </c>
      <c r="M256" s="2651">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1894</v>
      </c>
      <c r="B257" s="163" t="s">
        <v>2133</v>
      </c>
      <c r="D257" s="61"/>
      <c r="E257" s="61"/>
      <c r="F257" s="44"/>
      <c r="G257" s="27"/>
      <c r="L257" s="367"/>
      <c r="M257" s="7">
        <v>3</v>
      </c>
      <c r="N257" s="439" t="s">
        <v>1894</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1897</v>
      </c>
      <c r="C258" s="40" t="s">
        <v>3993</v>
      </c>
      <c r="D258" s="61"/>
      <c r="E258" s="61"/>
      <c r="F258" s="44"/>
      <c r="G258" s="27"/>
      <c r="L258" s="367"/>
      <c r="M258" s="7">
        <v>3</v>
      </c>
      <c r="N258" s="421" t="s">
        <v>1897</v>
      </c>
      <c r="O258" s="2492" t="s">
        <v>2770</v>
      </c>
      <c r="P258" s="2953"/>
      <c r="Q258" s="895"/>
      <c r="R258" s="943"/>
      <c r="T258" s="929"/>
      <c r="U258" s="929"/>
    </row>
    <row r="259" spans="1:21" s="101" customFormat="1" ht="11.25" customHeight="1">
      <c r="A259" s="137"/>
      <c r="B259" s="423" t="s">
        <v>1899</v>
      </c>
      <c r="C259" s="40" t="s">
        <v>3994</v>
      </c>
      <c r="D259" s="61"/>
      <c r="E259" s="61"/>
      <c r="F259" s="44"/>
      <c r="G259" s="27"/>
      <c r="L259" s="367"/>
      <c r="M259" s="7">
        <v>2</v>
      </c>
      <c r="N259" s="779" t="s">
        <v>1899</v>
      </c>
      <c r="O259" s="2670" t="s">
        <v>6858</v>
      </c>
      <c r="P259" s="2954"/>
      <c r="Q259" s="895"/>
      <c r="R259" s="943"/>
      <c r="T259" s="929"/>
      <c r="U259" s="929"/>
    </row>
    <row r="260" spans="1:21" s="101" customFormat="1" ht="10.5" customHeight="1">
      <c r="A260" s="137"/>
      <c r="B260" s="423" t="s">
        <v>2417</v>
      </c>
      <c r="C260" s="40" t="s">
        <v>3995</v>
      </c>
      <c r="D260" s="61"/>
      <c r="E260" s="61"/>
      <c r="F260" s="44"/>
      <c r="G260" s="27"/>
      <c r="K260" s="439"/>
      <c r="M260" s="7">
        <v>1</v>
      </c>
      <c r="N260" s="779" t="s">
        <v>2417</v>
      </c>
      <c r="O260" s="2668" t="s">
        <v>6858</v>
      </c>
      <c r="P260" s="2955"/>
      <c r="R260" s="380"/>
      <c r="T260" s="929"/>
      <c r="U260" s="929"/>
    </row>
    <row r="261" spans="1:21" s="43" customFormat="1" ht="11.25" customHeight="1">
      <c r="A261" s="137" t="s">
        <v>1896</v>
      </c>
      <c r="B261" s="163" t="s">
        <v>4156</v>
      </c>
      <c r="D261" s="57"/>
      <c r="K261" s="52"/>
      <c r="L261" s="367" t="str">
        <f>IF(OR($O261=$M261,$O261=0,$O261=""),"","* * Check Score! * *")</f>
        <v/>
      </c>
      <c r="M261" s="7">
        <v>1</v>
      </c>
      <c r="N261" s="439" t="s">
        <v>1896</v>
      </c>
      <c r="O261" s="977">
        <f>IF(O262="Yes",$M$261,0)</f>
        <v>0</v>
      </c>
      <c r="P261" s="977">
        <f>IF(P262="Yes",$M$261,0)</f>
        <v>0</v>
      </c>
      <c r="Q261" s="895" t="str">
        <f>IF(OR($O261=$M261,$O261=0,$O261=""),"","*CHECK!*")</f>
        <v/>
      </c>
      <c r="R261" s="943"/>
      <c r="T261" s="929"/>
      <c r="U261" s="929"/>
    </row>
    <row r="262" spans="1:21" s="43" customFormat="1" ht="21.75" customHeight="1">
      <c r="A262" s="152"/>
      <c r="B262" s="4014" t="s">
        <v>4157</v>
      </c>
      <c r="C262" s="4014"/>
      <c r="D262" s="4014"/>
      <c r="E262" s="4014"/>
      <c r="F262" s="4014"/>
      <c r="G262" s="4014"/>
      <c r="H262" s="4014"/>
      <c r="I262" s="4014"/>
      <c r="J262" s="4014"/>
      <c r="K262" s="4014"/>
      <c r="L262" s="4014"/>
      <c r="M262" s="7"/>
      <c r="N262" s="439"/>
      <c r="O262" s="2660" t="s">
        <v>2773</v>
      </c>
      <c r="P262" s="3012"/>
      <c r="Q262" s="380"/>
      <c r="R262" s="367"/>
      <c r="T262" s="929"/>
      <c r="U262" s="929"/>
    </row>
    <row r="263" spans="1:21" s="43" customFormat="1" ht="11.25" customHeight="1">
      <c r="A263" s="137" t="s">
        <v>719</v>
      </c>
      <c r="B263" s="163" t="s">
        <v>3996</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71" t="s">
        <v>6502</v>
      </c>
      <c r="C264" s="3971"/>
      <c r="D264" s="3971"/>
      <c r="E264" s="3971"/>
      <c r="F264" s="3971"/>
      <c r="G264" s="3971"/>
      <c r="H264" s="3971"/>
      <c r="I264" s="3971"/>
      <c r="J264" s="3971"/>
      <c r="K264" s="3971"/>
      <c r="L264" s="3971"/>
      <c r="M264" s="7"/>
      <c r="N264" s="439"/>
      <c r="O264" s="2666" t="s">
        <v>2770</v>
      </c>
      <c r="P264" s="2963"/>
      <c r="Q264" s="380"/>
      <c r="R264" s="367"/>
      <c r="T264" s="929"/>
      <c r="U264" s="929"/>
    </row>
    <row r="265" spans="1:21" s="43" customFormat="1" ht="22.5" customHeight="1">
      <c r="B265" s="3971" t="s">
        <v>6503</v>
      </c>
      <c r="C265" s="3971"/>
      <c r="D265" s="3971"/>
      <c r="E265" s="3971"/>
      <c r="F265" s="3971"/>
      <c r="G265" s="3971"/>
      <c r="H265" s="3971"/>
      <c r="I265" s="3971"/>
      <c r="J265" s="3971"/>
      <c r="K265" s="3971"/>
      <c r="L265" s="3971"/>
      <c r="M265" s="7"/>
      <c r="N265" s="7"/>
      <c r="O265" s="7"/>
      <c r="P265" s="7"/>
      <c r="Q265" s="380"/>
      <c r="R265" s="367"/>
      <c r="T265" s="929"/>
      <c r="U265" s="929"/>
    </row>
    <row r="266" spans="1:21" s="43" customFormat="1" ht="10.5" customHeight="1">
      <c r="A266" s="42"/>
      <c r="B266" s="85" t="s">
        <v>1781</v>
      </c>
      <c r="C266" s="97"/>
      <c r="D266" s="85"/>
      <c r="E266" s="98"/>
      <c r="F266" s="2654"/>
      <c r="G266" s="2654"/>
      <c r="H266" s="2654"/>
      <c r="I266" s="2654"/>
      <c r="J266" s="2654"/>
      <c r="K266" s="2654"/>
      <c r="L266" s="2654"/>
      <c r="M266" s="2654"/>
      <c r="N266" s="74"/>
      <c r="O266" s="70"/>
      <c r="P266" s="2651"/>
      <c r="Q266" s="414"/>
    </row>
    <row r="267" spans="1:21" s="43" customFormat="1" ht="11.25" customHeight="1">
      <c r="A267" s="4008"/>
      <c r="B267" s="4009"/>
      <c r="C267" s="4009"/>
      <c r="D267" s="4009"/>
      <c r="E267" s="4009"/>
      <c r="F267" s="4009"/>
      <c r="G267" s="4009"/>
      <c r="H267" s="4009"/>
      <c r="I267" s="4009"/>
      <c r="J267" s="4009"/>
      <c r="K267" s="4009"/>
      <c r="L267" s="4009"/>
      <c r="M267" s="4009"/>
      <c r="N267" s="4009"/>
      <c r="O267" s="4009"/>
      <c r="P267" s="4010"/>
      <c r="Q267" s="427"/>
    </row>
    <row r="268" spans="1:21" s="43" customFormat="1" ht="1.5" customHeight="1" thickBot="1">
      <c r="A268" s="42"/>
      <c r="B268" s="42"/>
      <c r="C268" s="2654"/>
      <c r="D268" s="2654"/>
      <c r="E268" s="2654"/>
      <c r="F268" s="2654"/>
      <c r="G268" s="2654"/>
      <c r="H268" s="2654"/>
      <c r="I268" s="2654"/>
      <c r="J268" s="2654"/>
      <c r="K268" s="2654"/>
      <c r="L268" s="2654"/>
      <c r="M268" s="2654"/>
      <c r="N268" s="74"/>
      <c r="O268" s="70"/>
      <c r="P268" s="777"/>
    </row>
    <row r="269" spans="1:21" s="43" customFormat="1" ht="12" customHeight="1" thickBot="1">
      <c r="A269" s="151" t="s">
        <v>3522</v>
      </c>
      <c r="B269" s="105" t="s">
        <v>3491</v>
      </c>
      <c r="C269" s="87"/>
      <c r="D269" s="58"/>
      <c r="E269" s="52"/>
      <c r="G269" s="55"/>
      <c r="I269" s="1706" t="s">
        <v>6545</v>
      </c>
      <c r="J269" s="1623" t="str">
        <f>IF(OR($M$32="9% Credit Competitive Round only", $M$32="9% Credit &amp; HOME"),"9%",IF(OR($M$32="4% Credit/TE Bond", $M$32="4% Credit/TE Bond &amp; HOME", $M$32="4% Credit/TE Bond &amp; HOME NOFA", $M$32="4% Credit &amp; NHTF", $M$32="4% Credit &amp; NHTF &amp; HOME"),"4%",""))</f>
        <v>9%</v>
      </c>
      <c r="K269" s="101"/>
      <c r="L269" s="101"/>
      <c r="M269" s="2651">
        <v>2</v>
      </c>
      <c r="N269" s="6"/>
      <c r="O269" s="6"/>
      <c r="P269" s="974">
        <f>P271+P277</f>
        <v>0</v>
      </c>
      <c r="Q269" s="108" t="s">
        <v>422</v>
      </c>
    </row>
    <row r="270" spans="1:21" s="43" customFormat="1" ht="13.5" customHeight="1">
      <c r="A270" s="151"/>
      <c r="B270" s="52" t="s">
        <v>6504</v>
      </c>
      <c r="C270" s="2654"/>
      <c r="D270" s="2654"/>
      <c r="E270" s="2654"/>
      <c r="F270" s="2654"/>
      <c r="G270" s="2654"/>
      <c r="H270" s="2654"/>
      <c r="I270" s="2654"/>
      <c r="J270" s="2654"/>
      <c r="K270" s="2654"/>
      <c r="L270" s="1276"/>
      <c r="M270" s="777"/>
      <c r="N270" s="74"/>
      <c r="O270" s="2493" t="s">
        <v>2773</v>
      </c>
      <c r="P270" s="3009"/>
      <c r="Q270" s="108"/>
      <c r="T270" s="929"/>
      <c r="U270" s="929"/>
    </row>
    <row r="271" spans="1:21" s="43" customFormat="1" ht="12" customHeight="1">
      <c r="A271" s="137" t="s">
        <v>1894</v>
      </c>
      <c r="B271" s="163" t="s">
        <v>3492</v>
      </c>
      <c r="C271" s="87"/>
      <c r="D271" s="58"/>
      <c r="E271" s="52"/>
      <c r="G271" s="1509" t="str">
        <f>'Part VIII-Threshold Criteria'!I380</f>
        <v>National Affordable Housing Preservation Associates, Inc.</v>
      </c>
      <c r="I271" s="40" t="s">
        <v>4288</v>
      </c>
      <c r="K271" s="1676" t="str">
        <f>'Part I-Project Information'!H100</f>
        <v>Yes</v>
      </c>
      <c r="M271" s="72">
        <v>2</v>
      </c>
      <c r="N271" s="439" t="s">
        <v>1894</v>
      </c>
      <c r="P271" s="3013"/>
      <c r="Q271" s="108"/>
      <c r="R271" s="943" t="s">
        <v>2555</v>
      </c>
    </row>
    <row r="272" spans="1:21" s="101" customFormat="1" ht="10.5" customHeight="1">
      <c r="A272" s="137"/>
      <c r="B272" s="365" t="s">
        <v>1897</v>
      </c>
      <c r="C272" s="36" t="s">
        <v>4020</v>
      </c>
      <c r="D272" s="33"/>
      <c r="N272" s="421" t="s">
        <v>4021</v>
      </c>
      <c r="O272" s="2492" t="s">
        <v>2773</v>
      </c>
      <c r="P272" s="2953"/>
      <c r="R272" s="367"/>
    </row>
    <row r="273" spans="1:19" s="101" customFormat="1" ht="10.5" customHeight="1">
      <c r="A273" s="137"/>
      <c r="B273" s="365"/>
      <c r="C273" s="36" t="s">
        <v>6505</v>
      </c>
      <c r="D273" s="33"/>
      <c r="N273" s="421" t="s">
        <v>4022</v>
      </c>
      <c r="O273" s="2670"/>
      <c r="P273" s="2954"/>
      <c r="R273" s="367"/>
    </row>
    <row r="274" spans="1:19" s="101" customFormat="1" ht="10.5" customHeight="1">
      <c r="A274" s="137"/>
      <c r="B274" s="365" t="s">
        <v>1899</v>
      </c>
      <c r="C274" s="36" t="s">
        <v>3498</v>
      </c>
      <c r="D274" s="33"/>
      <c r="N274" s="779" t="s">
        <v>1899</v>
      </c>
      <c r="O274" s="2670"/>
      <c r="P274" s="2954"/>
      <c r="R274" s="367"/>
    </row>
    <row r="275" spans="1:19" s="101" customFormat="1" ht="10.5" customHeight="1">
      <c r="A275" s="137"/>
      <c r="B275" s="365" t="s">
        <v>2417</v>
      </c>
      <c r="C275" s="36" t="s">
        <v>4023</v>
      </c>
      <c r="D275" s="33"/>
      <c r="N275" s="779" t="s">
        <v>2417</v>
      </c>
      <c r="O275" s="2670"/>
      <c r="P275" s="2954"/>
      <c r="R275" s="367"/>
    </row>
    <row r="276" spans="1:19" s="101" customFormat="1" ht="10.5" customHeight="1">
      <c r="B276" s="365" t="s">
        <v>1178</v>
      </c>
      <c r="C276" s="36" t="s">
        <v>3499</v>
      </c>
      <c r="D276" s="33"/>
      <c r="N276" s="779" t="s">
        <v>1178</v>
      </c>
      <c r="O276" s="2668"/>
      <c r="P276" s="2954"/>
      <c r="R276" s="367"/>
    </row>
    <row r="277" spans="1:19" s="43" customFormat="1" ht="12" customHeight="1">
      <c r="A277" s="137" t="s">
        <v>1896</v>
      </c>
      <c r="B277" s="163" t="s">
        <v>3493</v>
      </c>
      <c r="C277" s="87"/>
      <c r="D277" s="58"/>
      <c r="E277" s="52"/>
      <c r="G277" s="1509">
        <f>'Part I-Project Information'!D171</f>
        <v>0</v>
      </c>
      <c r="I277" s="459"/>
      <c r="L277" s="989"/>
      <c r="M277" s="72">
        <v>2</v>
      </c>
      <c r="N277" s="439" t="s">
        <v>1896</v>
      </c>
      <c r="P277" s="3013"/>
      <c r="Q277" s="108"/>
      <c r="R277" s="943" t="s">
        <v>2555</v>
      </c>
    </row>
    <row r="278" spans="1:19" s="101" customFormat="1" ht="10.5" customHeight="1">
      <c r="A278" s="152"/>
      <c r="B278" s="365" t="s">
        <v>1897</v>
      </c>
      <c r="C278" s="36" t="s">
        <v>4020</v>
      </c>
      <c r="D278" s="52"/>
      <c r="E278" s="52"/>
      <c r="M278" s="2651"/>
      <c r="N278" s="421" t="s">
        <v>4021</v>
      </c>
      <c r="O278" s="2492"/>
      <c r="P278" s="2953"/>
      <c r="Q278" s="108"/>
    </row>
    <row r="279" spans="1:19" s="101" customFormat="1" ht="10.5" customHeight="1">
      <c r="A279" s="137"/>
      <c r="B279" s="365"/>
      <c r="C279" s="36" t="s">
        <v>6506</v>
      </c>
      <c r="D279" s="33"/>
      <c r="N279" s="421" t="s">
        <v>4022</v>
      </c>
      <c r="O279" s="2670"/>
      <c r="P279" s="2954"/>
      <c r="R279" s="367"/>
    </row>
    <row r="280" spans="1:19" s="101" customFormat="1" ht="10.5" customHeight="1">
      <c r="A280" s="137"/>
      <c r="B280" s="365" t="s">
        <v>1899</v>
      </c>
      <c r="C280" s="36" t="s">
        <v>3510</v>
      </c>
      <c r="D280" s="33"/>
      <c r="N280" s="779" t="s">
        <v>1899</v>
      </c>
      <c r="O280" s="2670"/>
      <c r="P280" s="2954"/>
      <c r="R280" s="367"/>
    </row>
    <row r="281" spans="1:19" s="101" customFormat="1" ht="10.5" customHeight="1">
      <c r="B281" s="365" t="s">
        <v>2417</v>
      </c>
      <c r="C281" s="36" t="s">
        <v>3499</v>
      </c>
      <c r="D281" s="33"/>
      <c r="N281" s="779" t="s">
        <v>2417</v>
      </c>
      <c r="O281" s="2668"/>
      <c r="P281" s="2955"/>
      <c r="R281" s="367"/>
    </row>
    <row r="282" spans="1:19" s="43" customFormat="1" ht="10.5" customHeight="1">
      <c r="B282" s="85" t="s">
        <v>1781</v>
      </c>
      <c r="C282" s="97"/>
      <c r="D282" s="85"/>
      <c r="E282" s="98"/>
      <c r="F282" s="2654"/>
      <c r="G282" s="2654"/>
      <c r="H282" s="2654"/>
      <c r="I282" s="2654"/>
      <c r="J282" s="2654"/>
      <c r="K282" s="2654"/>
      <c r="L282" s="2654"/>
      <c r="M282" s="2654"/>
      <c r="N282" s="74"/>
      <c r="O282" s="70"/>
      <c r="P282" s="2651"/>
      <c r="Q282" s="414"/>
    </row>
    <row r="283" spans="1:19" s="43" customFormat="1" ht="11.25" customHeight="1">
      <c r="A283" s="4008"/>
      <c r="B283" s="4009"/>
      <c r="C283" s="4009"/>
      <c r="D283" s="4009"/>
      <c r="E283" s="4009"/>
      <c r="F283" s="4009"/>
      <c r="G283" s="4009"/>
      <c r="H283" s="4009"/>
      <c r="I283" s="4009"/>
      <c r="J283" s="4009"/>
      <c r="K283" s="4009"/>
      <c r="L283" s="4009"/>
      <c r="M283" s="4009"/>
      <c r="N283" s="4009"/>
      <c r="O283" s="4009"/>
      <c r="P283" s="4010"/>
      <c r="Q283" s="427"/>
    </row>
    <row r="284" spans="1:19" ht="2.25" customHeight="1"/>
    <row r="285" spans="1:19" s="43" customFormat="1" ht="2.25" customHeight="1" thickBot="1">
      <c r="A285" s="42"/>
      <c r="C285" s="2654"/>
      <c r="D285" s="2654"/>
      <c r="E285" s="2654"/>
      <c r="F285" s="2654"/>
      <c r="G285" s="2654"/>
      <c r="H285" s="2654"/>
      <c r="I285" s="2654"/>
      <c r="J285" s="2654"/>
      <c r="K285" s="2654"/>
      <c r="L285" s="2654"/>
      <c r="M285" s="2654"/>
      <c r="N285" s="74"/>
      <c r="O285" s="70"/>
      <c r="P285" s="777"/>
    </row>
    <row r="286" spans="1:19" s="43" customFormat="1" ht="13.5" customHeight="1" thickBot="1">
      <c r="A286" s="151" t="s">
        <v>3523</v>
      </c>
      <c r="B286" s="104" t="s">
        <v>1597</v>
      </c>
      <c r="D286" s="88"/>
      <c r="E286" s="88"/>
      <c r="G286" s="52"/>
      <c r="M286" s="777">
        <v>2</v>
      </c>
      <c r="N286" s="386"/>
      <c r="O286" s="2606"/>
      <c r="P286" s="965"/>
      <c r="Q286" s="108" t="s">
        <v>422</v>
      </c>
      <c r="R286" s="1725" t="s">
        <v>4267</v>
      </c>
      <c r="S286" s="1725"/>
    </row>
    <row r="287" spans="1:19" s="43" customFormat="1" ht="11.25" customHeight="1">
      <c r="A287" s="137"/>
      <c r="B287" s="112" t="s">
        <v>3276</v>
      </c>
      <c r="D287" s="88"/>
      <c r="E287" s="88"/>
      <c r="G287" s="52"/>
      <c r="I287" s="3832" t="s">
        <v>6272</v>
      </c>
      <c r="J287" s="3833"/>
      <c r="K287" s="3833"/>
      <c r="L287" s="3834"/>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3374</v>
      </c>
      <c r="C289" s="42"/>
      <c r="D289" s="48"/>
      <c r="E289" s="48"/>
      <c r="F289" s="48"/>
      <c r="G289" s="48"/>
      <c r="H289" s="36"/>
      <c r="I289" s="36"/>
      <c r="J289" s="36"/>
      <c r="K289" s="36"/>
      <c r="M289" s="46"/>
      <c r="N289" s="6"/>
      <c r="O289" s="3"/>
      <c r="P289" s="2651"/>
    </row>
    <row r="290" spans="1:20" s="43" customFormat="1" ht="10.9" customHeight="1" thickTop="1" thickBot="1">
      <c r="A290" s="4177" t="s">
        <v>6934</v>
      </c>
      <c r="B290" s="4178"/>
      <c r="C290" s="4178"/>
      <c r="D290" s="4178"/>
      <c r="E290" s="4178"/>
      <c r="F290" s="4178"/>
      <c r="G290" s="4178"/>
      <c r="H290" s="4178"/>
      <c r="I290" s="4178"/>
      <c r="J290" s="4178"/>
      <c r="K290" s="4178"/>
      <c r="L290" s="4178"/>
      <c r="M290" s="4178"/>
      <c r="N290" s="4178"/>
      <c r="O290" s="4178"/>
      <c r="P290" s="4179"/>
      <c r="Q290" s="933" t="s">
        <v>1208</v>
      </c>
    </row>
    <row r="291" spans="1:20" s="101" customFormat="1" ht="10.5" customHeight="1" thickTop="1">
      <c r="A291" s="42"/>
      <c r="B291" s="96" t="s">
        <v>1781</v>
      </c>
      <c r="C291" s="42"/>
      <c r="D291" s="96"/>
      <c r="E291" s="2658"/>
      <c r="F291" s="2658"/>
      <c r="G291" s="2658"/>
      <c r="H291" s="2658"/>
      <c r="I291" s="2658"/>
      <c r="J291" s="2658"/>
      <c r="K291" s="2658"/>
      <c r="L291" s="2658"/>
      <c r="M291" s="2658"/>
      <c r="N291" s="92"/>
      <c r="O291" s="767"/>
      <c r="P291" s="2651"/>
      <c r="Q291" s="414"/>
    </row>
    <row r="292" spans="1:20" s="43" customFormat="1" ht="11.25" customHeight="1">
      <c r="A292" s="4008"/>
      <c r="B292" s="4009"/>
      <c r="C292" s="4009"/>
      <c r="D292" s="4009"/>
      <c r="E292" s="4009"/>
      <c r="F292" s="4009"/>
      <c r="G292" s="4009"/>
      <c r="H292" s="4009"/>
      <c r="I292" s="4009"/>
      <c r="J292" s="4009"/>
      <c r="K292" s="4009"/>
      <c r="L292" s="4009"/>
      <c r="M292" s="4009"/>
      <c r="N292" s="4009"/>
      <c r="O292" s="4009"/>
      <c r="P292" s="4010"/>
      <c r="Q292" s="427"/>
    </row>
    <row r="293" spans="1:20" ht="3" customHeight="1" thickBot="1"/>
    <row r="294" spans="1:20" s="43" customFormat="1" ht="13.5" customHeight="1" thickBot="1">
      <c r="A294" s="151" t="s">
        <v>3521</v>
      </c>
      <c r="B294" s="104" t="s">
        <v>3495</v>
      </c>
      <c r="D294" s="88"/>
      <c r="E294" s="88"/>
      <c r="F294" s="52"/>
      <c r="G294" s="52"/>
      <c r="H294" s="52"/>
      <c r="M294" s="3">
        <v>4</v>
      </c>
      <c r="N294" s="6"/>
      <c r="O294" s="975">
        <f>O301+O321</f>
        <v>0</v>
      </c>
      <c r="P294" s="975">
        <f>P301+P321</f>
        <v>0</v>
      </c>
      <c r="Q294" s="108" t="s">
        <v>422</v>
      </c>
    </row>
    <row r="295" spans="1:20" s="43" customFormat="1" ht="10.5" customHeight="1">
      <c r="A295" s="42"/>
      <c r="B295" s="112" t="s">
        <v>3998</v>
      </c>
      <c r="E295" s="88"/>
      <c r="F295" s="52"/>
      <c r="G295" s="52"/>
      <c r="H295" s="52"/>
      <c r="I295" s="52"/>
      <c r="J295" s="54"/>
      <c r="K295" s="60"/>
      <c r="L295" s="56"/>
      <c r="O295" s="485" t="s">
        <v>2393</v>
      </c>
      <c r="P295" s="485" t="s">
        <v>2393</v>
      </c>
    </row>
    <row r="296" spans="1:20" s="99" customFormat="1" ht="12.75" customHeight="1">
      <c r="B296" s="366" t="s">
        <v>2325</v>
      </c>
      <c r="C296" s="133" t="s">
        <v>2628</v>
      </c>
      <c r="E296" s="88"/>
      <c r="F296" s="52"/>
      <c r="G296" s="52"/>
      <c r="H296" s="52"/>
      <c r="I296" s="52"/>
      <c r="J296" s="54"/>
      <c r="K296" s="60"/>
      <c r="L296" s="4343" t="str">
        <f>IF(OR(O296="No",O296="",O297="No",O297="",O298="No",O298="",O299="No",O299=""),"Unmet criterion results in no points!","")</f>
        <v>Unmet criterion results in no points!</v>
      </c>
      <c r="M296" s="4343"/>
      <c r="N296" s="366" t="s">
        <v>2325</v>
      </c>
      <c r="O296" s="2492"/>
      <c r="P296" s="2953"/>
      <c r="R296" s="4339" t="str">
        <f>IF(OR(P296="No",P296="",P297="No",P297="",P298="No",P298="",P299="No",P299=""),"Unmet criterion results in no points!","")</f>
        <v>Unmet criterion results in no points!</v>
      </c>
      <c r="S296" s="4339" t="e">
        <f>IF(OR(V296="No",V296="",V297="No",V297="",V298="No",V298="",V299="No",V299="",#REF!="No",#REF!="",#REF!="No",#REF!=""),"Unmet criterion results in no points!","")</f>
        <v>#REF!</v>
      </c>
    </row>
    <row r="297" spans="1:20" s="99" customFormat="1" ht="12.75" customHeight="1">
      <c r="B297" s="366" t="s">
        <v>2326</v>
      </c>
      <c r="C297" s="133" t="s">
        <v>3411</v>
      </c>
      <c r="L297" s="4343"/>
      <c r="M297" s="4343"/>
      <c r="N297" s="366" t="s">
        <v>2326</v>
      </c>
      <c r="O297" s="2670"/>
      <c r="P297" s="2954"/>
      <c r="R297" s="4339"/>
      <c r="S297" s="4339"/>
    </row>
    <row r="298" spans="1:20" s="99" customFormat="1" ht="12.75" customHeight="1">
      <c r="B298" s="366" t="s">
        <v>2327</v>
      </c>
      <c r="C298" s="133" t="s">
        <v>3410</v>
      </c>
      <c r="L298" s="4343"/>
      <c r="M298" s="4343"/>
      <c r="N298" s="366" t="s">
        <v>2327</v>
      </c>
      <c r="O298" s="2670"/>
      <c r="P298" s="2954"/>
      <c r="R298" s="4339"/>
      <c r="S298" s="4339"/>
    </row>
    <row r="299" spans="1:20" s="99" customFormat="1" ht="33.75" customHeight="1">
      <c r="B299" s="379" t="s">
        <v>2328</v>
      </c>
      <c r="C299" s="4344" t="s">
        <v>3997</v>
      </c>
      <c r="D299" s="4344"/>
      <c r="E299" s="4344"/>
      <c r="F299" s="4344"/>
      <c r="G299" s="4344"/>
      <c r="H299" s="4344"/>
      <c r="I299" s="4344"/>
      <c r="J299" s="4344"/>
      <c r="K299" s="4344"/>
      <c r="L299" s="4344"/>
      <c r="M299" s="4344"/>
      <c r="N299" s="379" t="s">
        <v>2328</v>
      </c>
      <c r="O299" s="2666"/>
      <c r="P299" s="2963"/>
    </row>
    <row r="300" spans="1:20" ht="3" customHeight="1">
      <c r="C300" s="4344"/>
      <c r="D300" s="4344"/>
      <c r="E300" s="4344"/>
      <c r="F300" s="4344"/>
      <c r="G300" s="4344"/>
      <c r="H300" s="4344"/>
      <c r="I300" s="4344"/>
      <c r="J300" s="4344"/>
      <c r="K300" s="4344"/>
      <c r="L300" s="4344"/>
      <c r="M300" s="4344"/>
    </row>
    <row r="301" spans="1:20" ht="12.75" customHeight="1">
      <c r="A301" s="911" t="s">
        <v>1894</v>
      </c>
      <c r="B301" s="175" t="s">
        <v>3496</v>
      </c>
      <c r="L301" s="367" t="str">
        <f>IF(O301&lt;=M301,"","* * Check Score! * *")</f>
        <v/>
      </c>
      <c r="M301" s="968">
        <v>3</v>
      </c>
      <c r="N301" s="439" t="s">
        <v>1894</v>
      </c>
      <c r="O301" s="2574"/>
      <c r="P301" s="3008"/>
      <c r="Q301" s="895" t="str">
        <f>IF(O301&lt;=M301,"","*CHECK!*")</f>
        <v/>
      </c>
      <c r="R301" s="4338" t="s">
        <v>4267</v>
      </c>
      <c r="S301" s="4338"/>
      <c r="T301" s="1498"/>
    </row>
    <row r="302" spans="1:20" ht="12.75" customHeight="1">
      <c r="A302" s="911"/>
      <c r="B302" s="533" t="s">
        <v>1897</v>
      </c>
      <c r="C302" s="898" t="s">
        <v>4000</v>
      </c>
      <c r="D302" s="898"/>
      <c r="E302" s="898"/>
      <c r="F302" s="898"/>
      <c r="G302" s="898"/>
      <c r="H302" s="898"/>
      <c r="I302" s="898"/>
      <c r="N302" s="27"/>
      <c r="O302" s="27"/>
      <c r="P302" s="27"/>
      <c r="R302" s="4338"/>
      <c r="S302" s="4338"/>
      <c r="T302" s="1498"/>
    </row>
    <row r="303" spans="1:20" ht="12.75" customHeight="1">
      <c r="A303" s="911"/>
      <c r="B303" s="423"/>
      <c r="C303" s="898" t="s">
        <v>3999</v>
      </c>
      <c r="D303" s="898"/>
      <c r="E303" s="898"/>
      <c r="F303" s="898"/>
      <c r="G303" s="898"/>
      <c r="H303" s="898"/>
      <c r="I303" s="898"/>
      <c r="J303" s="4195" t="s">
        <v>1901</v>
      </c>
      <c r="K303" s="4195"/>
      <c r="M303" s="4195" t="s">
        <v>1901</v>
      </c>
      <c r="N303" s="4195"/>
      <c r="O303" s="4195"/>
      <c r="P303" s="4195"/>
      <c r="R303" s="4338"/>
      <c r="S303" s="4338"/>
      <c r="T303" s="1498"/>
    </row>
    <row r="304" spans="1:20" s="43" customFormat="1" ht="12.75" customHeight="1">
      <c r="A304" s="173"/>
      <c r="B304" s="366" t="s">
        <v>2325</v>
      </c>
      <c r="C304" s="36" t="s">
        <v>1423</v>
      </c>
      <c r="I304" s="366" t="s">
        <v>2325</v>
      </c>
      <c r="J304" s="4205"/>
      <c r="K304" s="4206"/>
      <c r="L304" s="366" t="s">
        <v>2325</v>
      </c>
      <c r="M304" s="4258"/>
      <c r="N304" s="4259"/>
      <c r="O304" s="4259"/>
      <c r="P304" s="4260"/>
      <c r="R304" s="367"/>
    </row>
    <row r="305" spans="1:18" ht="12.75" customHeight="1">
      <c r="A305" s="174"/>
      <c r="B305" s="379" t="s">
        <v>2326</v>
      </c>
      <c r="C305" s="36" t="s">
        <v>3278</v>
      </c>
      <c r="I305" s="379" t="s">
        <v>2326</v>
      </c>
      <c r="J305" s="4189"/>
      <c r="K305" s="4190"/>
      <c r="L305" s="379" t="s">
        <v>2326</v>
      </c>
      <c r="M305" s="4191"/>
      <c r="N305" s="4192"/>
      <c r="O305" s="4192"/>
      <c r="P305" s="4193"/>
      <c r="R305" s="367"/>
    </row>
    <row r="306" spans="1:18" ht="12.75" customHeight="1">
      <c r="B306" s="366" t="s">
        <v>2327</v>
      </c>
      <c r="C306" s="36" t="s">
        <v>4158</v>
      </c>
      <c r="I306" s="366" t="s">
        <v>2327</v>
      </c>
      <c r="J306" s="4189"/>
      <c r="K306" s="4190"/>
      <c r="L306" s="366" t="s">
        <v>2327</v>
      </c>
      <c r="M306" s="4191"/>
      <c r="N306" s="4192"/>
      <c r="O306" s="4192"/>
      <c r="P306" s="4193"/>
      <c r="R306" s="367"/>
    </row>
    <row r="307" spans="1:18" ht="12.75" customHeight="1">
      <c r="A307" s="174"/>
      <c r="B307" s="366" t="s">
        <v>2328</v>
      </c>
      <c r="C307" s="36" t="s">
        <v>3193</v>
      </c>
      <c r="I307" s="366" t="s">
        <v>2328</v>
      </c>
      <c r="J307" s="4189"/>
      <c r="K307" s="4190"/>
      <c r="L307" s="366" t="s">
        <v>2328</v>
      </c>
      <c r="M307" s="4191"/>
      <c r="N307" s="4192"/>
      <c r="O307" s="4192"/>
      <c r="P307" s="4193"/>
      <c r="R307" s="367"/>
    </row>
    <row r="308" spans="1:18" s="43" customFormat="1" ht="12.75" customHeight="1">
      <c r="A308" s="173"/>
      <c r="B308" s="379" t="s">
        <v>2329</v>
      </c>
      <c r="C308" s="36" t="s">
        <v>2572</v>
      </c>
      <c r="I308" s="379" t="s">
        <v>2329</v>
      </c>
      <c r="J308" s="4189"/>
      <c r="K308" s="4190"/>
      <c r="L308" s="379" t="s">
        <v>2329</v>
      </c>
      <c r="M308" s="4191"/>
      <c r="N308" s="4192"/>
      <c r="O308" s="4192"/>
      <c r="P308" s="4193"/>
      <c r="R308" s="367"/>
    </row>
    <row r="309" spans="1:18" ht="12.75" customHeight="1">
      <c r="B309" s="366" t="s">
        <v>2345</v>
      </c>
      <c r="C309" s="36" t="s">
        <v>1422</v>
      </c>
      <c r="I309" s="366" t="s">
        <v>2345</v>
      </c>
      <c r="J309" s="4189"/>
      <c r="K309" s="4190"/>
      <c r="L309" s="366" t="s">
        <v>2345</v>
      </c>
      <c r="M309" s="4191"/>
      <c r="N309" s="4192"/>
      <c r="O309" s="4192"/>
      <c r="P309" s="4193"/>
      <c r="R309" s="367"/>
    </row>
    <row r="310" spans="1:18" ht="12.75" customHeight="1">
      <c r="B310" s="366" t="s">
        <v>2346</v>
      </c>
      <c r="C310" s="36" t="s">
        <v>6507</v>
      </c>
      <c r="I310" s="366" t="s">
        <v>2346</v>
      </c>
      <c r="J310" s="4189"/>
      <c r="K310" s="4190"/>
      <c r="L310" s="366" t="s">
        <v>2346</v>
      </c>
      <c r="M310" s="3014"/>
      <c r="N310" s="3015"/>
      <c r="O310" s="3015"/>
      <c r="P310" s="3016"/>
      <c r="R310" s="367"/>
    </row>
    <row r="311" spans="1:18" ht="12.75" customHeight="1">
      <c r="A311" s="174"/>
      <c r="B311" s="378" t="s">
        <v>2347</v>
      </c>
      <c r="C311" s="36" t="s">
        <v>3277</v>
      </c>
      <c r="I311" s="378" t="s">
        <v>2347</v>
      </c>
      <c r="J311" s="4189"/>
      <c r="K311" s="4190"/>
      <c r="L311" s="378" t="s">
        <v>2347</v>
      </c>
      <c r="M311" s="4191"/>
      <c r="N311" s="4192"/>
      <c r="O311" s="4192"/>
      <c r="P311" s="4193"/>
      <c r="R311" s="367"/>
    </row>
    <row r="312" spans="1:18" ht="12.75" customHeight="1">
      <c r="B312" s="378" t="s">
        <v>2348</v>
      </c>
      <c r="C312" s="36" t="s">
        <v>4001</v>
      </c>
      <c r="I312" s="378" t="s">
        <v>2348</v>
      </c>
      <c r="J312" s="4189"/>
      <c r="K312" s="4190"/>
      <c r="L312" s="378" t="s">
        <v>2348</v>
      </c>
      <c r="M312" s="4191"/>
      <c r="N312" s="4192"/>
      <c r="O312" s="4192"/>
      <c r="P312" s="4193"/>
      <c r="R312" s="367"/>
    </row>
    <row r="313" spans="1:18" ht="12.75" customHeight="1">
      <c r="B313" s="378" t="s">
        <v>3279</v>
      </c>
      <c r="C313" s="36" t="s">
        <v>4002</v>
      </c>
      <c r="I313" s="378" t="s">
        <v>3279</v>
      </c>
      <c r="J313" s="4189"/>
      <c r="K313" s="4190"/>
      <c r="L313" s="378" t="s">
        <v>3279</v>
      </c>
      <c r="M313" s="4191"/>
      <c r="N313" s="4192"/>
      <c r="O313" s="4192"/>
      <c r="P313" s="4193"/>
      <c r="R313" s="367"/>
    </row>
    <row r="314" spans="1:18" ht="12.75" customHeight="1" thickBot="1">
      <c r="B314" s="378" t="s">
        <v>6508</v>
      </c>
      <c r="C314" s="36" t="s">
        <v>6509</v>
      </c>
      <c r="I314" s="378" t="s">
        <v>6508</v>
      </c>
      <c r="J314" s="4189"/>
      <c r="K314" s="4190"/>
      <c r="L314" s="378" t="s">
        <v>6508</v>
      </c>
      <c r="M314" s="4182"/>
      <c r="N314" s="4183"/>
      <c r="O314" s="4183"/>
      <c r="P314" s="4184"/>
      <c r="R314" s="367"/>
    </row>
    <row r="315" spans="1:18" ht="12.75" customHeight="1" thickBot="1">
      <c r="B315" s="988" t="s">
        <v>4003</v>
      </c>
      <c r="H315" s="1006" t="s">
        <v>2502</v>
      </c>
      <c r="J315" s="4199">
        <f>SUM(J304:K314)</f>
        <v>0</v>
      </c>
      <c r="K315" s="4200"/>
      <c r="M315" s="4199">
        <f>SUM($M304:$M314)</f>
        <v>0</v>
      </c>
      <c r="N315" s="4204"/>
      <c r="O315" s="4204"/>
      <c r="P315" s="4200"/>
      <c r="R315" s="367"/>
    </row>
    <row r="316" spans="1:18" ht="6" customHeight="1">
      <c r="M316" s="474"/>
      <c r="N316" s="474"/>
      <c r="O316" s="157"/>
      <c r="P316" s="474"/>
    </row>
    <row r="317" spans="1:18" s="43" customFormat="1" ht="12" customHeight="1">
      <c r="A317" s="42"/>
      <c r="B317" s="1279" t="s">
        <v>1899</v>
      </c>
      <c r="C317" s="484" t="s">
        <v>2501</v>
      </c>
      <c r="D317" s="897"/>
      <c r="E317" s="897"/>
      <c r="F317" s="419" t="s">
        <v>6510</v>
      </c>
      <c r="H317" s="27"/>
      <c r="I317" s="27"/>
      <c r="J317" s="4316">
        <f>'Part VI-Revenues &amp; Expenses'!$P$67</f>
        <v>48</v>
      </c>
      <c r="K317" s="4317"/>
      <c r="L317" s="497"/>
      <c r="M317" s="474"/>
      <c r="N317" s="474"/>
      <c r="O317" s="962"/>
      <c r="P317" s="474"/>
    </row>
    <row r="318" spans="1:18" ht="13.5" customHeight="1">
      <c r="C318" s="897"/>
      <c r="D318" s="897"/>
      <c r="E318" s="897"/>
      <c r="F318" s="422" t="s">
        <v>6511</v>
      </c>
      <c r="J318" s="4215">
        <f>J315/J317</f>
        <v>0</v>
      </c>
      <c r="K318" s="4216"/>
      <c r="M318" s="4209">
        <f>IF($J317=0,0,$M315/$J317)</f>
        <v>0</v>
      </c>
      <c r="N318" s="4210"/>
      <c r="O318" s="4210"/>
      <c r="P318" s="4211"/>
    </row>
    <row r="319" spans="1:18" s="43" customFormat="1" ht="12.75" customHeight="1">
      <c r="C319" s="897"/>
      <c r="D319" s="897"/>
      <c r="E319" s="897"/>
      <c r="F319" s="921" t="s">
        <v>6512</v>
      </c>
      <c r="I319" s="27"/>
      <c r="J319" s="4196">
        <f>IF(L296="", IF($J318&gt;=30000, 3,IF($J318&gt;=20000, 2,IF($J318&gt;=10000,1,0))),0)</f>
        <v>0</v>
      </c>
      <c r="K319" s="4197"/>
      <c r="L319" s="482"/>
      <c r="M319" s="4196">
        <f>IF(R296="", IF($M318&gt;=30000, 3,IF($M318&gt;=20000, 2,IF($M318&gt;=10000,1,0))),0)</f>
        <v>0</v>
      </c>
      <c r="N319" s="4214"/>
      <c r="O319" s="4214"/>
      <c r="P319" s="4197"/>
    </row>
    <row r="320" spans="1:18" ht="9" customHeight="1" thickBot="1"/>
    <row r="321" spans="1:22" s="101" customFormat="1" ht="12.75" customHeight="1" thickBot="1">
      <c r="A321" s="1401" t="s">
        <v>1896</v>
      </c>
      <c r="B321" s="177" t="s">
        <v>3280</v>
      </c>
      <c r="D321" s="39"/>
      <c r="E321" s="36"/>
      <c r="F321" s="777"/>
      <c r="H321" s="36"/>
      <c r="I321" s="777"/>
      <c r="J321" s="783"/>
      <c r="K321" s="783"/>
      <c r="L321" s="367" t="str">
        <f>IF(OR($O321=$M321,$O321=0,$O321=""),"","* * Check Score! * *")</f>
        <v/>
      </c>
      <c r="M321" s="535">
        <v>1</v>
      </c>
      <c r="N321" s="64" t="s">
        <v>1896</v>
      </c>
      <c r="O321" s="2606"/>
      <c r="P321" s="965"/>
      <c r="Q321" s="892" t="s">
        <v>4267</v>
      </c>
      <c r="V321" s="929"/>
    </row>
    <row r="322" spans="1:22" s="43" customFormat="1" ht="22.5" customHeight="1">
      <c r="A322" s="137"/>
      <c r="B322" s="423" t="s">
        <v>1897</v>
      </c>
      <c r="C322" s="3971" t="s">
        <v>3497</v>
      </c>
      <c r="D322" s="3971"/>
      <c r="E322" s="3971"/>
      <c r="F322" s="3971"/>
      <c r="G322" s="3971"/>
      <c r="H322" s="3971"/>
      <c r="I322" s="3971"/>
      <c r="J322" s="3971"/>
      <c r="K322" s="3971"/>
      <c r="L322" s="3971"/>
      <c r="M322" s="3971"/>
      <c r="N322" s="1737" t="s">
        <v>1897</v>
      </c>
      <c r="O322" s="2656"/>
      <c r="P322" s="2973"/>
      <c r="V322" s="929"/>
    </row>
    <row r="323" spans="1:22" s="43" customFormat="1" ht="12.75" customHeight="1">
      <c r="A323" s="137"/>
      <c r="B323" s="365" t="s">
        <v>1899</v>
      </c>
      <c r="C323" s="52" t="s">
        <v>3405</v>
      </c>
      <c r="D323" s="52"/>
      <c r="E323" s="52"/>
      <c r="F323" s="52"/>
      <c r="G323" s="52"/>
      <c r="H323" s="52"/>
      <c r="I323" s="52"/>
      <c r="J323" s="52"/>
      <c r="K323" s="52"/>
      <c r="M323" s="52"/>
      <c r="N323" s="779" t="s">
        <v>1899</v>
      </c>
      <c r="O323" s="2668"/>
      <c r="P323" s="2955"/>
      <c r="V323" s="929"/>
    </row>
    <row r="324" spans="1:22" ht="12.75" customHeight="1">
      <c r="B324" s="365" t="s">
        <v>2417</v>
      </c>
      <c r="C324" s="418" t="s">
        <v>4004</v>
      </c>
      <c r="N324" s="779" t="s">
        <v>2417</v>
      </c>
      <c r="O324" s="2668"/>
      <c r="P324" s="2955"/>
    </row>
    <row r="325" spans="1:22" ht="12" customHeight="1" thickBot="1">
      <c r="B325" s="1007" t="s">
        <v>3374</v>
      </c>
    </row>
    <row r="326" spans="1:22" s="43" customFormat="1" ht="21.75" customHeight="1" thickTop="1" thickBot="1">
      <c r="A326" s="4177" t="s">
        <v>7014</v>
      </c>
      <c r="B326" s="4178"/>
      <c r="C326" s="4178"/>
      <c r="D326" s="4178"/>
      <c r="E326" s="4178"/>
      <c r="F326" s="4178"/>
      <c r="G326" s="4178"/>
      <c r="H326" s="4178"/>
      <c r="I326" s="4178"/>
      <c r="J326" s="4178"/>
      <c r="K326" s="4178"/>
      <c r="L326" s="4178"/>
      <c r="M326" s="4178"/>
      <c r="N326" s="4178"/>
      <c r="O326" s="4178"/>
      <c r="P326" s="4179"/>
      <c r="Q326" s="933" t="s">
        <v>1208</v>
      </c>
    </row>
    <row r="327" spans="1:22" s="101" customFormat="1" ht="11.25" customHeight="1" thickTop="1">
      <c r="A327" s="42"/>
      <c r="B327" s="476" t="s">
        <v>1781</v>
      </c>
      <c r="C327" s="97"/>
      <c r="D327" s="96"/>
      <c r="E327" s="2673"/>
      <c r="F327" s="2658"/>
      <c r="G327" s="2658"/>
      <c r="H327" s="2658"/>
      <c r="I327" s="2658"/>
      <c r="J327" s="2658"/>
      <c r="K327" s="2658"/>
      <c r="L327" s="2658"/>
      <c r="M327" s="2658"/>
      <c r="N327" s="92"/>
      <c r="O327" s="767"/>
      <c r="P327" s="2651"/>
      <c r="Q327" s="414"/>
    </row>
    <row r="328" spans="1:22" s="43" customFormat="1" ht="11.25" customHeight="1">
      <c r="A328" s="4008"/>
      <c r="B328" s="4009"/>
      <c r="C328" s="4009"/>
      <c r="D328" s="4009"/>
      <c r="E328" s="4009"/>
      <c r="F328" s="4009"/>
      <c r="G328" s="4009"/>
      <c r="H328" s="4009"/>
      <c r="I328" s="4009"/>
      <c r="J328" s="4009"/>
      <c r="K328" s="4009"/>
      <c r="L328" s="4009"/>
      <c r="M328" s="4009"/>
      <c r="N328" s="4009"/>
      <c r="O328" s="4009"/>
      <c r="P328" s="4010"/>
      <c r="Q328" s="427"/>
    </row>
    <row r="329" spans="1:22" s="43" customFormat="1" ht="3" customHeight="1" thickBot="1">
      <c r="A329" s="42"/>
      <c r="B329" s="42"/>
      <c r="C329" s="2654"/>
      <c r="D329" s="2654"/>
      <c r="E329" s="2654"/>
      <c r="F329" s="2654"/>
      <c r="G329" s="2654"/>
      <c r="H329" s="2654"/>
      <c r="I329" s="2654"/>
      <c r="J329" s="2654"/>
      <c r="K329" s="2654"/>
      <c r="L329" s="2654"/>
      <c r="M329" s="2654"/>
      <c r="N329" s="74"/>
      <c r="O329" s="70"/>
      <c r="P329" s="777"/>
    </row>
    <row r="330" spans="1:22" s="43" customFormat="1" ht="13.5" customHeight="1" thickBot="1">
      <c r="A330" s="1489" t="s">
        <v>3524</v>
      </c>
      <c r="B330" s="104" t="s">
        <v>2567</v>
      </c>
      <c r="D330" s="40"/>
      <c r="G330" s="61" t="s">
        <v>6299</v>
      </c>
      <c r="I330" s="1672" t="s">
        <v>6545</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51">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3194</v>
      </c>
      <c r="D332" s="3832" t="s">
        <v>4071</v>
      </c>
      <c r="E332" s="3833"/>
      <c r="F332" s="3833"/>
      <c r="G332" s="3833"/>
      <c r="H332" s="3833"/>
      <c r="I332" s="3834"/>
      <c r="J332" s="382" t="s">
        <v>2631</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1894</v>
      </c>
      <c r="B334" s="86" t="s">
        <v>4159</v>
      </c>
      <c r="C334" s="382"/>
      <c r="D334" s="382"/>
      <c r="E334" s="382"/>
      <c r="F334" s="382"/>
      <c r="G334" s="382"/>
      <c r="H334" s="382"/>
      <c r="I334" s="382"/>
      <c r="M334" s="402">
        <v>2</v>
      </c>
      <c r="N334" s="159" t="s">
        <v>1894</v>
      </c>
      <c r="O334" s="2574"/>
      <c r="P334" s="3008"/>
      <c r="Q334" s="895" t="str">
        <f>IF(OR($O334=$M334,$O334=0,$O334=""),"","*CHECK!*")</f>
        <v/>
      </c>
      <c r="R334" s="892" t="s">
        <v>4267</v>
      </c>
    </row>
    <row r="335" spans="1:22" s="401" customFormat="1" ht="12" customHeight="1">
      <c r="A335" s="400"/>
      <c r="B335" s="4169" t="s">
        <v>6513</v>
      </c>
      <c r="C335" s="4169"/>
      <c r="D335" s="4169"/>
      <c r="E335" s="4169"/>
      <c r="F335" s="4169"/>
      <c r="G335" s="4169"/>
      <c r="H335" s="4169"/>
      <c r="I335" s="4169"/>
      <c r="J335" s="4169"/>
      <c r="K335" s="4169"/>
      <c r="L335" s="4169"/>
      <c r="M335" s="4181" t="s">
        <v>4072</v>
      </c>
      <c r="N335" s="4181"/>
      <c r="Q335" s="170"/>
    </row>
    <row r="336" spans="1:22" s="401" customFormat="1" ht="12" customHeight="1">
      <c r="B336" s="4169"/>
      <c r="C336" s="4169"/>
      <c r="D336" s="4169"/>
      <c r="E336" s="4169"/>
      <c r="F336" s="4169"/>
      <c r="G336" s="4169"/>
      <c r="H336" s="4169"/>
      <c r="I336" s="4169"/>
      <c r="J336" s="4169"/>
      <c r="K336" s="4169"/>
      <c r="L336" s="4169"/>
      <c r="M336" s="4181"/>
      <c r="N336" s="4181"/>
      <c r="O336" s="4187">
        <f>'Part VI-Revenues &amp; Expenses'!$P$123</f>
        <v>0</v>
      </c>
      <c r="P336" s="4188"/>
      <c r="Q336" s="170"/>
    </row>
    <row r="337" spans="1:19" s="401" customFormat="1" ht="12" customHeight="1">
      <c r="B337" s="4169"/>
      <c r="C337" s="4169"/>
      <c r="D337" s="4169"/>
      <c r="E337" s="4169"/>
      <c r="F337" s="4169"/>
      <c r="G337" s="4169"/>
      <c r="H337" s="4169"/>
      <c r="I337" s="4169"/>
      <c r="J337" s="4169"/>
      <c r="K337" s="4169"/>
      <c r="L337" s="4169"/>
      <c r="M337" s="2645" t="s">
        <v>2629</v>
      </c>
      <c r="N337" s="402"/>
      <c r="O337" s="4185">
        <f>'Part VI-Revenues &amp; Expenses'!$P$67</f>
        <v>48</v>
      </c>
      <c r="P337" s="4186"/>
      <c r="Q337" s="170"/>
    </row>
    <row r="338" spans="1:19" s="401" customFormat="1" ht="12" customHeight="1">
      <c r="B338" s="4194"/>
      <c r="C338" s="4194"/>
      <c r="D338" s="4194"/>
      <c r="E338" s="4194"/>
      <c r="F338" s="4194"/>
      <c r="G338" s="4194"/>
      <c r="H338" s="4194"/>
      <c r="I338" s="4194"/>
      <c r="J338" s="4194"/>
      <c r="K338" s="4194"/>
      <c r="L338" s="4194"/>
      <c r="M338" s="1280" t="s">
        <v>2630</v>
      </c>
      <c r="N338" s="402"/>
      <c r="O338" s="4370">
        <f>IF(O337=0,0,O336/O337)</f>
        <v>0</v>
      </c>
      <c r="P338" s="4371"/>
      <c r="Q338" s="170"/>
    </row>
    <row r="339" spans="1:19" s="43" customFormat="1" ht="105.75" customHeight="1">
      <c r="A339" s="492"/>
      <c r="B339" s="3988" t="s">
        <v>3569</v>
      </c>
      <c r="C339" s="3989"/>
      <c r="D339" s="3989"/>
      <c r="E339" s="3989"/>
      <c r="F339" s="3989"/>
      <c r="G339" s="3989"/>
      <c r="H339" s="3989"/>
      <c r="I339" s="3989"/>
      <c r="J339" s="3989"/>
      <c r="K339" s="3989"/>
      <c r="L339" s="3989"/>
      <c r="M339" s="3989"/>
      <c r="N339" s="3989"/>
      <c r="O339" s="3989"/>
      <c r="P339" s="3990"/>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3568</v>
      </c>
      <c r="B341" s="807" t="s">
        <v>4160</v>
      </c>
      <c r="C341" s="138"/>
      <c r="D341" s="766"/>
      <c r="H341" s="382"/>
      <c r="M341" s="402">
        <v>2</v>
      </c>
      <c r="N341" s="159" t="s">
        <v>1896</v>
      </c>
      <c r="O341" s="2574"/>
      <c r="P341" s="3008"/>
      <c r="Q341" s="895" t="str">
        <f>IF(OR($O341=$M341,$O341=0,$O341=""),"","*CHECK!*")</f>
        <v/>
      </c>
      <c r="R341" s="892" t="s">
        <v>4267</v>
      </c>
    </row>
    <row r="342" spans="1:19" s="401" customFormat="1" ht="11.25" customHeight="1">
      <c r="A342" s="493"/>
      <c r="B342" s="3971" t="s">
        <v>6514</v>
      </c>
      <c r="C342" s="3971"/>
      <c r="D342" s="3971"/>
      <c r="E342" s="3971"/>
      <c r="F342" s="3971"/>
      <c r="G342" s="3971"/>
      <c r="H342" s="3971"/>
      <c r="I342" s="3971"/>
      <c r="J342" s="3971"/>
      <c r="K342" s="3971"/>
      <c r="L342" s="3971"/>
      <c r="M342" s="1320" t="s">
        <v>4005</v>
      </c>
      <c r="O342" s="4202">
        <f>'Part VI-Revenues &amp; Expenses'!$P$125</f>
        <v>0</v>
      </c>
      <c r="P342" s="4203"/>
      <c r="Q342" s="170"/>
    </row>
    <row r="343" spans="1:19" s="401" customFormat="1" ht="11.25" customHeight="1">
      <c r="A343" s="493"/>
      <c r="B343" s="3971"/>
      <c r="C343" s="3971"/>
      <c r="D343" s="3971"/>
      <c r="E343" s="3971"/>
      <c r="F343" s="3971"/>
      <c r="G343" s="3971"/>
      <c r="H343" s="3971"/>
      <c r="I343" s="3971"/>
      <c r="J343" s="3971"/>
      <c r="K343" s="3971"/>
      <c r="L343" s="3971"/>
      <c r="M343" s="1016" t="s">
        <v>2629</v>
      </c>
      <c r="N343" s="402"/>
      <c r="O343" s="4185">
        <f>'Part VI-Revenues &amp; Expenses'!$P$67</f>
        <v>48</v>
      </c>
      <c r="P343" s="4186"/>
      <c r="Q343" s="170"/>
    </row>
    <row r="344" spans="1:19" s="401" customFormat="1" ht="11.25" customHeight="1">
      <c r="A344" s="493"/>
      <c r="B344" s="3971"/>
      <c r="C344" s="3971"/>
      <c r="D344" s="3971"/>
      <c r="E344" s="3971"/>
      <c r="F344" s="3971"/>
      <c r="G344" s="3971"/>
      <c r="H344" s="3971"/>
      <c r="I344" s="3971"/>
      <c r="J344" s="3971"/>
      <c r="K344" s="3971"/>
      <c r="L344" s="3971"/>
      <c r="M344" s="1280" t="s">
        <v>2630</v>
      </c>
      <c r="N344" s="402"/>
      <c r="O344" s="4370">
        <f>IF(O343=0,0,O342/O343)</f>
        <v>0</v>
      </c>
      <c r="P344" s="4371"/>
      <c r="Q344" s="170"/>
    </row>
    <row r="345" spans="1:19" s="43" customFormat="1" ht="11.25" customHeight="1" thickBot="1">
      <c r="A345" s="42"/>
      <c r="B345" s="1007" t="s">
        <v>3374</v>
      </c>
      <c r="C345" s="42"/>
      <c r="D345" s="48"/>
      <c r="E345" s="48"/>
      <c r="F345" s="48"/>
      <c r="G345" s="48"/>
      <c r="H345" s="36"/>
      <c r="I345" s="36"/>
      <c r="J345" s="36"/>
      <c r="K345" s="36"/>
      <c r="M345" s="46"/>
      <c r="N345" s="62"/>
      <c r="O345" s="3"/>
      <c r="P345" s="2653"/>
    </row>
    <row r="346" spans="1:19" s="43" customFormat="1" ht="73.5" customHeight="1" thickTop="1" thickBot="1">
      <c r="A346" s="4177" t="s">
        <v>6932</v>
      </c>
      <c r="B346" s="4178"/>
      <c r="C346" s="4178"/>
      <c r="D346" s="4178"/>
      <c r="E346" s="4178"/>
      <c r="F346" s="4178"/>
      <c r="G346" s="4178"/>
      <c r="H346" s="4178"/>
      <c r="I346" s="4178"/>
      <c r="J346" s="4178"/>
      <c r="K346" s="4178"/>
      <c r="L346" s="4178"/>
      <c r="M346" s="4178"/>
      <c r="N346" s="4178"/>
      <c r="O346" s="4178"/>
      <c r="P346" s="4179"/>
      <c r="Q346" s="933" t="s">
        <v>1208</v>
      </c>
      <c r="R346" s="428"/>
    </row>
    <row r="347" spans="1:19" s="43" customFormat="1" ht="10.5" customHeight="1" thickTop="1">
      <c r="B347" s="85" t="s">
        <v>1781</v>
      </c>
      <c r="C347" s="97"/>
      <c r="D347" s="85"/>
      <c r="E347" s="98"/>
      <c r="F347" s="2654"/>
      <c r="G347" s="2654"/>
      <c r="H347" s="2654"/>
      <c r="I347" s="2654"/>
      <c r="J347" s="2654"/>
      <c r="K347" s="2654"/>
      <c r="L347" s="2654"/>
      <c r="M347" s="2654"/>
      <c r="N347" s="74"/>
      <c r="O347" s="70"/>
      <c r="P347" s="2651"/>
      <c r="Q347" s="414"/>
    </row>
    <row r="348" spans="1:19" s="43" customFormat="1" ht="22.15" customHeight="1">
      <c r="A348" s="4008"/>
      <c r="B348" s="4009"/>
      <c r="C348" s="4009"/>
      <c r="D348" s="4009"/>
      <c r="E348" s="4009"/>
      <c r="F348" s="4009"/>
      <c r="G348" s="4009"/>
      <c r="H348" s="4009"/>
      <c r="I348" s="4009"/>
      <c r="J348" s="4009"/>
      <c r="K348" s="4009"/>
      <c r="L348" s="4009"/>
      <c r="M348" s="4009"/>
      <c r="N348" s="4009"/>
      <c r="O348" s="4009"/>
      <c r="P348" s="4010"/>
      <c r="Q348" s="427"/>
    </row>
    <row r="349" spans="1:19" s="43" customFormat="1" ht="6" customHeight="1" thickBot="1">
      <c r="A349" s="42"/>
      <c r="B349" s="42"/>
      <c r="C349" s="2654"/>
      <c r="D349" s="2654"/>
      <c r="E349" s="2654"/>
      <c r="F349" s="2654"/>
      <c r="G349" s="2654"/>
      <c r="H349" s="2654"/>
      <c r="I349" s="2654"/>
      <c r="J349" s="2654"/>
      <c r="K349" s="2654"/>
      <c r="L349" s="2654"/>
      <c r="M349" s="2654"/>
      <c r="N349" s="74"/>
      <c r="O349" s="70"/>
      <c r="P349" s="777"/>
    </row>
    <row r="350" spans="1:19" s="101" customFormat="1" ht="14.25" customHeight="1" thickBot="1">
      <c r="A350" s="152" t="s">
        <v>3525</v>
      </c>
      <c r="B350" s="104" t="s">
        <v>4242</v>
      </c>
      <c r="D350" s="45"/>
      <c r="E350" s="45"/>
      <c r="F350" s="39"/>
      <c r="G350" s="36"/>
      <c r="I350" s="36"/>
      <c r="J350" s="36"/>
      <c r="K350" s="36"/>
      <c r="L350" s="367" t="str">
        <f>IF(OR($O350=$M350,$O350&lt;=0,$O350=""),"","* * Check Score! * *")</f>
        <v/>
      </c>
      <c r="M350" s="2651">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51"/>
      <c r="N351" s="6"/>
      <c r="O351" s="6"/>
      <c r="P351" s="6"/>
      <c r="Q351" s="108"/>
    </row>
    <row r="352" spans="1:19" s="101" customFormat="1" ht="12.75" customHeight="1">
      <c r="A352" s="152"/>
      <c r="B352" s="86" t="s">
        <v>3302</v>
      </c>
      <c r="D352" s="45"/>
      <c r="E352" s="45"/>
      <c r="F352" s="39"/>
      <c r="G352" s="36"/>
      <c r="I352" s="36"/>
      <c r="J352" s="36"/>
      <c r="K352" s="36"/>
      <c r="L352" s="367"/>
      <c r="M352" s="2651"/>
      <c r="N352" s="6"/>
      <c r="O352" s="977">
        <v>10</v>
      </c>
      <c r="P352" s="977">
        <v>10</v>
      </c>
      <c r="Q352" s="108"/>
    </row>
    <row r="353" spans="1:18" s="101" customFormat="1" ht="12.75" customHeight="1">
      <c r="A353" s="152"/>
      <c r="B353" s="86" t="s">
        <v>3303</v>
      </c>
      <c r="D353" s="45"/>
      <c r="E353" s="45"/>
      <c r="F353" s="39"/>
      <c r="G353" s="36"/>
      <c r="I353" s="36"/>
      <c r="J353" s="36"/>
      <c r="K353" s="36"/>
      <c r="L353" s="367"/>
      <c r="M353" s="2651"/>
      <c r="N353" s="6"/>
      <c r="O353" s="2607"/>
      <c r="P353" s="3011"/>
      <c r="Q353" s="108"/>
    </row>
    <row r="354" spans="1:18" s="101" customFormat="1" ht="12.75" customHeight="1">
      <c r="A354" s="152"/>
      <c r="B354" s="86" t="s">
        <v>3304</v>
      </c>
      <c r="D354" s="45"/>
      <c r="E354" s="45"/>
      <c r="F354" s="39"/>
      <c r="G354" s="36"/>
      <c r="I354" s="36"/>
      <c r="J354" s="36"/>
      <c r="K354" s="36"/>
      <c r="L354" s="367"/>
      <c r="M354" s="2651"/>
      <c r="N354" s="6"/>
      <c r="O354" s="2608"/>
      <c r="P354" s="2991"/>
      <c r="Q354" s="108"/>
    </row>
    <row r="355" spans="1:18" s="101" customFormat="1" ht="12.75" customHeight="1">
      <c r="A355" s="66"/>
      <c r="B355" s="66" t="s">
        <v>1781</v>
      </c>
      <c r="C355" s="50"/>
      <c r="D355" s="66"/>
      <c r="E355" s="2658"/>
      <c r="F355" s="2658"/>
      <c r="G355" s="2658"/>
      <c r="H355" s="2658"/>
      <c r="I355" s="2658"/>
      <c r="J355" s="2658"/>
      <c r="K355" s="2658"/>
      <c r="L355" s="2658"/>
      <c r="M355" s="2658"/>
      <c r="N355" s="92"/>
      <c r="O355" s="767"/>
      <c r="P355" s="2651"/>
    </row>
    <row r="356" spans="1:18" s="43" customFormat="1" ht="12.75" customHeight="1">
      <c r="A356" s="4008"/>
      <c r="B356" s="4009"/>
      <c r="C356" s="4009"/>
      <c r="D356" s="4009"/>
      <c r="E356" s="4009"/>
      <c r="F356" s="4009"/>
      <c r="G356" s="4009"/>
      <c r="H356" s="4009"/>
      <c r="I356" s="4009"/>
      <c r="J356" s="4009"/>
      <c r="K356" s="4009"/>
      <c r="L356" s="4009"/>
      <c r="M356" s="4009"/>
      <c r="N356" s="4009"/>
      <c r="O356" s="4009"/>
      <c r="P356" s="4010"/>
      <c r="Q356" s="933" t="s">
        <v>1208</v>
      </c>
      <c r="R356" s="428"/>
    </row>
    <row r="357" spans="1:18" s="43" customFormat="1" ht="6" customHeight="1" thickBot="1">
      <c r="A357" s="152"/>
      <c r="B357" s="42"/>
      <c r="C357" s="2654"/>
      <c r="D357" s="2654"/>
      <c r="E357" s="2654"/>
      <c r="F357" s="2654"/>
      <c r="G357" s="2654"/>
      <c r="H357" s="2654"/>
      <c r="I357" s="2654"/>
      <c r="J357" s="2654"/>
      <c r="K357" s="2654"/>
      <c r="L357" s="2654"/>
      <c r="M357" s="2654"/>
      <c r="N357" s="74"/>
      <c r="O357" s="70"/>
      <c r="P357" s="777"/>
    </row>
    <row r="358" spans="1:18" s="43" customFormat="1" ht="13.5" customHeight="1" thickBot="1">
      <c r="A358" s="151" t="s">
        <v>3528</v>
      </c>
      <c r="B358" s="105" t="s">
        <v>6515</v>
      </c>
      <c r="C358" s="2654"/>
      <c r="D358" s="2654"/>
      <c r="E358" s="2654"/>
      <c r="F358" s="2654"/>
      <c r="G358" s="61" t="s">
        <v>6299</v>
      </c>
      <c r="H358" s="2654"/>
      <c r="I358" s="178" t="s">
        <v>3988</v>
      </c>
      <c r="J358" s="1292" t="str">
        <f>'Part I-Project Information'!$H$77</f>
        <v>Family</v>
      </c>
      <c r="K358" s="2654"/>
      <c r="L358" s="2654"/>
      <c r="M358" s="777">
        <v>2</v>
      </c>
      <c r="N358" s="74"/>
      <c r="O358" s="2606">
        <v>2</v>
      </c>
      <c r="P358" s="965"/>
      <c r="Q358" s="108" t="s">
        <v>422</v>
      </c>
      <c r="R358" s="892" t="s">
        <v>2555</v>
      </c>
    </row>
    <row r="359" spans="1:18" s="43" customFormat="1" ht="12" customHeight="1" thickBot="1">
      <c r="A359" s="137" t="s">
        <v>1894</v>
      </c>
      <c r="B359" s="175" t="s">
        <v>6518</v>
      </c>
      <c r="C359" s="27"/>
      <c r="E359" s="88"/>
      <c r="F359" s="52"/>
      <c r="G359" s="52"/>
      <c r="H359" s="52"/>
      <c r="K359" s="60"/>
      <c r="L359" s="56"/>
      <c r="M359" s="417">
        <v>2</v>
      </c>
      <c r="N359" s="1736" t="s">
        <v>1894</v>
      </c>
      <c r="P359" s="965"/>
      <c r="Q359" s="108"/>
      <c r="R359" s="892" t="s">
        <v>2555</v>
      </c>
    </row>
    <row r="360" spans="1:18" s="43" customFormat="1" ht="11.25" customHeight="1">
      <c r="A360" s="151"/>
      <c r="B360" s="52" t="s">
        <v>3829</v>
      </c>
      <c r="C360" s="2654"/>
      <c r="D360" s="2654"/>
      <c r="E360" s="2654"/>
      <c r="F360" s="2654"/>
      <c r="G360" s="2654"/>
      <c r="H360" s="2654"/>
      <c r="I360" s="2654"/>
      <c r="J360" s="2654"/>
      <c r="K360" s="2654"/>
      <c r="L360" s="1276"/>
      <c r="M360" s="777"/>
      <c r="N360" s="74"/>
      <c r="O360" s="2493" t="s">
        <v>2770</v>
      </c>
      <c r="P360" s="2964"/>
      <c r="Q360" s="108"/>
    </row>
    <row r="361" spans="1:18" s="101" customFormat="1" ht="11.25" customHeight="1">
      <c r="A361" s="151"/>
      <c r="B361" s="112" t="s">
        <v>6521</v>
      </c>
      <c r="D361" s="783" t="s">
        <v>6561</v>
      </c>
      <c r="E361" s="2658"/>
      <c r="F361" s="2658"/>
      <c r="G361" s="2658"/>
      <c r="H361" s="2658"/>
      <c r="K361" s="2658"/>
      <c r="L361" s="2658"/>
      <c r="N361" s="92"/>
      <c r="O361" s="4208" t="s">
        <v>4265</v>
      </c>
      <c r="P361" s="4208"/>
      <c r="Q361" s="108"/>
    </row>
    <row r="362" spans="1:18" s="414" customFormat="1" ht="10.5" customHeight="1">
      <c r="A362" s="413"/>
      <c r="B362" s="1677" t="s">
        <v>2325</v>
      </c>
      <c r="C362" s="921" t="s">
        <v>6516</v>
      </c>
      <c r="N362" s="425" t="s">
        <v>2325</v>
      </c>
      <c r="O362" s="2609" t="s">
        <v>6902</v>
      </c>
      <c r="P362" s="3017"/>
    </row>
    <row r="363" spans="1:18" s="401" customFormat="1" ht="21.75" customHeight="1">
      <c r="A363" s="142"/>
      <c r="B363" s="379" t="s">
        <v>2326</v>
      </c>
      <c r="C363" s="3958" t="s">
        <v>6517</v>
      </c>
      <c r="D363" s="3958"/>
      <c r="E363" s="3958"/>
      <c r="F363" s="3958"/>
      <c r="G363" s="3958"/>
      <c r="H363" s="3958"/>
      <c r="I363" s="3958"/>
      <c r="J363" s="3958"/>
      <c r="K363" s="3958"/>
      <c r="L363" s="3958"/>
      <c r="M363" s="3958"/>
      <c r="N363" s="159" t="s">
        <v>2326</v>
      </c>
      <c r="O363" s="2610" t="s">
        <v>6902</v>
      </c>
      <c r="P363" s="3017"/>
    </row>
    <row r="364" spans="1:18" s="401" customFormat="1" ht="21.75" customHeight="1">
      <c r="A364" s="142"/>
      <c r="B364" s="379" t="s">
        <v>2327</v>
      </c>
      <c r="C364" s="3958" t="s">
        <v>6519</v>
      </c>
      <c r="D364" s="3958"/>
      <c r="E364" s="3958"/>
      <c r="F364" s="3958"/>
      <c r="G364" s="3958"/>
      <c r="H364" s="3958"/>
      <c r="I364" s="3958"/>
      <c r="J364" s="3958"/>
      <c r="K364" s="3958"/>
      <c r="L364" s="3958"/>
      <c r="M364" s="3958"/>
      <c r="N364" s="159" t="s">
        <v>2327</v>
      </c>
      <c r="O364" s="2610" t="s">
        <v>6902</v>
      </c>
      <c r="P364" s="3017"/>
    </row>
    <row r="365" spans="1:18" s="101" customFormat="1" ht="11.25" customHeight="1">
      <c r="B365" s="366" t="s">
        <v>2328</v>
      </c>
      <c r="C365" s="36" t="s">
        <v>6520</v>
      </c>
      <c r="N365" s="439" t="s">
        <v>2328</v>
      </c>
      <c r="O365" s="2611" t="s">
        <v>6902</v>
      </c>
      <c r="P365" s="3017"/>
    </row>
    <row r="366" spans="1:18" s="101" customFormat="1" ht="11.25" customHeight="1">
      <c r="A366" s="151"/>
      <c r="B366" s="112" t="s">
        <v>6522</v>
      </c>
      <c r="D366" s="2658"/>
      <c r="E366" s="2658"/>
      <c r="F366" s="2658"/>
      <c r="G366" s="2658"/>
      <c r="H366" s="783" t="s">
        <v>6561</v>
      </c>
      <c r="K366" s="2658"/>
      <c r="L366" s="2658"/>
      <c r="M366" s="777"/>
      <c r="N366" s="92"/>
      <c r="O366" s="4212" t="s">
        <v>4265</v>
      </c>
      <c r="P366" s="4212"/>
      <c r="Q366" s="108"/>
    </row>
    <row r="367" spans="1:18" s="414" customFormat="1" ht="12.75" customHeight="1">
      <c r="A367" s="413"/>
      <c r="B367" s="1677" t="s">
        <v>2325</v>
      </c>
      <c r="C367" s="4213" t="s">
        <v>6523</v>
      </c>
      <c r="D367" s="4213"/>
      <c r="E367" s="4213"/>
      <c r="F367" s="4213"/>
      <c r="G367" s="4213"/>
      <c r="H367" s="4213"/>
      <c r="I367" s="4213"/>
      <c r="J367" s="4213"/>
      <c r="K367" s="4213"/>
      <c r="L367" s="4213"/>
      <c r="N367" s="425" t="s">
        <v>2325</v>
      </c>
      <c r="O367" s="2609" t="s">
        <v>6902</v>
      </c>
      <c r="P367" s="3018"/>
    </row>
    <row r="368" spans="1:18" s="414" customFormat="1" ht="12.75" customHeight="1">
      <c r="A368" s="413"/>
      <c r="B368" s="1677" t="s">
        <v>2326</v>
      </c>
      <c r="C368" s="4213" t="s">
        <v>6524</v>
      </c>
      <c r="D368" s="4213"/>
      <c r="E368" s="4213"/>
      <c r="F368" s="4213"/>
      <c r="G368" s="4213"/>
      <c r="H368" s="4213"/>
      <c r="I368" s="4213"/>
      <c r="J368" s="4213"/>
      <c r="K368" s="4213"/>
      <c r="L368" s="4213"/>
      <c r="M368" s="921"/>
      <c r="N368" s="425" t="s">
        <v>2326</v>
      </c>
      <c r="O368" s="2612" t="s">
        <v>6902</v>
      </c>
      <c r="P368" s="3017"/>
    </row>
    <row r="369" spans="1:23" s="33" customFormat="1" ht="5.25" customHeight="1" thickBot="1">
      <c r="A369" s="2663"/>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1896</v>
      </c>
      <c r="B370" s="175" t="s">
        <v>6525</v>
      </c>
      <c r="D370" s="33"/>
      <c r="M370" s="417">
        <v>2</v>
      </c>
      <c r="N370" s="1736" t="s">
        <v>1896</v>
      </c>
      <c r="O370" s="2613">
        <v>0</v>
      </c>
      <c r="P370" s="3019"/>
      <c r="Q370" s="892" t="s">
        <v>2555</v>
      </c>
      <c r="S370" s="43"/>
      <c r="T370" s="43"/>
      <c r="U370" s="43"/>
    </row>
    <row r="371" spans="1:23" ht="12" customHeight="1">
      <c r="A371" s="478"/>
      <c r="B371" s="783" t="s">
        <v>6561</v>
      </c>
      <c r="C371" s="478"/>
      <c r="D371" s="478"/>
      <c r="E371" s="478"/>
      <c r="F371" s="478"/>
      <c r="J371" s="902"/>
      <c r="K371" s="902"/>
      <c r="L371" s="902"/>
      <c r="O371" s="4357" t="s">
        <v>4265</v>
      </c>
      <c r="P371" s="4357"/>
      <c r="Q371" s="2645"/>
      <c r="R371" s="43"/>
      <c r="S371" s="43"/>
      <c r="T371" s="43"/>
      <c r="U371" s="43"/>
    </row>
    <row r="372" spans="1:23" s="401" customFormat="1" ht="11.25" customHeight="1">
      <c r="A372" s="1678"/>
      <c r="B372" s="423" t="s">
        <v>1897</v>
      </c>
      <c r="C372" s="4207" t="s">
        <v>6562</v>
      </c>
      <c r="D372" s="4207"/>
      <c r="E372" s="4207"/>
      <c r="F372" s="4207"/>
      <c r="G372" s="4207"/>
      <c r="H372" s="4207"/>
      <c r="I372" s="4207"/>
      <c r="J372" s="4207"/>
      <c r="K372" s="4207"/>
      <c r="L372" s="4207"/>
      <c r="M372" s="4207"/>
      <c r="N372" s="381" t="s">
        <v>1897</v>
      </c>
      <c r="O372" s="2614" t="s">
        <v>6858</v>
      </c>
      <c r="P372" s="3020"/>
      <c r="Q372" s="1679"/>
    </row>
    <row r="373" spans="1:23" s="101" customFormat="1" ht="11.25" customHeight="1">
      <c r="A373" s="151"/>
      <c r="B373" s="423" t="s">
        <v>1899</v>
      </c>
      <c r="C373" s="2615" t="s">
        <v>6563</v>
      </c>
      <c r="D373" s="2616"/>
      <c r="E373" s="2616"/>
      <c r="F373" s="2616"/>
      <c r="G373" s="2616"/>
      <c r="H373" s="2616"/>
      <c r="I373" s="2616"/>
      <c r="J373" s="2616"/>
      <c r="K373" s="2616"/>
      <c r="L373" s="2616"/>
      <c r="M373" s="2616"/>
      <c r="N373" s="381" t="s">
        <v>1899</v>
      </c>
      <c r="O373" s="2617" t="s">
        <v>6858</v>
      </c>
      <c r="P373" s="3021"/>
      <c r="Q373" s="108"/>
    </row>
    <row r="374" spans="1:23" s="43" customFormat="1" ht="11.25" customHeight="1" thickBot="1">
      <c r="A374" s="42"/>
      <c r="B374" s="1007" t="s">
        <v>3374</v>
      </c>
      <c r="C374" s="42"/>
      <c r="D374" s="48"/>
      <c r="E374" s="48"/>
      <c r="F374" s="48"/>
      <c r="G374" s="48"/>
      <c r="H374" s="36"/>
      <c r="I374" s="36"/>
      <c r="J374" s="36"/>
      <c r="K374" s="36"/>
      <c r="M374" s="46"/>
      <c r="N374" s="62"/>
      <c r="O374" s="3"/>
      <c r="P374" s="2653"/>
    </row>
    <row r="375" spans="1:23" s="43" customFormat="1" ht="165.75" customHeight="1" thickTop="1" thickBot="1">
      <c r="A375" s="4177" t="s">
        <v>7027</v>
      </c>
      <c r="B375" s="4178"/>
      <c r="C375" s="4178"/>
      <c r="D375" s="4178"/>
      <c r="E375" s="4178"/>
      <c r="F375" s="4178"/>
      <c r="G375" s="4178"/>
      <c r="H375" s="4178"/>
      <c r="I375" s="4178"/>
      <c r="J375" s="4178"/>
      <c r="K375" s="4178"/>
      <c r="L375" s="4178"/>
      <c r="M375" s="4178"/>
      <c r="N375" s="4178"/>
      <c r="O375" s="4178"/>
      <c r="P375" s="4179"/>
      <c r="Q375" s="933" t="s">
        <v>1208</v>
      </c>
      <c r="R375" s="428"/>
    </row>
    <row r="376" spans="1:23" s="43" customFormat="1" ht="10.5" customHeight="1" thickTop="1">
      <c r="B376" s="85" t="s">
        <v>1781</v>
      </c>
      <c r="C376" s="97"/>
      <c r="D376" s="85"/>
      <c r="E376" s="98"/>
      <c r="F376" s="2654"/>
      <c r="G376" s="2654"/>
      <c r="H376" s="2654"/>
      <c r="I376" s="2654"/>
      <c r="J376" s="2654"/>
      <c r="K376" s="2654"/>
      <c r="L376" s="2654"/>
      <c r="M376" s="2654"/>
      <c r="N376" s="74"/>
      <c r="O376" s="70"/>
      <c r="P376" s="2651"/>
      <c r="Q376" s="414"/>
    </row>
    <row r="377" spans="1:23" s="43" customFormat="1" ht="22.15" customHeight="1">
      <c r="A377" s="4008"/>
      <c r="B377" s="4009"/>
      <c r="C377" s="4009"/>
      <c r="D377" s="4009"/>
      <c r="E377" s="4009"/>
      <c r="F377" s="4009"/>
      <c r="G377" s="4009"/>
      <c r="H377" s="4009"/>
      <c r="I377" s="4009"/>
      <c r="J377" s="4009"/>
      <c r="K377" s="4009"/>
      <c r="L377" s="4009"/>
      <c r="M377" s="4009"/>
      <c r="N377" s="4009"/>
      <c r="O377" s="4009"/>
      <c r="P377" s="4010"/>
      <c r="Q377" s="427"/>
    </row>
    <row r="378" spans="1:23" s="43" customFormat="1" ht="4.5" customHeight="1" thickBot="1">
      <c r="A378" s="152"/>
      <c r="B378" s="42"/>
      <c r="C378" s="2654"/>
      <c r="D378" s="2654"/>
      <c r="E378" s="2654"/>
      <c r="F378" s="2654"/>
      <c r="G378" s="2654"/>
      <c r="H378" s="2654"/>
      <c r="I378" s="2654"/>
      <c r="J378" s="2654"/>
      <c r="K378" s="2654"/>
      <c r="L378" s="2654"/>
      <c r="M378" s="2654"/>
      <c r="N378" s="74"/>
      <c r="O378" s="70"/>
      <c r="P378" s="777"/>
    </row>
    <row r="379" spans="1:23" s="101" customFormat="1" ht="11.25" customHeight="1" thickBot="1">
      <c r="A379" s="152" t="s">
        <v>3529</v>
      </c>
      <c r="B379" s="104" t="s">
        <v>6527</v>
      </c>
      <c r="D379" s="45"/>
      <c r="E379" s="45"/>
      <c r="F379" s="39"/>
      <c r="M379" s="2651">
        <v>6</v>
      </c>
      <c r="N379" s="6"/>
      <c r="O379" s="2606"/>
      <c r="P379" s="965"/>
      <c r="Q379" s="108" t="s">
        <v>422</v>
      </c>
      <c r="R379" s="892" t="s">
        <v>2555</v>
      </c>
    </row>
    <row r="380" spans="1:23" s="101" customFormat="1" ht="10.5" customHeight="1">
      <c r="A380" s="66"/>
      <c r="B380" s="66" t="s">
        <v>1781</v>
      </c>
      <c r="C380" s="50"/>
      <c r="D380" s="66"/>
      <c r="E380" s="2658"/>
      <c r="F380" s="2658"/>
      <c r="G380" s="2658"/>
      <c r="H380" s="2658"/>
      <c r="I380" s="2658"/>
      <c r="J380" s="2658"/>
      <c r="K380" s="2658"/>
      <c r="L380" s="2658"/>
      <c r="M380" s="2658"/>
      <c r="N380" s="92"/>
      <c r="O380" s="767"/>
      <c r="P380" s="2651"/>
    </row>
    <row r="381" spans="1:23" s="43" customFormat="1" ht="10.9" customHeight="1">
      <c r="A381" s="4008"/>
      <c r="B381" s="4009"/>
      <c r="C381" s="4009"/>
      <c r="D381" s="4009"/>
      <c r="E381" s="4009"/>
      <c r="F381" s="4009"/>
      <c r="G381" s="4009"/>
      <c r="H381" s="4009"/>
      <c r="I381" s="4009"/>
      <c r="J381" s="4009"/>
      <c r="K381" s="4009"/>
      <c r="L381" s="4009"/>
      <c r="M381" s="4009"/>
      <c r="N381" s="4009"/>
      <c r="O381" s="4009"/>
      <c r="P381" s="4010"/>
      <c r="Q381" s="933" t="s">
        <v>1208</v>
      </c>
      <c r="R381" s="428"/>
    </row>
    <row r="382" spans="1:23" s="43" customFormat="1" ht="4.5" customHeight="1" thickBot="1">
      <c r="A382" s="152"/>
      <c r="B382" s="42"/>
      <c r="C382" s="2654"/>
      <c r="D382" s="2654"/>
      <c r="E382" s="2654"/>
      <c r="F382" s="2654"/>
      <c r="G382" s="2654"/>
      <c r="H382" s="2654"/>
      <c r="I382" s="2654"/>
      <c r="J382" s="2654"/>
      <c r="K382" s="2654"/>
      <c r="L382" s="2654"/>
      <c r="M382" s="2654"/>
      <c r="N382" s="74"/>
      <c r="O382" s="70"/>
      <c r="P382" s="777"/>
    </row>
    <row r="383" spans="1:23" s="101" customFormat="1" ht="11.25" customHeight="1" thickBot="1">
      <c r="A383" s="152" t="s">
        <v>3530</v>
      </c>
      <c r="B383" s="104" t="s">
        <v>6528</v>
      </c>
      <c r="D383" s="45"/>
      <c r="E383" s="45"/>
      <c r="F383" s="557"/>
      <c r="G383" s="36"/>
      <c r="M383" s="2651">
        <v>6</v>
      </c>
      <c r="N383" s="6"/>
      <c r="O383" s="2606"/>
      <c r="P383" s="965"/>
      <c r="Q383" s="108" t="s">
        <v>422</v>
      </c>
      <c r="R383" s="892" t="s">
        <v>2555</v>
      </c>
    </row>
    <row r="384" spans="1:23" s="101" customFormat="1" ht="10.5" customHeight="1">
      <c r="A384" s="66"/>
      <c r="B384" s="66" t="s">
        <v>1781</v>
      </c>
      <c r="C384" s="50"/>
      <c r="D384" s="66"/>
      <c r="E384" s="2658"/>
      <c r="F384" s="2658"/>
      <c r="G384" s="2658"/>
      <c r="H384" s="2658"/>
      <c r="I384" s="2658"/>
      <c r="J384" s="2658"/>
      <c r="K384" s="2658"/>
      <c r="L384" s="2658"/>
      <c r="M384" s="2658"/>
      <c r="N384" s="92"/>
      <c r="O384" s="767"/>
      <c r="P384" s="2651"/>
    </row>
    <row r="385" spans="1:18" s="43" customFormat="1" ht="10.9" customHeight="1">
      <c r="A385" s="4008"/>
      <c r="B385" s="4009"/>
      <c r="C385" s="4009"/>
      <c r="D385" s="4009"/>
      <c r="E385" s="4009"/>
      <c r="F385" s="4009"/>
      <c r="G385" s="4009"/>
      <c r="H385" s="4009"/>
      <c r="I385" s="4009"/>
      <c r="J385" s="4009"/>
      <c r="K385" s="4009"/>
      <c r="L385" s="4009"/>
      <c r="M385" s="4009"/>
      <c r="N385" s="4009"/>
      <c r="O385" s="4009"/>
      <c r="P385" s="4010"/>
      <c r="Q385" s="933" t="s">
        <v>1208</v>
      </c>
      <c r="R385" s="428"/>
    </row>
    <row r="386" spans="1:18" s="43" customFormat="1" ht="4.5" customHeight="1" thickBot="1">
      <c r="A386" s="152"/>
      <c r="B386" s="42"/>
      <c r="C386" s="2654"/>
      <c r="D386" s="2654"/>
      <c r="E386" s="2654"/>
      <c r="F386" s="2654"/>
      <c r="G386" s="2654"/>
      <c r="H386" s="2654"/>
      <c r="I386" s="2654"/>
      <c r="J386" s="2654"/>
      <c r="K386" s="2654"/>
      <c r="L386" s="2654"/>
      <c r="M386" s="2654"/>
      <c r="N386" s="74"/>
      <c r="O386" s="70"/>
      <c r="P386" s="777"/>
    </row>
    <row r="387" spans="1:18" s="101" customFormat="1" ht="11.25" customHeight="1" thickBot="1">
      <c r="A387" s="152" t="s">
        <v>3531</v>
      </c>
      <c r="B387" s="104" t="s">
        <v>6529</v>
      </c>
      <c r="D387" s="45"/>
      <c r="M387" s="2651">
        <v>2</v>
      </c>
      <c r="N387" s="6"/>
      <c r="O387" s="2606"/>
      <c r="P387" s="965"/>
      <c r="Q387" s="108" t="s">
        <v>422</v>
      </c>
      <c r="R387" s="892" t="s">
        <v>2555</v>
      </c>
    </row>
    <row r="388" spans="1:18" s="101" customFormat="1" ht="10.5" customHeight="1">
      <c r="A388" s="66"/>
      <c r="B388" s="66" t="s">
        <v>1781</v>
      </c>
      <c r="C388" s="50"/>
      <c r="D388" s="66"/>
      <c r="E388" s="2658"/>
      <c r="F388" s="2658"/>
      <c r="G388" s="2658"/>
      <c r="H388" s="2658"/>
      <c r="I388" s="2658"/>
      <c r="J388" s="2658"/>
      <c r="K388" s="2658"/>
      <c r="L388" s="2658"/>
      <c r="M388" s="2658"/>
      <c r="N388" s="92"/>
      <c r="O388" s="767"/>
      <c r="P388" s="2651"/>
    </row>
    <row r="389" spans="1:18" s="43" customFormat="1" ht="10.9" customHeight="1">
      <c r="A389" s="4008"/>
      <c r="B389" s="4009"/>
      <c r="C389" s="4009"/>
      <c r="D389" s="4009"/>
      <c r="E389" s="4009"/>
      <c r="F389" s="4009"/>
      <c r="G389" s="4009"/>
      <c r="H389" s="4009"/>
      <c r="I389" s="4009"/>
      <c r="J389" s="4009"/>
      <c r="K389" s="4009"/>
      <c r="L389" s="4009"/>
      <c r="M389" s="4009"/>
      <c r="N389" s="4009"/>
      <c r="O389" s="4009"/>
      <c r="P389" s="4010"/>
      <c r="Q389" s="933" t="s">
        <v>1208</v>
      </c>
      <c r="R389" s="428"/>
    </row>
    <row r="390" spans="1:18" s="43" customFormat="1" ht="4.5" customHeight="1" thickBot="1">
      <c r="A390" s="152"/>
      <c r="B390" s="42"/>
      <c r="C390" s="2654"/>
      <c r="D390" s="2654"/>
      <c r="E390" s="2654"/>
      <c r="F390" s="2654"/>
      <c r="G390" s="2654"/>
      <c r="H390" s="2654"/>
      <c r="I390" s="2654"/>
      <c r="J390" s="2654"/>
      <c r="K390" s="2654"/>
      <c r="L390" s="2654"/>
      <c r="M390" s="2654"/>
      <c r="N390" s="74"/>
      <c r="O390" s="70"/>
      <c r="P390" s="777"/>
    </row>
    <row r="391" spans="1:18" s="101" customFormat="1" ht="11.25" customHeight="1" thickBot="1">
      <c r="A391" s="152" t="s">
        <v>3532</v>
      </c>
      <c r="B391" s="104" t="s">
        <v>6530</v>
      </c>
      <c r="D391" s="45"/>
      <c r="M391" s="2651">
        <v>6</v>
      </c>
      <c r="N391" s="6"/>
      <c r="O391" s="2606"/>
      <c r="P391" s="965"/>
      <c r="Q391" s="108" t="s">
        <v>422</v>
      </c>
      <c r="R391" s="892" t="s">
        <v>2555</v>
      </c>
    </row>
    <row r="392" spans="1:18" s="101" customFormat="1" ht="10.5" customHeight="1">
      <c r="A392" s="66"/>
      <c r="B392" s="66" t="s">
        <v>1781</v>
      </c>
      <c r="C392" s="50"/>
      <c r="D392" s="66"/>
      <c r="E392" s="2658"/>
      <c r="F392" s="2658"/>
      <c r="G392" s="2658"/>
      <c r="H392" s="2658"/>
      <c r="I392" s="2658"/>
      <c r="J392" s="2658"/>
      <c r="K392" s="2658"/>
      <c r="L392" s="2658"/>
      <c r="M392" s="2658"/>
      <c r="N392" s="92"/>
      <c r="O392" s="767"/>
      <c r="P392" s="2651"/>
    </row>
    <row r="393" spans="1:18" s="43" customFormat="1" ht="10.9" customHeight="1">
      <c r="A393" s="4008"/>
      <c r="B393" s="4009"/>
      <c r="C393" s="4009"/>
      <c r="D393" s="4009"/>
      <c r="E393" s="4009"/>
      <c r="F393" s="4009"/>
      <c r="G393" s="4009"/>
      <c r="H393" s="4009"/>
      <c r="I393" s="4009"/>
      <c r="J393" s="4009"/>
      <c r="K393" s="4009"/>
      <c r="L393" s="4009"/>
      <c r="M393" s="4009"/>
      <c r="N393" s="4009"/>
      <c r="O393" s="4009"/>
      <c r="P393" s="4010"/>
      <c r="Q393" s="933" t="s">
        <v>1208</v>
      </c>
      <c r="R393" s="428"/>
    </row>
    <row r="394" spans="1:18" s="43" customFormat="1" ht="4.5" customHeight="1">
      <c r="A394" s="152"/>
      <c r="B394" s="42"/>
      <c r="C394" s="2654"/>
      <c r="D394" s="2654"/>
      <c r="E394" s="2654"/>
      <c r="F394" s="2654"/>
      <c r="G394" s="2654"/>
      <c r="H394" s="2654"/>
      <c r="I394" s="2654"/>
      <c r="J394" s="2654"/>
      <c r="K394" s="2654"/>
      <c r="L394" s="2654"/>
      <c r="M394" s="2654"/>
      <c r="N394" s="74"/>
      <c r="O394" s="70"/>
      <c r="P394" s="777"/>
    </row>
    <row r="395" spans="1:18" s="43" customFormat="1" ht="12" hidden="1" customHeight="1" thickBot="1">
      <c r="A395" s="152" t="s">
        <v>3533</v>
      </c>
      <c r="B395" s="105" t="s">
        <v>6564</v>
      </c>
      <c r="C395" s="87"/>
      <c r="D395" s="58"/>
      <c r="E395" s="52"/>
      <c r="G395" s="55"/>
      <c r="I395" s="1682" t="s">
        <v>6533</v>
      </c>
      <c r="J395" s="2654"/>
      <c r="L395" s="1683">
        <f>F70</f>
        <v>0</v>
      </c>
      <c r="M395" s="2651">
        <v>16</v>
      </c>
      <c r="N395" s="6"/>
      <c r="O395" s="2606"/>
      <c r="P395" s="965"/>
      <c r="Q395" s="108" t="s">
        <v>422</v>
      </c>
    </row>
    <row r="396" spans="1:18" s="43" customFormat="1" ht="10.5" hidden="1" customHeight="1">
      <c r="B396" s="85" t="s">
        <v>1781</v>
      </c>
      <c r="C396" s="97"/>
      <c r="D396" s="85"/>
      <c r="E396" s="98"/>
      <c r="F396" s="2654"/>
      <c r="G396" s="2654"/>
      <c r="H396" s="2654"/>
      <c r="I396" s="2654"/>
      <c r="J396" s="2654"/>
      <c r="K396" s="2654"/>
      <c r="L396" s="2654"/>
      <c r="M396" s="2654"/>
      <c r="N396" s="74"/>
      <c r="O396" s="70"/>
      <c r="P396" s="2651"/>
      <c r="Q396" s="414"/>
    </row>
    <row r="397" spans="1:18" s="43" customFormat="1" ht="11.25" hidden="1" customHeight="1">
      <c r="A397" s="4008"/>
      <c r="B397" s="4009"/>
      <c r="C397" s="4009"/>
      <c r="D397" s="4009"/>
      <c r="E397" s="4009"/>
      <c r="F397" s="4009"/>
      <c r="G397" s="4009"/>
      <c r="H397" s="4009"/>
      <c r="I397" s="4009"/>
      <c r="J397" s="4009"/>
      <c r="K397" s="4009"/>
      <c r="L397" s="4009"/>
      <c r="M397" s="4009"/>
      <c r="N397" s="4009"/>
      <c r="O397" s="4009"/>
      <c r="P397" s="4010"/>
      <c r="Q397" s="427"/>
    </row>
    <row r="398" spans="1:18" ht="2.25" hidden="1" customHeight="1"/>
    <row r="399" spans="1:18" s="43" customFormat="1" ht="2.25" hidden="1" customHeight="1">
      <c r="A399" s="42"/>
      <c r="C399" s="2654"/>
      <c r="D399" s="2654"/>
      <c r="E399" s="2654"/>
      <c r="F399" s="2654"/>
      <c r="G399" s="2654"/>
      <c r="H399" s="2654"/>
      <c r="I399" s="2654"/>
      <c r="J399" s="2654"/>
      <c r="K399" s="2654"/>
      <c r="L399" s="2654"/>
      <c r="M399" s="2654"/>
      <c r="N399" s="74"/>
      <c r="O399" s="70"/>
      <c r="P399" s="777"/>
    </row>
    <row r="400" spans="1:18" s="43" customFormat="1" ht="10.5" customHeight="1" thickBot="1">
      <c r="A400" s="152"/>
      <c r="B400" s="42"/>
      <c r="C400" s="2654"/>
      <c r="D400" s="2654"/>
      <c r="E400" s="2654"/>
      <c r="F400" s="2654"/>
      <c r="G400" s="2654"/>
      <c r="H400" s="2654"/>
      <c r="I400" s="2654"/>
      <c r="J400" s="2654"/>
      <c r="K400" s="2654"/>
      <c r="L400" s="2654"/>
      <c r="M400" s="2654"/>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67</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1"/>
      <c r="O402" s="2651"/>
      <c r="P402" s="3"/>
    </row>
    <row r="403" spans="1:18" s="43" customFormat="1" ht="22.5" customHeight="1">
      <c r="A403" s="4201" t="s">
        <v>6284</v>
      </c>
      <c r="B403" s="4201"/>
      <c r="C403" s="4201"/>
      <c r="D403" s="4201"/>
      <c r="E403" s="4201"/>
      <c r="F403" s="4201"/>
      <c r="G403" s="4201"/>
      <c r="H403" s="4201"/>
      <c r="I403" s="4201"/>
      <c r="J403" s="4201"/>
      <c r="K403" s="4201"/>
      <c r="L403" s="4201"/>
      <c r="M403" s="4201"/>
      <c r="N403" s="4201"/>
      <c r="O403" s="4201"/>
      <c r="P403" s="4201"/>
    </row>
    <row r="404" spans="1:18" s="43" customFormat="1" ht="409.15" customHeight="1">
      <c r="A404" s="3966" t="s">
        <v>7038</v>
      </c>
      <c r="B404" s="3967"/>
      <c r="C404" s="3967"/>
      <c r="D404" s="3967"/>
      <c r="E404" s="3967"/>
      <c r="F404" s="3967"/>
      <c r="G404" s="3967"/>
      <c r="H404" s="3967"/>
      <c r="I404" s="3967"/>
      <c r="J404" s="3967"/>
      <c r="K404" s="3967"/>
      <c r="L404" s="3967"/>
      <c r="M404" s="3967"/>
      <c r="N404" s="3967"/>
      <c r="O404" s="3967"/>
      <c r="P404" s="3968"/>
      <c r="Q404" s="427" t="s">
        <v>1208</v>
      </c>
      <c r="R404" s="428"/>
    </row>
    <row r="405" spans="1:18" s="157" customFormat="1">
      <c r="A405" s="1831"/>
      <c r="B405" s="1831"/>
      <c r="C405" s="433" t="s">
        <v>1999</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2000</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2001</v>
      </c>
      <c r="D407" s="433"/>
      <c r="E407" s="433"/>
      <c r="F407" s="433"/>
      <c r="G407" s="433"/>
      <c r="H407" s="433"/>
      <c r="I407" s="433"/>
      <c r="J407" s="1832" t="s">
        <v>2391</v>
      </c>
      <c r="K407" s="433"/>
      <c r="L407" s="433"/>
      <c r="M407" s="433"/>
      <c r="N407" s="1812"/>
      <c r="O407" s="1833"/>
      <c r="P407" s="1833"/>
      <c r="Q407" s="1834"/>
      <c r="R407" s="1831"/>
    </row>
    <row r="408" spans="1:18" s="157" customFormat="1">
      <c r="A408" s="1831"/>
      <c r="B408" s="1831"/>
      <c r="C408" s="1835" t="s">
        <v>2002</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2040</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2035</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2036</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2037</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2038</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2039</v>
      </c>
      <c r="D420" s="433"/>
      <c r="E420" s="433"/>
      <c r="F420" s="433"/>
      <c r="G420" s="433"/>
      <c r="H420" s="433"/>
      <c r="I420" s="433"/>
      <c r="J420" s="1838" t="s">
        <v>3158</v>
      </c>
      <c r="K420" s="433"/>
      <c r="L420" s="433"/>
      <c r="M420" s="433"/>
      <c r="N420" s="1812"/>
      <c r="O420" s="1838" t="s">
        <v>3385</v>
      </c>
      <c r="P420" s="1833"/>
      <c r="Q420" s="1834"/>
      <c r="R420" s="1831"/>
    </row>
    <row r="421" spans="1:18" s="157" customFormat="1">
      <c r="A421" s="1831"/>
      <c r="B421" s="1831"/>
      <c r="C421" s="1836" t="s">
        <v>1340</v>
      </c>
      <c r="D421" s="433"/>
      <c r="E421" s="433"/>
      <c r="F421" s="433"/>
      <c r="G421" s="433"/>
      <c r="H421" s="433"/>
      <c r="I421" s="433"/>
      <c r="J421" s="1832" t="s">
        <v>3159</v>
      </c>
      <c r="K421" s="433"/>
      <c r="L421" s="433"/>
      <c r="M421" s="433"/>
      <c r="N421" s="1812"/>
      <c r="O421" s="1833"/>
      <c r="P421" s="1833"/>
      <c r="Q421" s="1834"/>
      <c r="R421" s="1831"/>
    </row>
    <row r="422" spans="1:18" s="157" customFormat="1">
      <c r="A422" s="1831"/>
      <c r="B422" s="1831"/>
      <c r="C422" s="1836" t="s">
        <v>2180</v>
      </c>
      <c r="D422" s="433"/>
      <c r="E422" s="433"/>
      <c r="F422" s="433"/>
      <c r="G422" s="433"/>
      <c r="H422" s="433"/>
      <c r="I422" s="433"/>
      <c r="J422" s="433" t="s">
        <v>3143</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3144</v>
      </c>
      <c r="K423" s="433"/>
      <c r="L423" s="433"/>
      <c r="M423" s="433"/>
      <c r="N423" s="1812"/>
      <c r="O423" s="1833">
        <v>2</v>
      </c>
      <c r="P423" s="1833"/>
      <c r="Q423" s="1834"/>
      <c r="R423" s="1831"/>
    </row>
    <row r="424" spans="1:18" s="157" customFormat="1">
      <c r="A424" s="1831"/>
      <c r="B424" s="1831"/>
      <c r="C424" s="433"/>
      <c r="D424" s="433"/>
      <c r="E424" s="433"/>
      <c r="F424" s="433"/>
      <c r="G424" s="4198" t="s">
        <v>1443</v>
      </c>
      <c r="H424" s="4198"/>
      <c r="I424" s="4198"/>
      <c r="J424" s="433" t="s">
        <v>3145</v>
      </c>
      <c r="K424" s="433"/>
      <c r="L424" s="433"/>
      <c r="M424" s="433"/>
      <c r="N424" s="1812"/>
      <c r="O424" s="1833">
        <v>2</v>
      </c>
      <c r="P424" s="1833"/>
      <c r="Q424" s="1834"/>
      <c r="R424" s="1831"/>
    </row>
    <row r="425" spans="1:18" s="157" customFormat="1">
      <c r="A425" s="1831"/>
      <c r="B425" s="1831"/>
      <c r="C425" s="433"/>
      <c r="D425" s="433"/>
      <c r="E425" s="433"/>
      <c r="F425" s="433"/>
      <c r="G425" s="1839" t="s">
        <v>4272</v>
      </c>
      <c r="H425" s="1840" t="s">
        <v>4273</v>
      </c>
      <c r="I425" s="1839" t="s">
        <v>4271</v>
      </c>
      <c r="J425" s="433" t="s">
        <v>3146</v>
      </c>
      <c r="K425" s="433"/>
      <c r="L425" s="1839"/>
      <c r="M425" s="433"/>
      <c r="N425" s="1812"/>
      <c r="O425" s="1833">
        <v>2</v>
      </c>
      <c r="P425" s="1833"/>
      <c r="Q425" s="1834"/>
      <c r="R425" s="1831"/>
    </row>
    <row r="426" spans="1:18" s="157" customFormat="1">
      <c r="A426" s="1831"/>
      <c r="B426" s="1831"/>
      <c r="C426" s="1841"/>
      <c r="D426" s="433"/>
      <c r="E426" s="433"/>
      <c r="F426" s="433"/>
      <c r="G426" s="1842" t="s">
        <v>2405</v>
      </c>
      <c r="H426" s="1840"/>
      <c r="I426" s="1842"/>
      <c r="J426" s="433" t="s">
        <v>3383</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4275</v>
      </c>
      <c r="I427" s="1839" t="s">
        <v>2544</v>
      </c>
      <c r="J427" s="1840" t="s">
        <v>3147</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4274</v>
      </c>
      <c r="J428" s="1840" t="s">
        <v>3148</v>
      </c>
      <c r="K428" s="433"/>
      <c r="L428" s="1843"/>
      <c r="M428" s="433"/>
      <c r="N428" s="1812"/>
      <c r="O428" s="1833">
        <v>1</v>
      </c>
      <c r="P428" s="1833"/>
      <c r="Q428" s="1834"/>
      <c r="R428" s="1831"/>
    </row>
    <row r="429" spans="1:18" s="157" customFormat="1">
      <c r="A429" s="1831"/>
      <c r="B429" s="1831"/>
      <c r="C429" s="1841"/>
      <c r="D429" s="433"/>
      <c r="E429" s="433"/>
      <c r="F429" s="433"/>
      <c r="G429" s="1842" t="s">
        <v>2436</v>
      </c>
      <c r="H429" s="1812" t="s">
        <v>1654</v>
      </c>
      <c r="I429" s="1839" t="s">
        <v>2544</v>
      </c>
      <c r="J429" s="1840" t="s">
        <v>3149</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4274</v>
      </c>
      <c r="J430" s="1840" t="s">
        <v>3384</v>
      </c>
      <c r="K430" s="433"/>
      <c r="L430" s="1843"/>
      <c r="M430" s="433"/>
      <c r="N430" s="1812"/>
      <c r="O430" s="1833">
        <v>1</v>
      </c>
      <c r="P430" s="1833"/>
      <c r="Q430" s="1834"/>
      <c r="R430" s="1831"/>
    </row>
    <row r="431" spans="1:18" s="157" customFormat="1">
      <c r="A431" s="1831"/>
      <c r="B431" s="1831"/>
      <c r="C431" s="1841"/>
      <c r="D431" s="433"/>
      <c r="E431" s="433"/>
      <c r="F431" s="433"/>
      <c r="G431" s="1842" t="s">
        <v>3409</v>
      </c>
      <c r="H431" s="1812">
        <v>2019</v>
      </c>
      <c r="I431" s="1812" t="s">
        <v>4274</v>
      </c>
      <c r="J431" s="1840" t="s">
        <v>3157</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2544</v>
      </c>
      <c r="J432" s="1840" t="s">
        <v>3150</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4274</v>
      </c>
      <c r="J433" s="1840" t="s">
        <v>3151</v>
      </c>
      <c r="K433" s="433"/>
      <c r="L433" s="1843"/>
      <c r="M433" s="433"/>
      <c r="N433" s="1812"/>
      <c r="O433" s="1833">
        <v>1</v>
      </c>
      <c r="P433" s="1833"/>
      <c r="Q433" s="1834"/>
      <c r="R433" s="1831"/>
    </row>
    <row r="434" spans="1:18" s="157" customFormat="1">
      <c r="A434" s="1831"/>
      <c r="B434" s="1831"/>
      <c r="C434" s="1841"/>
      <c r="D434" s="433"/>
      <c r="E434" s="433"/>
      <c r="F434" s="433"/>
      <c r="G434" s="1842" t="s">
        <v>1969</v>
      </c>
      <c r="H434" s="1812" t="s">
        <v>4275</v>
      </c>
      <c r="I434" s="1839" t="s">
        <v>2544</v>
      </c>
      <c r="J434" s="1840" t="s">
        <v>3152</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4275</v>
      </c>
      <c r="I435" s="1839" t="s">
        <v>2544</v>
      </c>
      <c r="J435" s="1840" t="s">
        <v>3153</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4274</v>
      </c>
      <c r="J436" s="1840" t="s">
        <v>3156</v>
      </c>
      <c r="K436" s="433"/>
      <c r="L436" s="1843"/>
      <c r="M436" s="433"/>
      <c r="N436" s="1812"/>
      <c r="O436" s="1833">
        <v>1</v>
      </c>
      <c r="P436" s="1833"/>
      <c r="Q436" s="1834"/>
      <c r="R436" s="1831"/>
    </row>
    <row r="437" spans="1:18" s="157" customFormat="1">
      <c r="A437" s="913" t="s">
        <v>2610</v>
      </c>
      <c r="B437" s="1831"/>
      <c r="C437" s="433"/>
      <c r="D437" s="433"/>
      <c r="E437" s="433"/>
      <c r="F437" s="433"/>
      <c r="G437" s="1842" t="s">
        <v>2047</v>
      </c>
      <c r="H437" s="1812" t="s">
        <v>4275</v>
      </c>
      <c r="I437" s="1839" t="s">
        <v>2544</v>
      </c>
      <c r="J437" s="1840" t="s">
        <v>3154</v>
      </c>
      <c r="K437" s="433"/>
      <c r="L437" s="1843"/>
      <c r="M437" s="433"/>
      <c r="N437" s="1812"/>
      <c r="O437" s="1833">
        <v>1</v>
      </c>
      <c r="P437" s="1833"/>
      <c r="Q437" s="1834"/>
      <c r="R437" s="1831"/>
    </row>
    <row r="438" spans="1:18" s="157" customFormat="1">
      <c r="A438" s="913" t="s">
        <v>2625</v>
      </c>
      <c r="B438" s="1831"/>
      <c r="C438" s="433"/>
      <c r="D438" s="433"/>
      <c r="E438" s="433"/>
      <c r="F438" s="433"/>
      <c r="G438" s="1842" t="s">
        <v>1967</v>
      </c>
      <c r="H438" s="1812">
        <v>2019</v>
      </c>
      <c r="I438" s="1812" t="s">
        <v>4274</v>
      </c>
      <c r="J438" s="1840" t="s">
        <v>3155</v>
      </c>
      <c r="K438" s="433"/>
      <c r="L438" s="1843"/>
      <c r="M438" s="433"/>
      <c r="N438" s="1812"/>
      <c r="O438" s="1833">
        <v>1</v>
      </c>
      <c r="P438" s="1833"/>
      <c r="Q438" s="1834"/>
      <c r="R438" s="1831"/>
    </row>
    <row r="439" spans="1:18" s="157" customFormat="1">
      <c r="A439" s="1844" t="s">
        <v>3126</v>
      </c>
      <c r="B439" s="1831"/>
      <c r="C439" s="433"/>
      <c r="D439" s="1841"/>
      <c r="E439" s="1841">
        <v>3</v>
      </c>
      <c r="F439" s="433"/>
      <c r="G439" s="1842" t="s">
        <v>324</v>
      </c>
      <c r="H439" s="1812">
        <v>2019</v>
      </c>
      <c r="I439" s="1812" t="s">
        <v>4274</v>
      </c>
      <c r="J439" s="433"/>
      <c r="K439" s="433"/>
      <c r="L439" s="1843"/>
      <c r="M439" s="433"/>
      <c r="N439" s="1812"/>
      <c r="O439" s="1833"/>
      <c r="P439" s="1833"/>
      <c r="Q439" s="1834"/>
      <c r="R439" s="1831"/>
    </row>
    <row r="440" spans="1:18" s="157" customFormat="1">
      <c r="A440" s="1844" t="s">
        <v>3127</v>
      </c>
      <c r="B440" s="1831"/>
      <c r="C440" s="433"/>
      <c r="D440" s="1841"/>
      <c r="E440" s="1841">
        <v>2</v>
      </c>
      <c r="F440" s="433"/>
      <c r="G440" s="1842" t="s">
        <v>839</v>
      </c>
      <c r="H440" s="1812">
        <v>2019</v>
      </c>
      <c r="I440" s="1812" t="s">
        <v>4274</v>
      </c>
      <c r="J440" s="433"/>
      <c r="K440" s="433"/>
      <c r="L440" s="1843"/>
      <c r="M440" s="433"/>
      <c r="N440" s="1812"/>
      <c r="O440" s="1833"/>
      <c r="P440" s="1833"/>
      <c r="Q440" s="1834"/>
      <c r="R440" s="1831"/>
    </row>
    <row r="441" spans="1:18" s="157" customFormat="1">
      <c r="A441" s="1844" t="s">
        <v>3128</v>
      </c>
      <c r="B441" s="1831"/>
      <c r="C441" s="433"/>
      <c r="D441" s="1841"/>
      <c r="E441" s="1841">
        <v>10</v>
      </c>
      <c r="F441" s="433"/>
      <c r="G441" s="1842" t="s">
        <v>1840</v>
      </c>
      <c r="H441" s="1812">
        <v>2019</v>
      </c>
      <c r="I441" s="1812" t="s">
        <v>4274</v>
      </c>
      <c r="J441" s="1845" t="s">
        <v>3394</v>
      </c>
      <c r="K441" s="433"/>
      <c r="L441" s="1843"/>
      <c r="M441" s="433"/>
      <c r="N441" s="1812"/>
      <c r="O441" s="1833"/>
      <c r="P441" s="1833"/>
      <c r="Q441" s="1834"/>
      <c r="R441" s="1831"/>
    </row>
    <row r="442" spans="1:18" s="157" customFormat="1">
      <c r="A442" s="1844" t="s">
        <v>2626</v>
      </c>
      <c r="B442" s="1831"/>
      <c r="C442" s="433"/>
      <c r="D442" s="1841"/>
      <c r="E442" s="1841"/>
      <c r="F442" s="433"/>
      <c r="G442" s="1842" t="s">
        <v>401</v>
      </c>
      <c r="H442" s="1812">
        <v>2019</v>
      </c>
      <c r="I442" s="1812" t="s">
        <v>4274</v>
      </c>
      <c r="J442" s="1840" t="s">
        <v>3485</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4274</v>
      </c>
      <c r="J443" s="1840" t="s">
        <v>3480</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4274</v>
      </c>
      <c r="J444" s="1840" t="s">
        <v>3387</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4275</v>
      </c>
      <c r="I445" s="1839" t="s">
        <v>2544</v>
      </c>
      <c r="J445" s="1840" t="s">
        <v>3476</v>
      </c>
      <c r="K445" s="433"/>
      <c r="L445" s="1843"/>
      <c r="M445" s="433"/>
      <c r="N445" s="1812"/>
      <c r="O445" s="1833"/>
      <c r="P445" s="1833"/>
      <c r="Q445" s="1834"/>
      <c r="R445" s="1831"/>
    </row>
    <row r="446" spans="1:18" s="157" customFormat="1">
      <c r="A446" s="1831"/>
      <c r="B446" s="1831"/>
      <c r="C446" s="1841"/>
      <c r="D446" s="433"/>
      <c r="E446" s="433"/>
      <c r="F446" s="433"/>
      <c r="G446" s="1842" t="s">
        <v>3140</v>
      </c>
      <c r="H446" s="1812">
        <v>2019</v>
      </c>
      <c r="I446" s="1812" t="s">
        <v>4274</v>
      </c>
      <c r="J446" s="1840" t="s">
        <v>3388</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4274</v>
      </c>
      <c r="J447" s="1840" t="s">
        <v>3477</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4274</v>
      </c>
      <c r="J448" s="1840" t="s">
        <v>3389</v>
      </c>
      <c r="K448" s="433"/>
      <c r="L448" s="1840"/>
      <c r="M448" s="433"/>
      <c r="N448" s="1812"/>
      <c r="O448" s="1833"/>
      <c r="P448" s="1833"/>
      <c r="Q448" s="1834"/>
      <c r="R448" s="1831"/>
    </row>
    <row r="449" spans="1:18" s="157" customFormat="1">
      <c r="A449" s="1831"/>
      <c r="B449" s="1831"/>
      <c r="C449" s="433"/>
      <c r="D449" s="433"/>
      <c r="E449" s="433"/>
      <c r="F449" s="433"/>
      <c r="G449" s="1842" t="s">
        <v>3494</v>
      </c>
      <c r="H449" s="1812" t="s">
        <v>4275</v>
      </c>
      <c r="I449" s="1839" t="s">
        <v>2544</v>
      </c>
      <c r="J449" s="1840" t="s">
        <v>3478</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4274</v>
      </c>
      <c r="J450" s="1840" t="s">
        <v>3481</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4274</v>
      </c>
      <c r="J451" s="1840" t="s">
        <v>3484</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4275</v>
      </c>
      <c r="I452" s="1839" t="s">
        <v>2544</v>
      </c>
      <c r="J452" s="1840" t="s">
        <v>3390</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4275</v>
      </c>
      <c r="I453" s="1839" t="s">
        <v>2544</v>
      </c>
      <c r="J453" s="1840" t="s">
        <v>3391</v>
      </c>
      <c r="K453" s="433"/>
      <c r="L453" s="1843"/>
      <c r="M453" s="433"/>
      <c r="N453" s="1812"/>
      <c r="O453" s="1833"/>
      <c r="P453" s="1833"/>
      <c r="Q453" s="1834"/>
      <c r="R453" s="1831"/>
    </row>
    <row r="454" spans="1:18" s="157" customFormat="1">
      <c r="A454" s="1831"/>
      <c r="B454" s="1831"/>
      <c r="C454" s="433"/>
      <c r="D454" s="1847"/>
      <c r="E454" s="433"/>
      <c r="F454" s="433"/>
      <c r="G454" s="1842" t="s">
        <v>2029</v>
      </c>
      <c r="H454" s="1812">
        <v>2020</v>
      </c>
      <c r="I454" s="1812" t="s">
        <v>4274</v>
      </c>
      <c r="J454" s="1840" t="s">
        <v>3479</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4274</v>
      </c>
      <c r="J455" s="1840" t="s">
        <v>3482</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4274</v>
      </c>
      <c r="J456" s="1840" t="s">
        <v>3483</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4274</v>
      </c>
      <c r="J457" s="1840" t="s">
        <v>3392</v>
      </c>
      <c r="K457" s="433"/>
      <c r="L457" s="1843"/>
      <c r="M457" s="433"/>
      <c r="N457" s="1812"/>
      <c r="O457" s="1833"/>
      <c r="P457" s="1833"/>
      <c r="Q457" s="1834"/>
      <c r="R457" s="1831"/>
    </row>
    <row r="458" spans="1:18" s="157" customFormat="1">
      <c r="A458" s="1831"/>
      <c r="B458" s="1831"/>
      <c r="C458" s="1846"/>
      <c r="D458" s="433"/>
      <c r="E458" s="433"/>
      <c r="F458" s="433"/>
      <c r="G458" s="1842" t="s">
        <v>2166</v>
      </c>
      <c r="H458" s="1812">
        <v>2020</v>
      </c>
      <c r="I458" s="1812" t="s">
        <v>4274</v>
      </c>
      <c r="J458" s="1840" t="s">
        <v>3393</v>
      </c>
      <c r="K458" s="433"/>
      <c r="L458" s="1843"/>
      <c r="M458" s="433"/>
      <c r="N458" s="1812"/>
      <c r="O458" s="1833"/>
      <c r="P458" s="1833"/>
      <c r="Q458" s="1834"/>
      <c r="R458" s="1831"/>
    </row>
    <row r="459" spans="1:18" s="157" customFormat="1">
      <c r="A459" s="1831"/>
      <c r="B459" s="1831"/>
      <c r="C459" s="1846"/>
      <c r="D459" s="433"/>
      <c r="E459" s="433"/>
      <c r="F459" s="433"/>
      <c r="G459" s="1842" t="s">
        <v>4269</v>
      </c>
      <c r="H459" s="1812" t="s">
        <v>4275</v>
      </c>
      <c r="I459" s="1839" t="s">
        <v>2544</v>
      </c>
      <c r="J459" s="1840"/>
      <c r="K459" s="433"/>
      <c r="L459" s="1843"/>
      <c r="M459" s="433"/>
      <c r="N459" s="1812"/>
      <c r="O459" s="1833"/>
      <c r="P459" s="1833"/>
      <c r="Q459" s="1834"/>
      <c r="R459" s="1831"/>
    </row>
    <row r="460" spans="1:18" s="157" customFormat="1">
      <c r="A460" s="1831"/>
      <c r="B460" s="1831"/>
      <c r="C460" s="1846"/>
      <c r="D460" s="433"/>
      <c r="E460" s="433"/>
      <c r="F460" s="433"/>
      <c r="G460" s="1842" t="s">
        <v>1800</v>
      </c>
      <c r="H460" s="1812" t="s">
        <v>4275</v>
      </c>
      <c r="I460" s="1839" t="s">
        <v>2544</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4275</v>
      </c>
      <c r="I461" s="1839" t="s">
        <v>2544</v>
      </c>
      <c r="J461" s="1840"/>
      <c r="K461" s="433"/>
      <c r="L461" s="1843"/>
      <c r="M461" s="433"/>
      <c r="N461" s="1812"/>
      <c r="O461" s="1833"/>
      <c r="P461" s="1833"/>
      <c r="Q461" s="1834"/>
      <c r="R461" s="1831"/>
    </row>
    <row r="462" spans="1:18" s="157" customFormat="1">
      <c r="A462" s="1831"/>
      <c r="B462" s="1831"/>
      <c r="C462" s="1846"/>
      <c r="D462" s="433"/>
      <c r="E462" s="433"/>
      <c r="F462" s="433"/>
      <c r="G462" s="1842" t="s">
        <v>2011</v>
      </c>
      <c r="H462" s="1812" t="s">
        <v>4275</v>
      </c>
      <c r="I462" s="1839" t="s">
        <v>2544</v>
      </c>
      <c r="J462" s="1840"/>
      <c r="K462" s="433"/>
      <c r="L462" s="1843"/>
      <c r="M462" s="433"/>
      <c r="N462" s="1812"/>
      <c r="O462" s="1833"/>
      <c r="P462" s="1833"/>
      <c r="Q462" s="1834"/>
      <c r="R462" s="1831"/>
    </row>
    <row r="463" spans="1:18" s="157" customFormat="1">
      <c r="A463" s="1831"/>
      <c r="B463" s="1831"/>
      <c r="C463" s="1846"/>
      <c r="D463" s="433"/>
      <c r="E463" s="433"/>
      <c r="F463" s="433"/>
      <c r="G463" s="1842" t="s">
        <v>2158</v>
      </c>
      <c r="H463" s="1812">
        <v>2020</v>
      </c>
      <c r="I463" s="1812" t="s">
        <v>4274</v>
      </c>
      <c r="J463" s="1840"/>
      <c r="K463" s="433"/>
      <c r="L463" s="1843"/>
      <c r="M463" s="433"/>
      <c r="N463" s="1812"/>
      <c r="O463" s="1833"/>
      <c r="P463" s="1833"/>
      <c r="Q463" s="1834"/>
      <c r="R463" s="1831"/>
    </row>
    <row r="464" spans="1:18" s="157" customFormat="1">
      <c r="A464" s="1831"/>
      <c r="B464" s="1831"/>
      <c r="C464" s="1846"/>
      <c r="D464" s="433"/>
      <c r="E464" s="433"/>
      <c r="F464" s="433"/>
      <c r="G464" s="1842" t="s">
        <v>2034</v>
      </c>
      <c r="H464" s="1812">
        <v>2020</v>
      </c>
      <c r="I464" s="1812" t="s">
        <v>4274</v>
      </c>
      <c r="J464" s="1840"/>
      <c r="K464" s="433"/>
      <c r="L464" s="1840"/>
      <c r="M464" s="433"/>
      <c r="N464" s="1812"/>
      <c r="O464" s="1833"/>
      <c r="P464" s="1833"/>
      <c r="Q464" s="1834"/>
      <c r="R464" s="1831"/>
    </row>
    <row r="465" spans="1:18" s="157" customFormat="1">
      <c r="A465" s="1831"/>
      <c r="B465" s="1831"/>
      <c r="C465" s="1847"/>
      <c r="D465" s="433"/>
      <c r="E465" s="433"/>
      <c r="F465" s="433"/>
      <c r="G465" s="1842" t="s">
        <v>2231</v>
      </c>
      <c r="H465" s="1812">
        <v>2019</v>
      </c>
      <c r="I465" s="1812" t="s">
        <v>4274</v>
      </c>
      <c r="J465" s="1840"/>
      <c r="K465" s="433"/>
      <c r="L465" s="1840"/>
      <c r="M465" s="433"/>
      <c r="N465" s="1812"/>
      <c r="O465" s="1833"/>
      <c r="P465" s="1833"/>
      <c r="Q465" s="1834"/>
      <c r="R465" s="1831"/>
    </row>
    <row r="466" spans="1:18" s="157" customFormat="1">
      <c r="A466" s="1831"/>
      <c r="B466" s="1831"/>
      <c r="C466" s="1847"/>
      <c r="D466" s="433"/>
      <c r="E466" s="433"/>
      <c r="F466" s="433"/>
      <c r="G466" s="1842" t="s">
        <v>4270</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4274</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4274</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4274</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4274</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4274</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4274</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4274</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4275</v>
      </c>
      <c r="I474" s="1839" t="s">
        <v>2544</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7"/>
      <c r="P476" s="2647"/>
    </row>
    <row r="477" spans="1:18" s="157" customFormat="1">
      <c r="N477" s="119"/>
      <c r="O477" s="2647"/>
      <c r="P477" s="2647"/>
    </row>
    <row r="478" spans="1:18" s="157" customFormat="1">
      <c r="N478" s="119"/>
      <c r="O478" s="2647"/>
      <c r="P478" s="2647"/>
    </row>
    <row r="479" spans="1:18" s="157" customFormat="1">
      <c r="N479" s="119"/>
      <c r="O479" s="2647"/>
      <c r="P479" s="2647"/>
    </row>
    <row r="480" spans="1:18" s="157" customFormat="1">
      <c r="N480" s="119"/>
      <c r="O480" s="2647"/>
      <c r="P480" s="2647"/>
    </row>
    <row r="481" spans="1:21" s="157" customFormat="1">
      <c r="N481" s="119"/>
      <c r="O481" s="2647"/>
      <c r="P481" s="2647"/>
    </row>
    <row r="482" spans="1:21" s="157" customFormat="1">
      <c r="N482" s="119"/>
      <c r="O482" s="2647"/>
      <c r="P482" s="2647"/>
    </row>
    <row r="483" spans="1:21" s="157" customFormat="1">
      <c r="N483" s="119"/>
      <c r="O483" s="2647"/>
      <c r="P483" s="2647"/>
    </row>
    <row r="484" spans="1:21" s="157" customFormat="1">
      <c r="N484" s="119"/>
      <c r="O484" s="2647"/>
      <c r="P484" s="2647"/>
    </row>
    <row r="485" spans="1:21" s="157" customFormat="1">
      <c r="N485" s="119"/>
      <c r="O485" s="2647"/>
      <c r="P485" s="2647"/>
    </row>
    <row r="486" spans="1:21" s="157" customFormat="1">
      <c r="N486" s="119"/>
      <c r="O486" s="2647"/>
      <c r="P486" s="2647"/>
    </row>
    <row r="487" spans="1:21" s="157" customFormat="1">
      <c r="N487" s="119"/>
      <c r="O487" s="2647"/>
      <c r="P487" s="2647"/>
    </row>
    <row r="488" spans="1:21" s="157" customFormat="1">
      <c r="N488" s="119"/>
      <c r="O488" s="2647"/>
      <c r="P488" s="2647"/>
    </row>
    <row r="489" spans="1:21" s="157" customFormat="1">
      <c r="N489" s="119"/>
      <c r="O489" s="2647"/>
      <c r="P489" s="2647"/>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mrlycdQzvcWxu7Vu+9SKl98Pwu7nRNLwmw7gk2hIMGJuJ69y+T7uBvcQfVpmOn6U0RFCH8+OGfAQEUVoX+QHmg==" saltValue="suA0gPdglL4tml+w5u5MMw==" spinCount="100000" sheet="1" objects="1" scenarios="1" selectLockedCells="1" selectUnlockedCells="1"/>
  <mergeCells count="279">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7" t="s">
        <v>2702</v>
      </c>
      <c r="B1" s="4437"/>
      <c r="C1" s="4437"/>
      <c r="D1" s="4437"/>
      <c r="E1" s="4437"/>
      <c r="F1" s="4437"/>
      <c r="G1" s="4437"/>
      <c r="H1" s="4437"/>
      <c r="I1" s="4437"/>
      <c r="J1" s="4437"/>
    </row>
    <row r="2" spans="1:16" ht="15.75">
      <c r="A2" s="4437" t="str">
        <f>'Sensitivity Analysis'!C8</f>
        <v>The Peaks at Turnberry</v>
      </c>
      <c r="B2" s="4437"/>
      <c r="C2" s="4437"/>
      <c r="D2" s="4437"/>
      <c r="E2" s="4437"/>
      <c r="F2" s="4437"/>
      <c r="G2" s="4437"/>
      <c r="H2" s="4437"/>
      <c r="I2" s="4437"/>
      <c r="J2" s="4437"/>
    </row>
    <row r="3" spans="1:16" ht="15.75">
      <c r="A3" s="4437" t="str">
        <f>'Subsidy Layering Memo'!F14</f>
        <v>Rincon, Effingham</v>
      </c>
      <c r="B3" s="4437"/>
      <c r="C3" s="4437"/>
      <c r="D3" s="4437"/>
      <c r="E3" s="4437"/>
      <c r="F3" s="4437"/>
      <c r="G3" s="4437"/>
      <c r="H3" s="4437"/>
      <c r="I3" s="4437"/>
      <c r="J3" s="4437"/>
    </row>
    <row r="4" spans="1:16" ht="15.75">
      <c r="A4" s="4438" t="s">
        <v>2703</v>
      </c>
      <c r="B4" s="4437"/>
      <c r="C4" s="4437"/>
      <c r="D4" s="4437"/>
      <c r="E4" s="4437"/>
      <c r="F4" s="4437"/>
      <c r="G4" s="4437"/>
      <c r="H4" s="4437"/>
      <c r="I4" s="4437"/>
      <c r="J4" s="4437"/>
    </row>
    <row r="5" spans="1:16" ht="5.25" customHeight="1"/>
    <row r="6" spans="1:16" ht="5.25" customHeight="1"/>
    <row r="7" spans="1:16" ht="15.75">
      <c r="A7" s="4439" t="s">
        <v>2704</v>
      </c>
      <c r="B7" s="4439"/>
      <c r="C7" s="4440"/>
      <c r="M7" s="4441"/>
      <c r="N7" s="4441"/>
      <c r="O7" s="4441"/>
      <c r="P7" s="4441"/>
    </row>
    <row r="8" spans="1:16" ht="57" customHeight="1">
      <c r="A8" s="4442" t="s">
        <v>6405</v>
      </c>
      <c r="B8" s="4442"/>
      <c r="C8" s="4442"/>
      <c r="D8" s="4442"/>
      <c r="E8" s="4442"/>
      <c r="F8" s="4442"/>
      <c r="G8" s="4442"/>
      <c r="H8" s="4442"/>
      <c r="I8" s="4442"/>
      <c r="J8" s="4442"/>
      <c r="K8" s="580"/>
    </row>
    <row r="9" spans="1:16" ht="45.75" customHeight="1">
      <c r="A9" s="444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Rincon, Effingham County, Georgia, with the development of 48 units set aside for Family.</v>
      </c>
      <c r="B9" s="4442"/>
      <c r="C9" s="4442"/>
      <c r="D9" s="4442"/>
      <c r="E9" s="4442"/>
      <c r="F9" s="4442"/>
      <c r="G9" s="4442"/>
      <c r="H9" s="4442"/>
      <c r="I9" s="4442"/>
      <c r="J9" s="4442"/>
      <c r="K9" s="580"/>
    </row>
    <row r="10" spans="1:16" ht="15.75">
      <c r="A10" s="581" t="s">
        <v>2705</v>
      </c>
    </row>
    <row r="11" spans="1:16" ht="16.5" customHeight="1">
      <c r="A11" s="4442" t="str">
        <f>'Subsidy Layering Memo'!A50</f>
        <v xml:space="preserve">Ownership entity:  (NAME) LP, a Georgia Limited Partnership, will be the ownership entity for the proposed project. </v>
      </c>
      <c r="B11" s="4444"/>
      <c r="C11" s="4444"/>
      <c r="D11" s="4444"/>
      <c r="E11" s="4444"/>
      <c r="F11" s="4444"/>
      <c r="G11" s="4444"/>
      <c r="H11" s="4444"/>
      <c r="I11" s="4444"/>
      <c r="J11" s="4442"/>
    </row>
    <row r="12" spans="1:16" ht="63.75" customHeight="1">
      <c r="A12" s="444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42"/>
      <c r="C12" s="4442"/>
      <c r="D12" s="4442"/>
      <c r="E12" s="4442"/>
      <c r="F12" s="4442"/>
      <c r="G12" s="4442"/>
      <c r="H12" s="4442"/>
      <c r="I12" s="4442"/>
      <c r="J12" s="4442"/>
    </row>
    <row r="13" spans="1:16" ht="48.75" customHeight="1">
      <c r="A13" s="444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42"/>
      <c r="C13" s="4442"/>
      <c r="D13" s="4442"/>
      <c r="E13" s="4442"/>
      <c r="F13" s="4442"/>
      <c r="G13" s="4442"/>
      <c r="H13" s="4442"/>
      <c r="I13" s="4442"/>
      <c r="J13" s="4442"/>
    </row>
    <row r="14" spans="1:16" ht="15.75">
      <c r="A14" s="581" t="s">
        <v>2706</v>
      </c>
      <c r="B14" s="582"/>
    </row>
    <row r="15" spans="1:16">
      <c r="A15" s="579" t="s">
        <v>2707</v>
      </c>
      <c r="D15" s="1337" t="s">
        <v>2708</v>
      </c>
    </row>
    <row r="16" spans="1:16">
      <c r="A16" s="579" t="s">
        <v>2709</v>
      </c>
      <c r="D16" s="1335">
        <f>'Sensitivity Analysis'!C25</f>
        <v>797864</v>
      </c>
    </row>
    <row r="17" spans="1:11">
      <c r="A17" s="583" t="s">
        <v>2710</v>
      </c>
      <c r="D17" s="1336">
        <f>'Sensitivity Analysis'!C13</f>
        <v>48</v>
      </c>
    </row>
    <row r="18" spans="1:11" ht="14.25" customHeight="1"/>
    <row r="19" spans="1:11" ht="15.75">
      <c r="A19" s="581" t="s">
        <v>2711</v>
      </c>
      <c r="B19" s="582"/>
      <c r="C19" s="582"/>
    </row>
    <row r="20" spans="1:11" ht="48.75" customHeight="1">
      <c r="A20" s="444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5"/>
      <c r="C20" s="4445"/>
      <c r="D20" s="4445"/>
      <c r="E20" s="4445"/>
      <c r="F20" s="4445"/>
      <c r="G20" s="4445"/>
      <c r="H20" s="4445"/>
      <c r="I20" s="4445"/>
      <c r="J20" s="4445"/>
    </row>
    <row r="21" spans="1:11" ht="72.75" customHeight="1">
      <c r="A21" s="4442" t="str">
        <f>'Subsidy Layering Memo'!A67</f>
        <v>To Be Determined - Synovus will make a capital contribution totaling 7198560 via the syndication of the 2021 Federal LIHTC allocation of 900000 per annum.To Be Determined - Sugar Creek Capital will make a capital contribution totaling 3756420 via the syndication of the 2021 State LIHTC allocation of 900000 per annum.</v>
      </c>
      <c r="B21" s="4442"/>
      <c r="C21" s="4442"/>
      <c r="D21" s="4442"/>
      <c r="E21" s="4442"/>
      <c r="F21" s="4442"/>
      <c r="G21" s="4442"/>
      <c r="H21" s="4442"/>
      <c r="I21" s="4442"/>
      <c r="J21" s="4442"/>
    </row>
    <row r="22" spans="1:11" ht="43.5" customHeight="1">
      <c r="A22" s="4447" t="str">
        <f>'Subsidy Layering Memo'!A68</f>
        <v xml:space="preserve">The total equity price per credit will be 1.2173 (0.8 Federal tax credit and 0.4173 State tax credit) for a (X%) ownership interest of the Federal Credits and a (X%) ownership interest of the State Credits. </v>
      </c>
      <c r="B22" s="4447"/>
      <c r="C22" s="4447"/>
      <c r="D22" s="4447"/>
      <c r="E22" s="4447"/>
      <c r="F22" s="4447"/>
      <c r="G22" s="4447"/>
      <c r="H22" s="4447"/>
      <c r="I22" s="4447"/>
      <c r="J22" s="4447"/>
    </row>
    <row r="23" spans="1:11" ht="15.75">
      <c r="A23" s="581" t="s">
        <v>6406</v>
      </c>
      <c r="B23" s="582"/>
      <c r="C23" s="582"/>
      <c r="D23" s="582"/>
      <c r="E23" s="582"/>
      <c r="F23" s="582"/>
    </row>
    <row r="24" spans="1:11" ht="102.75" customHeight="1">
      <c r="A24" s="444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6"/>
      <c r="C24" s="4446"/>
      <c r="D24" s="4446"/>
      <c r="E24" s="4446"/>
      <c r="F24" s="4446"/>
      <c r="G24" s="4446"/>
      <c r="H24" s="4446"/>
      <c r="I24" s="4446"/>
      <c r="J24" s="4446"/>
      <c r="K24" s="1088"/>
    </row>
    <row r="25" spans="1:11" ht="15" customHeight="1">
      <c r="A25" s="4443"/>
      <c r="B25" s="4443"/>
      <c r="C25" s="4443"/>
      <c r="D25" s="4443"/>
      <c r="E25" s="4443"/>
      <c r="F25" s="4443"/>
      <c r="G25" s="4443"/>
      <c r="H25" s="4443"/>
      <c r="I25" s="4443"/>
      <c r="J25" s="4443"/>
      <c r="K25" s="579" t="s">
        <v>232</v>
      </c>
    </row>
    <row r="26" spans="1:11" ht="15" customHeight="1">
      <c r="B26" s="1087"/>
      <c r="C26" s="1087"/>
      <c r="D26" s="1087"/>
      <c r="E26" s="1087"/>
      <c r="F26" s="1087"/>
      <c r="G26" s="1087"/>
      <c r="H26" s="1087"/>
      <c r="I26" s="1087" t="s">
        <v>232</v>
      </c>
      <c r="J26" s="1087"/>
    </row>
    <row r="27" spans="1:11" ht="15.75">
      <c r="A27" s="582" t="s">
        <v>2712</v>
      </c>
    </row>
    <row r="29" spans="1:11" ht="15.75" thickBot="1">
      <c r="A29" s="584"/>
      <c r="B29" s="584"/>
      <c r="C29" s="584"/>
      <c r="D29" s="584"/>
      <c r="F29" s="584"/>
      <c r="G29" s="584"/>
      <c r="H29" s="584"/>
      <c r="I29" s="584"/>
    </row>
    <row r="30" spans="1:11">
      <c r="A30" s="579" t="s">
        <v>2713</v>
      </c>
      <c r="D30" s="579" t="s">
        <v>891</v>
      </c>
      <c r="F30" s="579" t="s">
        <v>2714</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2715</v>
      </c>
      <c r="B2" s="586"/>
      <c r="C2" s="586"/>
      <c r="D2" s="586"/>
      <c r="E2" s="587"/>
      <c r="F2" s="586"/>
      <c r="G2" s="586"/>
      <c r="H2" s="586"/>
      <c r="I2" s="586"/>
      <c r="J2" s="586"/>
    </row>
    <row r="3" spans="1:10" ht="15">
      <c r="A3" s="589"/>
    </row>
    <row r="4" spans="1:10" ht="15">
      <c r="A4" s="589" t="s">
        <v>2716</v>
      </c>
      <c r="D4" s="588" t="s">
        <v>2717</v>
      </c>
    </row>
    <row r="5" spans="1:10" ht="15">
      <c r="A5" s="589"/>
    </row>
    <row r="6" spans="1:10" ht="15">
      <c r="A6" s="589" t="s">
        <v>2718</v>
      </c>
      <c r="D6" s="588" t="s">
        <v>2719</v>
      </c>
    </row>
    <row r="7" spans="1:10" ht="15">
      <c r="A7" s="589"/>
    </row>
    <row r="8" spans="1:10" ht="15">
      <c r="A8" s="589" t="s">
        <v>2720</v>
      </c>
      <c r="D8" s="590" t="s">
        <v>2721</v>
      </c>
    </row>
    <row r="9" spans="1:10" ht="15">
      <c r="A9" s="589"/>
    </row>
    <row r="10" spans="1:10" ht="15">
      <c r="A10" s="589" t="s">
        <v>2722</v>
      </c>
      <c r="D10" s="590" t="s">
        <v>2723</v>
      </c>
    </row>
    <row r="11" spans="1:10" ht="15">
      <c r="A11" s="589"/>
      <c r="D11" s="1334"/>
    </row>
    <row r="12" spans="1:10" ht="15">
      <c r="A12" s="589" t="s">
        <v>2724</v>
      </c>
      <c r="D12" s="588" t="s">
        <v>587</v>
      </c>
      <c r="F12" s="1334" t="str">
        <f>'Sensitivity Analysis'!$C$8</f>
        <v>The Peaks at Turnberry</v>
      </c>
    </row>
    <row r="13" spans="1:10" ht="15">
      <c r="A13" s="589"/>
      <c r="D13" s="588" t="s">
        <v>2725</v>
      </c>
      <c r="F13" s="1334" t="str">
        <f>'Sensitivity Analysis'!E8</f>
        <v>2021-015</v>
      </c>
    </row>
    <row r="14" spans="1:10" ht="15">
      <c r="A14" s="589"/>
      <c r="D14" s="588" t="s">
        <v>2726</v>
      </c>
      <c r="F14" s="1334" t="str">
        <f>'Sensitivity Analysis'!H8</f>
        <v>Rincon, Effingham</v>
      </c>
    </row>
    <row r="15" spans="1:10" ht="15">
      <c r="A15" s="589"/>
      <c r="D15" s="588" t="s">
        <v>3067</v>
      </c>
      <c r="F15" s="4459">
        <f>'Sensitivity Analysis'!$C$25</f>
        <v>797864</v>
      </c>
      <c r="G15" s="4459"/>
      <c r="H15" s="4459"/>
    </row>
    <row r="16" spans="1:10" ht="15">
      <c r="A16" s="589"/>
      <c r="D16" s="591" t="s">
        <v>2727</v>
      </c>
      <c r="F16" s="592">
        <f>'Sensitivity Analysis'!C13</f>
        <v>48</v>
      </c>
      <c r="G16" s="593" t="s">
        <v>3068</v>
      </c>
      <c r="H16" s="1038">
        <f>'Sensitivity Analysis'!E13</f>
        <v>48</v>
      </c>
    </row>
    <row r="17" spans="1:18" ht="15">
      <c r="A17" s="589"/>
      <c r="D17" s="591" t="s">
        <v>2692</v>
      </c>
      <c r="F17" s="592" t="str">
        <f>'Sensitivity Analysis'!C14</f>
        <v>Family</v>
      </c>
    </row>
    <row r="18" spans="1:18" ht="15">
      <c r="A18" s="589"/>
      <c r="D18" s="591" t="s">
        <v>3072</v>
      </c>
      <c r="F18" s="1334" t="str">
        <f>'Sensitivity Analysis'!H15</f>
        <v>Rural</v>
      </c>
    </row>
    <row r="19" spans="1:18" ht="15">
      <c r="A19" s="589"/>
      <c r="D19" s="591" t="s">
        <v>3069</v>
      </c>
      <c r="F19" s="1334" t="str">
        <f>'Sensitivity Analysis'!E16</f>
        <v>No</v>
      </c>
    </row>
    <row r="20" spans="1:18" ht="15">
      <c r="A20" s="589"/>
      <c r="D20" s="591"/>
    </row>
    <row r="21" spans="1:18" ht="15">
      <c r="A21" s="594" t="s">
        <v>6408</v>
      </c>
    </row>
    <row r="22" spans="1:18" ht="111.75" customHeight="1">
      <c r="A22" s="4449" t="s">
        <v>3220</v>
      </c>
      <c r="B22" s="4449"/>
      <c r="C22" s="4449"/>
      <c r="D22" s="4449"/>
      <c r="E22" s="4449"/>
      <c r="F22" s="4449"/>
      <c r="G22" s="4449"/>
      <c r="H22" s="4449"/>
      <c r="I22" s="4449"/>
      <c r="J22" s="4449"/>
      <c r="K22" s="4448" t="s">
        <v>4091</v>
      </c>
      <c r="L22" s="4448"/>
      <c r="M22" s="4448"/>
      <c r="N22" s="4448"/>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50"/>
      <c r="B24" s="4450"/>
      <c r="C24" s="4450"/>
      <c r="D24" s="4450"/>
      <c r="E24" s="4450"/>
      <c r="F24" s="4450"/>
      <c r="G24" s="4450"/>
      <c r="H24" s="4450"/>
      <c r="I24" s="4450"/>
      <c r="J24" s="4450"/>
    </row>
    <row r="25" spans="1:18" ht="10.5" hidden="1" customHeight="1">
      <c r="A25" s="4447"/>
      <c r="B25" s="4447"/>
      <c r="C25" s="4447"/>
      <c r="D25" s="4447"/>
      <c r="E25" s="4447"/>
      <c r="F25" s="4447"/>
      <c r="G25" s="4447"/>
      <c r="H25" s="4447"/>
      <c r="I25" s="4447"/>
      <c r="J25" s="4447"/>
    </row>
    <row r="26" spans="1:18" ht="15">
      <c r="A26" s="594" t="s">
        <v>6407</v>
      </c>
    </row>
    <row r="27" spans="1:18" ht="14.25" customHeight="1">
      <c r="A27" s="4451" t="s">
        <v>6409</v>
      </c>
      <c r="B27" s="4451"/>
      <c r="C27" s="4451"/>
      <c r="D27" s="4451"/>
      <c r="E27" s="4451"/>
      <c r="F27" s="4451"/>
      <c r="G27" s="4451"/>
      <c r="H27" s="4451"/>
      <c r="I27" s="4451"/>
      <c r="J27" s="4451"/>
    </row>
    <row r="28" spans="1:18" ht="14.25" customHeight="1">
      <c r="A28" s="4451"/>
      <c r="B28" s="4451"/>
      <c r="C28" s="4451"/>
      <c r="D28" s="4451"/>
      <c r="E28" s="4451"/>
      <c r="F28" s="4451"/>
      <c r="G28" s="4451"/>
      <c r="H28" s="4451"/>
      <c r="I28" s="4451"/>
      <c r="J28" s="4451"/>
    </row>
    <row r="29" spans="1:18" ht="6.75" customHeight="1">
      <c r="A29" s="4451"/>
      <c r="B29" s="4451"/>
      <c r="C29" s="4451"/>
      <c r="D29" s="4451"/>
      <c r="E29" s="4451"/>
      <c r="F29" s="4451"/>
      <c r="G29" s="4451"/>
      <c r="H29" s="4451"/>
      <c r="I29" s="4451"/>
      <c r="J29" s="4451"/>
    </row>
    <row r="30" spans="1:18" ht="21.75" customHeight="1">
      <c r="A30" s="4451"/>
      <c r="B30" s="4451"/>
      <c r="C30" s="4451"/>
      <c r="D30" s="4451"/>
      <c r="E30" s="4451"/>
      <c r="F30" s="4451"/>
      <c r="G30" s="4451"/>
      <c r="H30" s="4451"/>
      <c r="I30" s="4451"/>
      <c r="J30" s="4451"/>
    </row>
    <row r="31" spans="1:18" ht="20.25" customHeight="1">
      <c r="A31" s="4451"/>
      <c r="B31" s="4451"/>
      <c r="C31" s="4451"/>
      <c r="D31" s="4451"/>
      <c r="E31" s="4451"/>
      <c r="F31" s="4451"/>
      <c r="G31" s="4451"/>
      <c r="H31" s="4451"/>
      <c r="I31" s="4451"/>
      <c r="J31" s="4451"/>
    </row>
    <row r="32" spans="1:18" ht="54.75" customHeight="1">
      <c r="A32" s="4451"/>
      <c r="B32" s="4451"/>
      <c r="C32" s="4451"/>
      <c r="D32" s="4451"/>
      <c r="E32" s="4451"/>
      <c r="F32" s="4451"/>
      <c r="G32" s="4451"/>
      <c r="H32" s="4451"/>
      <c r="I32" s="4451"/>
      <c r="J32" s="4451"/>
    </row>
    <row r="33" spans="1:10" ht="0.75" hidden="1" customHeight="1">
      <c r="A33" s="4451"/>
      <c r="B33" s="4451"/>
      <c r="C33" s="4451"/>
      <c r="D33" s="4451"/>
      <c r="E33" s="4451"/>
      <c r="F33" s="4451"/>
      <c r="G33" s="4451"/>
      <c r="H33" s="4451"/>
      <c r="I33" s="4451"/>
      <c r="J33" s="4451"/>
    </row>
    <row r="34" spans="1:10" ht="3.75" hidden="1" customHeight="1">
      <c r="A34" s="4451"/>
      <c r="B34" s="4451"/>
      <c r="C34" s="4451"/>
      <c r="D34" s="4451"/>
      <c r="E34" s="4451"/>
      <c r="F34" s="4451"/>
      <c r="G34" s="4451"/>
      <c r="H34" s="4451"/>
      <c r="I34" s="4451"/>
      <c r="J34" s="4451"/>
    </row>
    <row r="35" spans="1:10" ht="5.25" customHeight="1">
      <c r="A35" s="1330"/>
      <c r="B35" s="1330"/>
      <c r="C35" s="1330"/>
      <c r="D35" s="1330"/>
      <c r="E35" s="1330"/>
      <c r="F35" s="1330"/>
      <c r="G35" s="1330"/>
      <c r="H35" s="1330"/>
      <c r="I35" s="1330"/>
      <c r="J35" s="1330"/>
    </row>
    <row r="36" spans="1:10" ht="19.5" customHeight="1">
      <c r="A36" s="4450" t="s">
        <v>6410</v>
      </c>
      <c r="B36" s="4450"/>
      <c r="C36" s="4450"/>
      <c r="D36" s="1328"/>
      <c r="E36" s="1328"/>
      <c r="F36" s="1328"/>
      <c r="G36" s="1328"/>
      <c r="H36" s="1328"/>
      <c r="I36" s="1328"/>
      <c r="J36" s="1328"/>
    </row>
    <row r="37" spans="1:10" ht="22.5" customHeight="1">
      <c r="A37" s="4447" t="s">
        <v>1658</v>
      </c>
      <c r="B37" s="4447"/>
      <c r="C37" s="4447"/>
      <c r="D37" s="4447"/>
      <c r="E37" s="4447"/>
      <c r="F37" s="4447"/>
      <c r="G37" s="4447"/>
      <c r="H37" s="4447"/>
      <c r="I37" s="4447"/>
      <c r="J37" s="4447"/>
    </row>
    <row r="38" spans="1:10" ht="22.5" customHeight="1">
      <c r="A38" s="4447" t="s">
        <v>1659</v>
      </c>
      <c r="B38" s="4447"/>
      <c r="C38" s="4447"/>
      <c r="D38" s="4447"/>
      <c r="E38" s="4447"/>
      <c r="F38" s="4447"/>
      <c r="G38" s="4447"/>
      <c r="H38" s="4447"/>
      <c r="I38" s="4447"/>
      <c r="J38" s="4447"/>
    </row>
    <row r="39" spans="1:10" ht="22.5" customHeight="1">
      <c r="A39" s="4447" t="s">
        <v>1660</v>
      </c>
      <c r="B39" s="4447"/>
      <c r="C39" s="4447"/>
      <c r="D39" s="4447"/>
      <c r="E39" s="4447"/>
      <c r="F39" s="4447"/>
      <c r="G39" s="4447"/>
      <c r="H39" s="4447"/>
      <c r="I39" s="4447"/>
      <c r="J39" s="4447"/>
    </row>
    <row r="40" spans="1:10" ht="22.5" customHeight="1">
      <c r="A40" s="4447" t="s">
        <v>2261</v>
      </c>
      <c r="B40" s="4447"/>
      <c r="C40" s="4447"/>
      <c r="D40" s="4447"/>
      <c r="E40" s="4447"/>
      <c r="F40" s="4447"/>
      <c r="G40" s="4447"/>
      <c r="H40" s="4447"/>
      <c r="I40" s="4447"/>
      <c r="J40" s="4447"/>
    </row>
    <row r="41" spans="1:10" ht="22.5" customHeight="1">
      <c r="A41" s="4447" t="s">
        <v>1487</v>
      </c>
      <c r="B41" s="4447"/>
      <c r="C41" s="4447"/>
      <c r="D41" s="4447"/>
      <c r="E41" s="4447"/>
      <c r="F41" s="4447"/>
      <c r="G41" s="4447"/>
      <c r="H41" s="4447"/>
      <c r="I41" s="4447"/>
      <c r="J41" s="4447"/>
    </row>
    <row r="42" spans="1:10" ht="22.5" customHeight="1">
      <c r="A42" s="4447" t="s">
        <v>1488</v>
      </c>
      <c r="B42" s="4447"/>
      <c r="C42" s="4447"/>
      <c r="D42" s="4447"/>
      <c r="E42" s="4447"/>
      <c r="F42" s="4447"/>
      <c r="G42" s="4447"/>
      <c r="H42" s="4447"/>
      <c r="I42" s="4447"/>
      <c r="J42" s="4447"/>
    </row>
    <row r="43" spans="1:10" ht="22.5" customHeight="1">
      <c r="A43" s="4447" t="s">
        <v>92</v>
      </c>
      <c r="B43" s="4447"/>
      <c r="C43" s="4447"/>
      <c r="D43" s="4447"/>
      <c r="E43" s="4447"/>
      <c r="F43" s="4447"/>
      <c r="G43" s="4447"/>
      <c r="H43" s="4447"/>
      <c r="I43" s="4447"/>
      <c r="J43" s="4447"/>
    </row>
    <row r="44" spans="1:10" ht="22.5" customHeight="1">
      <c r="A44" s="4447" t="s">
        <v>489</v>
      </c>
      <c r="B44" s="4447"/>
      <c r="C44" s="4447"/>
      <c r="D44" s="4447"/>
      <c r="E44" s="4447"/>
      <c r="F44" s="4447"/>
      <c r="G44" s="4447"/>
      <c r="H44" s="4447"/>
      <c r="I44" s="4447"/>
      <c r="J44" s="4447"/>
    </row>
    <row r="45" spans="1:10" ht="2.25" customHeight="1">
      <c r="A45" s="1328"/>
      <c r="B45" s="1328"/>
      <c r="C45" s="1328"/>
      <c r="D45" s="1328"/>
      <c r="E45" s="1328"/>
      <c r="F45" s="1328"/>
      <c r="G45" s="1328"/>
      <c r="H45" s="1328"/>
      <c r="I45" s="1328"/>
      <c r="J45" s="1328"/>
    </row>
    <row r="46" spans="1:10" ht="15">
      <c r="A46" s="594" t="s">
        <v>2728</v>
      </c>
    </row>
    <row r="47" spans="1:10" ht="135" customHeight="1">
      <c r="A47" s="4447" t="s">
        <v>6411</v>
      </c>
      <c r="B47" s="4447"/>
      <c r="C47" s="4447"/>
      <c r="D47" s="4447"/>
      <c r="E47" s="4447"/>
      <c r="F47" s="4447"/>
      <c r="G47" s="4447"/>
      <c r="H47" s="4447"/>
      <c r="I47" s="4447"/>
      <c r="J47" s="4447"/>
    </row>
    <row r="48" spans="1:10" ht="6" customHeight="1">
      <c r="A48" s="1329"/>
      <c r="B48" s="1329"/>
      <c r="C48" s="1329"/>
      <c r="D48" s="1329"/>
      <c r="E48" s="1329"/>
      <c r="F48" s="1329"/>
      <c r="G48" s="1329"/>
      <c r="H48" s="1329"/>
      <c r="I48" s="1329"/>
      <c r="J48" s="1329"/>
    </row>
    <row r="49" spans="1:12" ht="15">
      <c r="A49" s="594" t="s">
        <v>2729</v>
      </c>
    </row>
    <row r="50" spans="1:12" ht="33" customHeight="1">
      <c r="A50" s="4442" t="s">
        <v>3607</v>
      </c>
      <c r="B50" s="4444"/>
      <c r="C50" s="4444"/>
      <c r="D50" s="4444"/>
      <c r="E50" s="4444"/>
      <c r="F50" s="4444"/>
      <c r="G50" s="4444"/>
      <c r="H50" s="4444"/>
      <c r="I50" s="4444"/>
      <c r="J50" s="4442"/>
    </row>
    <row r="51" spans="1:12" ht="3" customHeight="1"/>
    <row r="52" spans="1:12" ht="72.75" customHeight="1">
      <c r="A52" s="4442" t="s">
        <v>3608</v>
      </c>
      <c r="B52" s="4442"/>
      <c r="C52" s="4442"/>
      <c r="D52" s="4442"/>
      <c r="E52" s="4442"/>
      <c r="F52" s="4442"/>
      <c r="G52" s="4442"/>
      <c r="H52" s="4442"/>
      <c r="I52" s="4442"/>
      <c r="J52" s="4442"/>
    </row>
    <row r="53" spans="1:12" ht="3" customHeight="1">
      <c r="A53" s="1328"/>
      <c r="B53" s="1328"/>
      <c r="C53" s="1328"/>
      <c r="D53" s="1328"/>
      <c r="E53" s="1328"/>
      <c r="F53" s="1328"/>
      <c r="G53" s="1328"/>
      <c r="H53" s="1328"/>
      <c r="I53" s="1328"/>
      <c r="J53" s="1328"/>
    </row>
    <row r="54" spans="1:12" ht="56.25" customHeight="1">
      <c r="A54" s="4442" t="s">
        <v>3609</v>
      </c>
      <c r="B54" s="4442"/>
      <c r="C54" s="4442"/>
      <c r="D54" s="4442"/>
      <c r="E54" s="4442"/>
      <c r="F54" s="4442"/>
      <c r="G54" s="4442"/>
      <c r="H54" s="4442"/>
      <c r="I54" s="4442"/>
      <c r="J54" s="4442"/>
    </row>
    <row r="55" spans="1:12" ht="3" customHeight="1">
      <c r="A55" s="1328"/>
      <c r="B55" s="1328"/>
      <c r="C55" s="1328"/>
      <c r="D55" s="1328"/>
      <c r="E55" s="1328"/>
      <c r="F55" s="1328"/>
      <c r="G55" s="1328"/>
      <c r="H55" s="1328"/>
      <c r="I55" s="1328"/>
      <c r="J55" s="1328"/>
    </row>
    <row r="56" spans="1:12" ht="49.5" customHeight="1">
      <c r="A56" s="4442" t="s">
        <v>3610</v>
      </c>
      <c r="B56" s="4442"/>
      <c r="C56" s="4442"/>
      <c r="D56" s="4442"/>
      <c r="E56" s="4442"/>
      <c r="F56" s="4442"/>
      <c r="G56" s="4442"/>
      <c r="H56" s="4442"/>
      <c r="I56" s="4442"/>
      <c r="J56" s="1328"/>
    </row>
    <row r="57" spans="1:12" ht="3" customHeight="1">
      <c r="A57" s="1328"/>
      <c r="B57" s="1328"/>
      <c r="C57" s="1328"/>
      <c r="D57" s="1328"/>
      <c r="E57" s="1328"/>
      <c r="F57" s="1328"/>
      <c r="G57" s="1328"/>
      <c r="H57" s="1328"/>
      <c r="I57" s="1328"/>
      <c r="J57" s="1328"/>
    </row>
    <row r="58" spans="1:12" ht="54.75" customHeight="1">
      <c r="A58" s="4464" t="s">
        <v>3077</v>
      </c>
      <c r="B58" s="4455"/>
      <c r="C58" s="4455"/>
      <c r="D58" s="4455"/>
      <c r="E58" s="4455"/>
      <c r="F58" s="4455"/>
      <c r="G58" s="4455"/>
      <c r="H58" s="4455"/>
      <c r="I58" s="4455"/>
      <c r="J58" s="1328"/>
    </row>
    <row r="59" spans="1:12" ht="3" customHeight="1">
      <c r="A59" s="1328"/>
      <c r="B59" s="1328"/>
      <c r="C59" s="1328"/>
      <c r="D59" s="1328"/>
      <c r="E59" s="1328"/>
      <c r="F59" s="1328"/>
      <c r="G59" s="1328"/>
      <c r="H59" s="1328"/>
      <c r="I59" s="1328"/>
      <c r="J59" s="1328"/>
    </row>
    <row r="60" spans="1:12" ht="62.25" customHeight="1">
      <c r="A60" s="4455" t="s">
        <v>3611</v>
      </c>
      <c r="B60" s="4455"/>
      <c r="C60" s="4455"/>
      <c r="D60" s="4455"/>
      <c r="E60" s="4455"/>
      <c r="F60" s="4455"/>
      <c r="G60" s="4455"/>
      <c r="H60" s="4455"/>
      <c r="I60" s="4455"/>
      <c r="J60" s="4455"/>
    </row>
    <row r="61" spans="1:12" ht="3" customHeight="1"/>
    <row r="62" spans="1:12" ht="73.5" customHeight="1">
      <c r="A62" s="4442" t="s">
        <v>3612</v>
      </c>
      <c r="B62" s="4442"/>
      <c r="C62" s="4442"/>
      <c r="D62" s="4442"/>
      <c r="E62" s="4442"/>
      <c r="F62" s="4442"/>
      <c r="G62" s="4442"/>
      <c r="H62" s="4442"/>
      <c r="I62" s="4442"/>
      <c r="J62" s="4442"/>
    </row>
    <row r="63" spans="1:12" ht="6" customHeight="1">
      <c r="A63" s="1328" t="s">
        <v>232</v>
      </c>
      <c r="B63" s="1328"/>
      <c r="C63" s="1328"/>
      <c r="D63" s="1328"/>
      <c r="E63" s="1328"/>
      <c r="F63" s="1328"/>
      <c r="G63" s="1328"/>
      <c r="H63" s="1328"/>
      <c r="I63" s="1328"/>
      <c r="J63" s="1328"/>
    </row>
    <row r="64" spans="1:12" ht="15">
      <c r="A64" s="594" t="s">
        <v>2730</v>
      </c>
      <c r="L64" s="595" t="s">
        <v>3212</v>
      </c>
    </row>
    <row r="65" spans="1:17" ht="46.5" customHeight="1">
      <c r="A65" s="4449" t="s">
        <v>2731</v>
      </c>
      <c r="B65" s="4449"/>
      <c r="C65" s="4449"/>
      <c r="D65" s="4449"/>
      <c r="E65" s="4449"/>
      <c r="F65" s="4449"/>
      <c r="G65" s="4449"/>
      <c r="H65" s="4449"/>
      <c r="I65" s="4449"/>
      <c r="J65" s="4449"/>
      <c r="L65" s="596">
        <f>'Closing term sheet'!C135</f>
        <v>598057.5</v>
      </c>
      <c r="M65" s="597"/>
      <c r="N65" s="597"/>
      <c r="O65" s="597"/>
    </row>
    <row r="66" spans="1:17" ht="7.5" customHeight="1">
      <c r="A66" s="1328"/>
      <c r="B66" s="1328"/>
      <c r="C66" s="1328"/>
      <c r="D66" s="1328"/>
      <c r="E66" s="1328"/>
      <c r="F66" s="1328"/>
      <c r="G66" s="1328"/>
      <c r="H66" s="1328"/>
      <c r="I66" s="1328"/>
      <c r="J66" s="1328"/>
      <c r="L66" s="598" t="s">
        <v>3213</v>
      </c>
      <c r="M66" s="599" t="s">
        <v>3218</v>
      </c>
      <c r="N66" s="600" t="s">
        <v>3215</v>
      </c>
      <c r="O66" s="598" t="s">
        <v>3214</v>
      </c>
      <c r="P66" s="599" t="s">
        <v>3217</v>
      </c>
      <c r="Q66" s="600" t="s">
        <v>3216</v>
      </c>
    </row>
    <row r="67" spans="1:17" ht="78.75" customHeight="1">
      <c r="A67" s="4455"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To Be Determined - Synovus will make a capital contribution totaling 7198560 via the syndication of the 2021 Federal LIHTC allocation of 900000 per annum.To Be Determined - Sugar Creek Capital will make a capital contribution totaling 3756420 via the syndication of the 2021 State LIHTC allocation of 900000 per annum.</v>
      </c>
      <c r="B67" s="4455"/>
      <c r="C67" s="4455"/>
      <c r="D67" s="4455"/>
      <c r="E67" s="4455"/>
      <c r="F67" s="4455"/>
      <c r="G67" s="4455"/>
      <c r="H67" s="4455"/>
      <c r="I67" s="4455"/>
      <c r="J67" s="601"/>
      <c r="L67" s="602">
        <f>'Part III-Sources of Funds'!I51</f>
        <v>7198560</v>
      </c>
      <c r="M67" s="603">
        <f>'Part IV-A-Uses of Funds'!$J$197</f>
        <v>900000</v>
      </c>
      <c r="N67" s="604">
        <f>'Part IV-A-Uses of Funds'!N188</f>
        <v>0.8</v>
      </c>
      <c r="O67" s="602">
        <f>'Part III-Sources of Funds'!I52</f>
        <v>3756420</v>
      </c>
      <c r="P67" s="603">
        <f>M67</f>
        <v>900000</v>
      </c>
      <c r="Q67" s="604">
        <f>'Part IV-A-Uses of Funds'!Q188</f>
        <v>0.4173</v>
      </c>
    </row>
    <row r="68" spans="1:17" ht="39.75" customHeight="1">
      <c r="A68" s="446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1.2173 (0.8 Federal tax credit and 0.4173 State tax credit) for a (X%) ownership interest of the Federal Credits and a (X%) ownership interest of the State Credits. </v>
      </c>
      <c r="B68" s="4465"/>
      <c r="C68" s="4465"/>
      <c r="D68" s="4465"/>
      <c r="E68" s="4465"/>
      <c r="F68" s="4465"/>
      <c r="G68" s="4465"/>
      <c r="H68" s="4465"/>
      <c r="I68" s="4465"/>
      <c r="J68" s="601"/>
      <c r="L68" s="1631"/>
      <c r="M68" s="1631"/>
      <c r="N68" s="1632"/>
      <c r="O68" s="1631"/>
      <c r="P68" s="1631"/>
      <c r="Q68" s="1632"/>
    </row>
    <row r="69" spans="1:17" ht="18.75" customHeight="1">
      <c r="A69" s="605" t="s">
        <v>2732</v>
      </c>
    </row>
    <row r="70" spans="1:17" ht="177" customHeight="1">
      <c r="A70" s="4455" t="s">
        <v>6412</v>
      </c>
      <c r="B70" s="4455"/>
      <c r="C70" s="4455"/>
      <c r="D70" s="4455"/>
      <c r="E70" s="4455"/>
      <c r="F70" s="4455"/>
      <c r="G70" s="4455"/>
      <c r="H70" s="4455"/>
      <c r="I70" s="4455"/>
      <c r="J70" s="4455"/>
      <c r="L70" s="606">
        <f>'Part VII-Pro Forma'!K72</f>
        <v>-3.6758606785352807E-8</v>
      </c>
      <c r="M70" s="4457" t="s">
        <v>3219</v>
      </c>
      <c r="N70" s="4458"/>
    </row>
    <row r="71" spans="1:17" ht="6" customHeight="1">
      <c r="A71" s="594"/>
    </row>
    <row r="72" spans="1:17" ht="15">
      <c r="A72" s="594" t="s">
        <v>2733</v>
      </c>
    </row>
    <row r="73" spans="1:17" ht="72.599999999999994" customHeight="1">
      <c r="A73" s="4455" t="s">
        <v>2734</v>
      </c>
      <c r="B73" s="4455"/>
      <c r="C73" s="4455"/>
      <c r="D73" s="4455"/>
      <c r="E73" s="4455"/>
      <c r="F73" s="4455"/>
      <c r="G73" s="4455"/>
      <c r="H73" s="4455"/>
      <c r="I73" s="4455"/>
      <c r="J73" s="4455"/>
    </row>
    <row r="74" spans="1:17" ht="36" customHeight="1">
      <c r="A74" s="4455" t="s">
        <v>2735</v>
      </c>
      <c r="B74" s="4455"/>
      <c r="C74" s="4455"/>
      <c r="D74" s="4455"/>
      <c r="E74" s="4455"/>
      <c r="F74" s="4455"/>
      <c r="G74" s="4455"/>
      <c r="H74" s="4455"/>
      <c r="I74" s="4455"/>
      <c r="J74" s="4455"/>
    </row>
    <row r="75" spans="1:17" ht="6" customHeight="1">
      <c r="A75" s="594"/>
    </row>
    <row r="76" spans="1:17" ht="15">
      <c r="A76" s="594" t="s">
        <v>2736</v>
      </c>
    </row>
    <row r="77" spans="1:17" ht="105.75" customHeight="1">
      <c r="A77" s="4442" t="s">
        <v>2737</v>
      </c>
      <c r="B77" s="4442"/>
      <c r="C77" s="4442"/>
      <c r="D77" s="4442"/>
      <c r="E77" s="4442"/>
      <c r="F77" s="4442"/>
      <c r="G77" s="4442"/>
      <c r="H77" s="4442"/>
      <c r="I77" s="4442"/>
      <c r="J77" s="4442"/>
    </row>
    <row r="78" spans="1:17" ht="6" customHeight="1">
      <c r="A78" s="594"/>
    </row>
    <row r="79" spans="1:17" ht="15">
      <c r="A79" s="594" t="s">
        <v>2738</v>
      </c>
    </row>
    <row r="80" spans="1:17" ht="66" customHeight="1">
      <c r="A80" s="4442" t="s">
        <v>2739</v>
      </c>
      <c r="B80" s="4442"/>
      <c r="C80" s="4442"/>
      <c r="D80" s="4442"/>
      <c r="E80" s="4442"/>
      <c r="F80" s="4442"/>
      <c r="G80" s="4442"/>
      <c r="H80" s="4442"/>
      <c r="I80" s="4442"/>
      <c r="J80" s="4442"/>
    </row>
    <row r="81" spans="1:15" s="1330" customFormat="1" ht="6" customHeight="1">
      <c r="A81" s="4442"/>
      <c r="B81" s="4442"/>
      <c r="C81" s="4442"/>
      <c r="D81" s="4442"/>
      <c r="E81" s="4442"/>
      <c r="F81" s="4442"/>
      <c r="G81" s="4442"/>
      <c r="H81" s="4442"/>
      <c r="I81" s="4442"/>
      <c r="J81" s="4442"/>
    </row>
    <row r="82" spans="1:15" ht="16.5" customHeight="1">
      <c r="A82" s="1332" t="s">
        <v>2740</v>
      </c>
      <c r="B82" s="593"/>
      <c r="C82" s="593"/>
      <c r="D82" s="1334"/>
      <c r="E82" s="593"/>
      <c r="F82" s="593"/>
      <c r="G82" s="593"/>
      <c r="H82" s="593"/>
      <c r="I82" s="593"/>
      <c r="J82" s="607"/>
    </row>
    <row r="83" spans="1:15" s="1330" customFormat="1" ht="63" customHeight="1">
      <c r="A83" s="4442" t="s">
        <v>3814</v>
      </c>
      <c r="B83" s="4442"/>
      <c r="C83" s="4442"/>
      <c r="D83" s="4442"/>
      <c r="E83" s="4442"/>
      <c r="F83" s="4442"/>
      <c r="G83" s="4442"/>
      <c r="H83" s="4442"/>
      <c r="I83" s="4442"/>
      <c r="J83" s="4442"/>
    </row>
    <row r="84" spans="1:15" s="1330" customFormat="1" ht="6" customHeight="1">
      <c r="A84" s="1328"/>
      <c r="B84" s="1328"/>
      <c r="C84" s="1328"/>
      <c r="D84" s="1328"/>
      <c r="E84" s="1328"/>
      <c r="F84" s="1328"/>
      <c r="G84" s="1328"/>
      <c r="H84" s="1328"/>
      <c r="I84" s="1328"/>
      <c r="J84" s="1328"/>
    </row>
    <row r="85" spans="1:15" ht="16.5" customHeight="1">
      <c r="A85" s="4453" t="s">
        <v>2741</v>
      </c>
      <c r="B85" s="4454"/>
      <c r="C85" s="4454"/>
      <c r="D85" s="593"/>
      <c r="E85" s="593"/>
      <c r="F85" s="593"/>
      <c r="G85" s="593"/>
      <c r="H85" s="593"/>
      <c r="I85" s="593"/>
      <c r="J85" s="607"/>
    </row>
    <row r="86" spans="1:15" ht="41.25" customHeight="1">
      <c r="A86" s="4455" t="s">
        <v>6413</v>
      </c>
      <c r="B86" s="4456"/>
      <c r="C86" s="4456"/>
      <c r="D86" s="4456"/>
      <c r="E86" s="4456"/>
      <c r="F86" s="4456"/>
      <c r="G86" s="4456"/>
      <c r="H86" s="4456"/>
      <c r="I86" s="4456"/>
      <c r="J86" s="4456"/>
    </row>
    <row r="87" spans="1:15" ht="6" customHeight="1">
      <c r="A87" s="608"/>
      <c r="B87" s="593"/>
      <c r="C87" s="593"/>
      <c r="D87" s="593"/>
      <c r="E87" s="593"/>
      <c r="F87" s="593"/>
      <c r="G87" s="593"/>
      <c r="H87" s="593"/>
      <c r="I87" s="593"/>
      <c r="J87" s="607"/>
    </row>
    <row r="88" spans="1:15" ht="15">
      <c r="A88" s="594" t="s">
        <v>2742</v>
      </c>
    </row>
    <row r="89" spans="1:15" ht="124.15" customHeight="1">
      <c r="A89" s="4455" t="s">
        <v>2743</v>
      </c>
      <c r="B89" s="4455"/>
      <c r="C89" s="4455"/>
      <c r="D89" s="4455"/>
      <c r="E89" s="4455"/>
      <c r="F89" s="4455"/>
      <c r="G89" s="4455"/>
      <c r="H89" s="4455"/>
      <c r="I89" s="4455"/>
      <c r="J89" s="4455"/>
      <c r="L89" s="4448" t="s">
        <v>2744</v>
      </c>
      <c r="M89" s="4448"/>
      <c r="N89" s="4448"/>
    </row>
    <row r="90" spans="1:15" ht="6" customHeight="1">
      <c r="A90" s="1331"/>
      <c r="B90" s="1331"/>
      <c r="C90" s="1331"/>
      <c r="D90" s="1331"/>
      <c r="E90" s="1331"/>
      <c r="F90" s="1331"/>
      <c r="G90" s="1331"/>
      <c r="H90" s="1331"/>
      <c r="I90" s="1331"/>
      <c r="J90" s="1331"/>
      <c r="L90" s="1333"/>
      <c r="M90" s="1333"/>
      <c r="N90" s="1333"/>
    </row>
    <row r="91" spans="1:15" ht="17.25" customHeight="1">
      <c r="A91" s="594" t="s">
        <v>2745</v>
      </c>
    </row>
    <row r="92" spans="1:15" ht="105" customHeight="1">
      <c r="A92" s="4455" t="s">
        <v>2746</v>
      </c>
      <c r="B92" s="4455"/>
      <c r="C92" s="4455"/>
      <c r="D92" s="4455"/>
      <c r="E92" s="4455"/>
      <c r="F92" s="4455"/>
      <c r="G92" s="4455"/>
      <c r="H92" s="4455"/>
      <c r="I92" s="4455"/>
      <c r="J92" s="4455"/>
      <c r="L92" s="4448" t="s">
        <v>2747</v>
      </c>
      <c r="M92" s="4448"/>
      <c r="N92" s="609" t="e">
        <f>'After-Tax Analysis'!G66</f>
        <v>#VALUE!</v>
      </c>
      <c r="O92" s="610" t="s">
        <v>2748</v>
      </c>
    </row>
    <row r="93" spans="1:15" ht="6" customHeight="1">
      <c r="A93" s="594"/>
    </row>
    <row r="94" spans="1:15" ht="15">
      <c r="A94" s="594" t="s">
        <v>2749</v>
      </c>
    </row>
    <row r="95" spans="1:15" ht="118.5" customHeight="1">
      <c r="A95" s="4442" t="s">
        <v>2750</v>
      </c>
      <c r="B95" s="4442"/>
      <c r="C95" s="4442"/>
      <c r="D95" s="4442"/>
      <c r="E95" s="4442"/>
      <c r="F95" s="4442"/>
      <c r="G95" s="4442"/>
      <c r="H95" s="4442"/>
      <c r="I95" s="4442"/>
      <c r="J95" s="4442"/>
    </row>
    <row r="96" spans="1:15" ht="20.25" customHeight="1">
      <c r="A96" s="4444" t="s">
        <v>2751</v>
      </c>
      <c r="B96" s="4444"/>
      <c r="C96" s="4444"/>
      <c r="D96" s="4442"/>
      <c r="E96" s="1328"/>
      <c r="F96" s="1328"/>
      <c r="G96" s="1328"/>
      <c r="H96" s="1328"/>
      <c r="I96" s="1328"/>
      <c r="J96" s="1328"/>
    </row>
    <row r="97" spans="1:14" ht="109.5" customHeight="1">
      <c r="A97" s="4462" t="s">
        <v>2752</v>
      </c>
      <c r="B97" s="4463"/>
      <c r="C97" s="4463"/>
      <c r="D97" s="4463"/>
      <c r="E97" s="4463"/>
      <c r="F97" s="4463"/>
      <c r="G97" s="4463"/>
      <c r="H97" s="4463"/>
      <c r="I97" s="4463"/>
      <c r="J97" s="4463"/>
    </row>
    <row r="98" spans="1:14" ht="11.25" customHeight="1">
      <c r="A98" s="594"/>
    </row>
    <row r="99" spans="1:14" ht="15">
      <c r="A99" s="594" t="s">
        <v>2753</v>
      </c>
    </row>
    <row r="100" spans="1:14" ht="110.45" customHeight="1">
      <c r="A100" s="4449" t="s">
        <v>2754</v>
      </c>
      <c r="B100" s="4449"/>
      <c r="C100" s="4449"/>
      <c r="D100" s="4449"/>
      <c r="E100" s="4449"/>
      <c r="F100" s="4449"/>
      <c r="G100" s="4449"/>
      <c r="H100" s="4449"/>
      <c r="I100" s="4449"/>
      <c r="J100" s="4449"/>
      <c r="L100" s="1041">
        <f>'Part VII-Pro Forma'!K72</f>
        <v>-3.6758606785352807E-8</v>
      </c>
      <c r="M100" s="4452" t="s">
        <v>2755</v>
      </c>
      <c r="N100" s="4452"/>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44" t="s">
        <v>2756</v>
      </c>
      <c r="B104" s="4444"/>
      <c r="C104" s="4444"/>
      <c r="D104" s="1328"/>
      <c r="E104" s="1328"/>
      <c r="F104" s="1328"/>
      <c r="G104" s="1328"/>
      <c r="H104" s="1328"/>
      <c r="I104" s="1328"/>
      <c r="J104" s="607"/>
    </row>
    <row r="105" spans="1:14" ht="37.5" customHeight="1">
      <c r="A105" s="4455" t="s">
        <v>2757</v>
      </c>
      <c r="B105" s="4455"/>
      <c r="C105" s="4455"/>
      <c r="D105" s="4455"/>
      <c r="E105" s="4455"/>
      <c r="F105" s="4455"/>
      <c r="G105" s="4455"/>
      <c r="H105" s="4455"/>
      <c r="I105" s="4455"/>
      <c r="J105" s="4455"/>
    </row>
    <row r="106" spans="1:14" ht="6" customHeight="1">
      <c r="A106" s="594"/>
    </row>
    <row r="107" spans="1:14" ht="15">
      <c r="A107" s="594" t="s">
        <v>2758</v>
      </c>
    </row>
    <row r="108" spans="1:14" ht="43.5" customHeight="1">
      <c r="A108" s="4442" t="s">
        <v>2759</v>
      </c>
      <c r="B108" s="4442"/>
      <c r="C108" s="4442"/>
      <c r="D108" s="4442"/>
      <c r="E108" s="4442"/>
      <c r="F108" s="4442"/>
      <c r="G108" s="4442"/>
      <c r="H108" s="4442"/>
      <c r="I108" s="4442"/>
      <c r="J108" s="4442"/>
    </row>
    <row r="109" spans="1:14" ht="6" customHeight="1">
      <c r="A109" s="1328"/>
      <c r="B109" s="1328"/>
      <c r="C109" s="1328"/>
      <c r="D109" s="1328"/>
      <c r="E109" s="1328"/>
      <c r="F109" s="1328"/>
      <c r="G109" s="1328"/>
      <c r="H109" s="1328"/>
      <c r="I109" s="1328"/>
      <c r="J109" s="1328"/>
    </row>
    <row r="110" spans="1:14" ht="15">
      <c r="A110" s="594" t="s">
        <v>2760</v>
      </c>
    </row>
    <row r="112" spans="1:14" ht="18.75" thickBot="1">
      <c r="A112" s="1564" t="s">
        <v>2761</v>
      </c>
      <c r="B112" s="1564"/>
      <c r="C112" s="1564"/>
      <c r="D112" s="1564"/>
      <c r="E112" s="1564"/>
      <c r="F112" s="1564"/>
      <c r="G112" s="1565"/>
      <c r="H112" s="588" t="s">
        <v>2762</v>
      </c>
      <c r="I112" s="1564"/>
      <c r="J112" s="1564"/>
    </row>
    <row r="115" spans="1:10" ht="13.9" customHeight="1" thickBot="1">
      <c r="G115" s="1565"/>
      <c r="H115" s="588" t="s">
        <v>2763</v>
      </c>
    </row>
    <row r="116" spans="1:10">
      <c r="A116" s="588" t="s">
        <v>2764</v>
      </c>
    </row>
    <row r="119" spans="1:10" ht="15" thickBot="1">
      <c r="A119" s="611"/>
      <c r="B119" s="611"/>
      <c r="C119" s="611"/>
      <c r="D119" s="611"/>
      <c r="E119" s="1562"/>
      <c r="F119" s="611"/>
      <c r="G119" s="611"/>
      <c r="H119" s="611"/>
      <c r="I119" s="611"/>
      <c r="J119" s="611"/>
    </row>
    <row r="120" spans="1:10">
      <c r="A120" s="4460" t="s">
        <v>6277</v>
      </c>
      <c r="B120" s="4460"/>
      <c r="C120" s="4460"/>
      <c r="D120" s="4460"/>
      <c r="E120" s="4461"/>
      <c r="F120" s="1560" t="s">
        <v>6278</v>
      </c>
      <c r="G120" s="1560"/>
      <c r="H120" s="1563"/>
      <c r="I120" s="1563"/>
      <c r="J120" s="1560"/>
    </row>
    <row r="122" spans="1:10" ht="15" thickBot="1">
      <c r="A122" s="588" t="s">
        <v>2765</v>
      </c>
      <c r="B122" s="611"/>
      <c r="C122" s="611"/>
      <c r="H122" s="588" t="s">
        <v>2765</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2766</v>
      </c>
      <c r="B1" s="642"/>
      <c r="C1" s="642"/>
      <c r="D1" s="642"/>
      <c r="E1" s="642"/>
      <c r="F1" s="642"/>
      <c r="G1" s="642"/>
      <c r="H1" s="642"/>
      <c r="I1" s="642"/>
      <c r="J1" s="642"/>
      <c r="K1" s="642"/>
      <c r="L1" s="582"/>
      <c r="M1" s="582"/>
    </row>
    <row r="2" spans="1:14" s="243" customFormat="1" ht="18">
      <c r="A2" s="1033" t="str">
        <f>+"Financial Analysis for:  "&amp;E8&amp;"  "&amp;C8</f>
        <v>Financial Analysis for:  2021-015  The Peaks at Turnberry</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2767</v>
      </c>
      <c r="B7" s="579"/>
      <c r="C7" s="616"/>
      <c r="D7" s="617"/>
      <c r="E7" s="617"/>
      <c r="F7" s="582" t="s">
        <v>3079</v>
      </c>
      <c r="G7" s="579"/>
      <c r="H7" s="4466"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6"/>
      <c r="J7" s="4466"/>
      <c r="K7" s="4466"/>
      <c r="L7" s="579"/>
      <c r="M7" s="579"/>
    </row>
    <row r="8" spans="1:14" ht="15.75">
      <c r="A8" s="582" t="s">
        <v>2768</v>
      </c>
      <c r="B8" s="582"/>
      <c r="C8" s="4466" t="str">
        <f>'Part I-Project Information'!F35</f>
        <v>The Peaks at Turnberry</v>
      </c>
      <c r="D8" s="4466"/>
      <c r="E8" s="1089" t="str">
        <f>'Part I-Project Information'!O7</f>
        <v>2021-015</v>
      </c>
      <c r="F8" s="618" t="s">
        <v>2769</v>
      </c>
      <c r="G8" s="617"/>
      <c r="H8" s="4466" t="str">
        <f>CONCATENATE('Part I-Project Information'!F39,", ",'Part I-Project Information'!J40)</f>
        <v>Rincon, Effingham</v>
      </c>
      <c r="I8" s="4466"/>
      <c r="J8" s="4466"/>
      <c r="K8" s="4466"/>
      <c r="L8" s="579"/>
      <c r="M8" s="619"/>
    </row>
    <row r="9" spans="1:14" ht="15.75">
      <c r="A9" s="582" t="s">
        <v>2771</v>
      </c>
      <c r="B9" s="582"/>
      <c r="C9" s="4466" t="s">
        <v>1691</v>
      </c>
      <c r="D9" s="4466"/>
      <c r="E9" s="617"/>
      <c r="F9" s="618" t="s">
        <v>2772</v>
      </c>
      <c r="G9" s="617"/>
      <c r="H9" s="4466" t="str">
        <f>'Part II-Development Team'!H6</f>
        <v>The Peaks at Turnberry, LP</v>
      </c>
      <c r="I9" s="4466"/>
      <c r="J9" s="4466"/>
      <c r="K9" s="4466"/>
      <c r="L9" s="4466"/>
      <c r="M9" s="619"/>
    </row>
    <row r="10" spans="1:14" ht="15.75">
      <c r="A10" s="582" t="s">
        <v>2774</v>
      </c>
      <c r="B10" s="579"/>
      <c r="C10" s="1089" t="str">
        <f>'Part II-Development Team'!H15</f>
        <v>NAHPA 2021 GA, Inc.</v>
      </c>
      <c r="D10" s="617"/>
      <c r="E10" s="617"/>
      <c r="F10" s="618" t="s">
        <v>3253</v>
      </c>
      <c r="G10" s="617"/>
      <c r="H10" s="4466" t="str">
        <f>'Part II-Development Team'!H34</f>
        <v>To Be Determined - Synovus</v>
      </c>
      <c r="I10" s="4466"/>
      <c r="J10" s="4466"/>
      <c r="K10" s="4466" t="str">
        <f>'Part II-Development Team'!H40</f>
        <v>To Be Determined - Sugar Creek Capital</v>
      </c>
      <c r="L10" s="4466"/>
    </row>
    <row r="11" spans="1:14" ht="15.75">
      <c r="A11" s="582" t="s">
        <v>2775</v>
      </c>
      <c r="B11" s="579"/>
      <c r="C11" s="1089" t="str">
        <f>IF('Part II-Development Team'!H21="","",'Part II-Development Team'!H21)</f>
        <v/>
      </c>
      <c r="D11" s="617"/>
      <c r="E11" s="1035" t="str">
        <f>IF('Part II-Development Team'!H27="","",'Part II-Development Team'!H27)</f>
        <v/>
      </c>
      <c r="F11" s="618" t="s">
        <v>622</v>
      </c>
      <c r="G11" s="617"/>
      <c r="H11" s="4466" t="str">
        <f>'Part II-Development Team'!H55</f>
        <v>NAHPA Development, LLC</v>
      </c>
      <c r="I11" s="4466"/>
      <c r="J11" s="4466"/>
      <c r="K11" s="4466">
        <f>'Part II-Development Team'!H61</f>
        <v>0</v>
      </c>
      <c r="L11" s="4466"/>
      <c r="M11" s="4466">
        <f>'Part II-Development Team'!H67</f>
        <v>0</v>
      </c>
      <c r="N11" s="4466"/>
    </row>
    <row r="12" spans="1:14" ht="15.75">
      <c r="A12" s="582" t="s">
        <v>2776</v>
      </c>
      <c r="B12" s="579"/>
      <c r="C12" s="1089" t="str">
        <f>'Part II-Development Team'!H87</f>
        <v>Fyffe Construction Company, Inc.</v>
      </c>
      <c r="D12" s="617"/>
      <c r="E12" s="617"/>
      <c r="F12" s="618" t="s">
        <v>2777</v>
      </c>
      <c r="G12" s="617"/>
      <c r="H12" s="4466" t="str">
        <f>'Part II-Development Team'!H93</f>
        <v>Vantage Management, LLC</v>
      </c>
      <c r="I12" s="4466"/>
      <c r="J12" s="4466"/>
      <c r="K12" s="4466"/>
      <c r="L12" s="579"/>
      <c r="M12" s="579"/>
    </row>
    <row r="13" spans="1:14" ht="15.75">
      <c r="A13" s="582" t="s">
        <v>2778</v>
      </c>
      <c r="B13" s="618"/>
      <c r="C13" s="578">
        <f>'Part VI-Revenues &amp; Expenses'!$P$67</f>
        <v>48</v>
      </c>
      <c r="E13" s="1036">
        <f>'Part VI-Revenues &amp; Expenses'!$P$63</f>
        <v>48</v>
      </c>
      <c r="F13" s="618" t="s">
        <v>3606</v>
      </c>
      <c r="G13" s="617"/>
      <c r="H13" s="1090">
        <f>'Part I-Project Information'!H71</f>
        <v>4</v>
      </c>
      <c r="I13" s="1037"/>
      <c r="J13" s="1037"/>
      <c r="K13" s="1090">
        <f>'Part I-Project Information'!P70</f>
        <v>53064</v>
      </c>
      <c r="L13" s="579"/>
      <c r="M13" s="579"/>
    </row>
    <row r="14" spans="1:14" ht="15.75">
      <c r="A14" s="582" t="s">
        <v>3070</v>
      </c>
      <c r="B14" s="579"/>
      <c r="C14" s="1090" t="str">
        <f>'Part I-Project Information'!H77</f>
        <v>Family</v>
      </c>
      <c r="D14" s="4466" t="str">
        <f>IF('Part I-Project Information'!N69=0,"",'Part I-Project Information'!N69)</f>
        <v/>
      </c>
      <c r="E14" s="4466"/>
      <c r="F14" s="618" t="s">
        <v>2779</v>
      </c>
      <c r="G14" s="617"/>
      <c r="H14" s="4467" t="s">
        <v>3221</v>
      </c>
      <c r="I14" s="4467"/>
      <c r="J14" s="4467"/>
      <c r="K14" s="4467" t="s">
        <v>3221</v>
      </c>
      <c r="L14" s="4467"/>
      <c r="M14" s="579"/>
    </row>
    <row r="15" spans="1:14" ht="15.75">
      <c r="A15" s="582" t="s">
        <v>2780</v>
      </c>
      <c r="B15" s="579"/>
      <c r="C15" s="620" t="s">
        <v>1691</v>
      </c>
      <c r="D15" s="617"/>
      <c r="E15" s="617"/>
      <c r="F15" s="618" t="s">
        <v>3071</v>
      </c>
      <c r="G15" s="617"/>
      <c r="H15" s="1089" t="str">
        <f>'Part I-Project Information'!K41</f>
        <v>Rural</v>
      </c>
      <c r="I15" s="617"/>
      <c r="J15" s="617"/>
      <c r="K15" s="617"/>
      <c r="L15" s="579"/>
      <c r="M15" s="579"/>
    </row>
    <row r="16" spans="1:14" ht="15.75">
      <c r="A16" s="582" t="s">
        <v>3248</v>
      </c>
      <c r="B16" s="579"/>
      <c r="C16" s="1089" t="str">
        <f>'Part I-Project Information'!H100</f>
        <v>Yes</v>
      </c>
      <c r="D16" s="621" t="s">
        <v>2534</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3073</v>
      </c>
      <c r="B18" s="579"/>
      <c r="C18" s="1092">
        <f>'Part IV-A-Uses of Funds'!G146</f>
        <v>11756729</v>
      </c>
      <c r="D18" s="1071">
        <f>IF(C18=0,"",$C$29/C18)</f>
        <v>6.7864454475390218E-2</v>
      </c>
      <c r="E18" s="617" t="s">
        <v>3074</v>
      </c>
      <c r="F18" s="618" t="s">
        <v>3075</v>
      </c>
      <c r="G18" s="617"/>
      <c r="H18" s="4468">
        <f>'Part IV-A-Uses of Funds'!C49</f>
        <v>7807510</v>
      </c>
      <c r="I18" s="4468"/>
      <c r="J18" s="1070">
        <f>IF(H18=0,"",$C$29/H18)</f>
        <v>0.10219186398736602</v>
      </c>
      <c r="K18" s="4466" t="s">
        <v>3076</v>
      </c>
      <c r="L18" s="4466"/>
      <c r="M18" s="579"/>
    </row>
    <row r="19" spans="1:13" ht="15.75">
      <c r="A19" s="582" t="s">
        <v>2781</v>
      </c>
      <c r="B19" s="579"/>
      <c r="C19" s="1091">
        <f>C18/C13</f>
        <v>244931.85416666666</v>
      </c>
      <c r="D19" s="617"/>
      <c r="E19" s="579"/>
      <c r="F19" s="582" t="s">
        <v>2781</v>
      </c>
      <c r="G19" s="579"/>
      <c r="H19" s="4469">
        <f>H18/C13</f>
        <v>162656.45833333334</v>
      </c>
      <c r="I19" s="4469"/>
      <c r="J19" s="579"/>
      <c r="K19" s="579"/>
      <c r="L19" s="579"/>
      <c r="M19" s="579"/>
    </row>
    <row r="20" spans="1:13" ht="15.75">
      <c r="A20" s="582" t="s">
        <v>2782</v>
      </c>
      <c r="B20" s="579"/>
      <c r="C20" s="1093">
        <f>C18/K13</f>
        <v>221.55753429820595</v>
      </c>
      <c r="D20" s="622"/>
      <c r="E20" s="623"/>
      <c r="F20" s="582" t="s">
        <v>2782</v>
      </c>
      <c r="G20" s="579"/>
      <c r="H20" s="4470">
        <f>H18/K13</f>
        <v>147.13383838383839</v>
      </c>
      <c r="I20" s="4469"/>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2783</v>
      </c>
      <c r="B23" s="626"/>
      <c r="C23" s="626"/>
      <c r="D23" s="626"/>
      <c r="E23" s="617"/>
      <c r="F23" s="617"/>
      <c r="G23" s="617"/>
      <c r="H23" s="617"/>
      <c r="I23" s="617"/>
      <c r="J23" s="617"/>
      <c r="K23" s="617"/>
      <c r="L23" s="579"/>
      <c r="M23" s="619"/>
    </row>
    <row r="24" spans="1:13" ht="27" customHeight="1">
      <c r="A24" s="579"/>
      <c r="B24" s="579"/>
      <c r="C24" s="579"/>
      <c r="D24" s="627" t="s">
        <v>2784</v>
      </c>
      <c r="E24" s="579"/>
      <c r="F24" s="579"/>
      <c r="G24" s="579"/>
      <c r="H24" s="579"/>
      <c r="I24" s="579"/>
      <c r="J24" s="579"/>
      <c r="K24" s="579"/>
      <c r="L24" s="579"/>
      <c r="M24" s="619"/>
    </row>
    <row r="25" spans="1:13" ht="15.75">
      <c r="A25" s="582" t="s">
        <v>2785</v>
      </c>
      <c r="B25" s="628" t="str">
        <f>'Part III-Sources of Funds'!E40</f>
        <v>TBD - Synovous</v>
      </c>
      <c r="C25" s="629">
        <f>'Part III-Sources of Funds'!I40</f>
        <v>797864</v>
      </c>
      <c r="D25" s="630" t="s">
        <v>2786</v>
      </c>
      <c r="E25" s="579"/>
      <c r="F25" s="617"/>
      <c r="G25" s="579" t="s">
        <v>2787</v>
      </c>
      <c r="H25" s="579"/>
      <c r="I25" s="579"/>
      <c r="K25" s="629"/>
      <c r="L25" s="617"/>
      <c r="M25" s="619"/>
    </row>
    <row r="26" spans="1:13" ht="15">
      <c r="A26" s="579"/>
      <c r="B26" s="628"/>
      <c r="C26" s="629"/>
      <c r="D26" s="630"/>
      <c r="E26" s="579"/>
      <c r="F26" s="617"/>
      <c r="G26" s="579" t="s">
        <v>2788</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2789</v>
      </c>
      <c r="H28" s="579"/>
      <c r="I28" s="579"/>
      <c r="K28" s="629"/>
      <c r="L28" s="617"/>
      <c r="M28" s="579"/>
    </row>
    <row r="29" spans="1:13" ht="16.5" thickBot="1">
      <c r="A29" s="579"/>
      <c r="B29" s="632" t="s">
        <v>2790</v>
      </c>
      <c r="C29" s="633">
        <f>SUM(C25:C27)</f>
        <v>797864</v>
      </c>
      <c r="D29" s="579"/>
      <c r="E29" s="579"/>
      <c r="F29" s="617"/>
      <c r="G29" s="579" t="s">
        <v>2791</v>
      </c>
      <c r="H29" s="579"/>
      <c r="I29" s="579"/>
      <c r="K29" s="631" t="e">
        <f>C29/K28</f>
        <v>#DIV/0!</v>
      </c>
      <c r="L29" s="617"/>
      <c r="M29" s="579"/>
    </row>
    <row r="30" spans="1:13" ht="16.5" thickTop="1">
      <c r="A30" s="582" t="s">
        <v>2792</v>
      </c>
      <c r="B30" s="632"/>
      <c r="C30" s="634">
        <f>'Part III-Sources of Funds'!$I$51+'Part III-Sources of Funds'!$I$52</f>
        <v>10954980</v>
      </c>
      <c r="D30" s="579"/>
      <c r="E30" s="579"/>
      <c r="F30" s="617"/>
      <c r="G30" s="579"/>
      <c r="H30" s="579"/>
      <c r="I30" s="579"/>
      <c r="K30" s="635"/>
      <c r="L30" s="617"/>
      <c r="M30" s="579"/>
    </row>
    <row r="31" spans="1:13" ht="15">
      <c r="A31" s="636" t="s">
        <v>2793</v>
      </c>
      <c r="B31" s="628">
        <f>'Part III-Sources of Funds'!E41</f>
        <v>0</v>
      </c>
      <c r="C31" s="629">
        <f>'Part III-Sources of Funds'!I41</f>
        <v>0</v>
      </c>
      <c r="D31" s="630"/>
      <c r="E31" s="579"/>
      <c r="F31" s="617"/>
      <c r="G31" s="579"/>
      <c r="H31" s="579"/>
      <c r="I31" s="579"/>
      <c r="K31" s="579"/>
      <c r="L31" s="617"/>
      <c r="M31" s="579"/>
    </row>
    <row r="32" spans="1:13" ht="15">
      <c r="A32" s="636" t="s">
        <v>2793</v>
      </c>
      <c r="B32" s="628">
        <f>'Part III-Sources of Funds'!E42</f>
        <v>0</v>
      </c>
      <c r="C32" s="629">
        <f>'Part III-Sources of Funds'!I42</f>
        <v>0</v>
      </c>
      <c r="D32" s="630"/>
      <c r="E32" s="579" t="s">
        <v>232</v>
      </c>
      <c r="F32" s="617"/>
      <c r="G32" s="579" t="s">
        <v>2794</v>
      </c>
      <c r="H32" s="579"/>
      <c r="I32" s="579"/>
      <c r="K32" s="629"/>
      <c r="L32" s="617"/>
      <c r="M32" s="617"/>
    </row>
    <row r="33" spans="1:13" ht="15">
      <c r="A33" s="636" t="s">
        <v>2793</v>
      </c>
      <c r="B33" s="628">
        <f>'Part III-Sources of Funds'!E43</f>
        <v>0</v>
      </c>
      <c r="C33" s="629">
        <f>'Part III-Sources of Funds'!I43</f>
        <v>0</v>
      </c>
      <c r="D33" s="630"/>
      <c r="E33" s="579"/>
      <c r="F33" s="617"/>
      <c r="G33" s="1039" t="s">
        <v>2795</v>
      </c>
      <c r="H33" s="1039"/>
      <c r="I33" s="1039"/>
      <c r="K33" s="631" t="e">
        <f>$C$29/K32</f>
        <v>#DIV/0!</v>
      </c>
      <c r="L33" s="617"/>
      <c r="M33" s="638"/>
    </row>
    <row r="34" spans="1:13" ht="15.75">
      <c r="A34" s="579"/>
      <c r="B34" s="632" t="s">
        <v>2796</v>
      </c>
      <c r="C34" s="637">
        <f>SUM(C31:C33)</f>
        <v>0</v>
      </c>
      <c r="D34" s="579"/>
      <c r="E34" s="579"/>
      <c r="F34" s="579"/>
      <c r="G34" s="579"/>
      <c r="H34" s="579"/>
      <c r="I34" s="579"/>
      <c r="K34" s="617"/>
      <c r="L34" s="579"/>
      <c r="M34" s="638"/>
    </row>
    <row r="35" spans="1:13" ht="15.75">
      <c r="A35" s="579"/>
      <c r="B35" s="632"/>
      <c r="C35" s="579"/>
      <c r="D35" s="579"/>
      <c r="E35" s="579"/>
      <c r="F35" s="579"/>
      <c r="G35" s="1039" t="s">
        <v>2797</v>
      </c>
      <c r="H35" s="1039"/>
      <c r="I35" s="1039"/>
      <c r="K35" s="639" t="e">
        <f>(C36)/K25</f>
        <v>#DIV/0!</v>
      </c>
      <c r="L35" s="579"/>
      <c r="M35" s="617"/>
    </row>
    <row r="36" spans="1:13" ht="15.75">
      <c r="A36" s="579"/>
      <c r="B36" s="632" t="s">
        <v>2798</v>
      </c>
      <c r="C36" s="637">
        <f>C29+C34</f>
        <v>797864</v>
      </c>
      <c r="D36" s="579"/>
      <c r="E36" s="579"/>
      <c r="F36" s="579"/>
      <c r="G36" s="579"/>
      <c r="H36" s="579"/>
      <c r="I36" s="579"/>
      <c r="K36" s="617"/>
      <c r="L36" s="579"/>
      <c r="M36" s="617"/>
    </row>
    <row r="37" spans="1:13" ht="15.75">
      <c r="A37" s="579"/>
      <c r="B37" s="632"/>
      <c r="C37" s="640"/>
      <c r="D37" s="579"/>
      <c r="E37" s="579"/>
      <c r="F37" s="579"/>
      <c r="G37" s="1039" t="s">
        <v>2799</v>
      </c>
      <c r="H37" s="1039"/>
      <c r="I37" s="1039"/>
      <c r="K37" s="1040" t="e">
        <f>+(C36)/K32</f>
        <v>#DIV/0!</v>
      </c>
      <c r="L37" s="579"/>
      <c r="M37" s="638"/>
    </row>
    <row r="38" spans="1:13" ht="15.75">
      <c r="A38" s="579"/>
      <c r="B38" s="632" t="s">
        <v>2800</v>
      </c>
      <c r="C38" s="641">
        <f>C36/C18</f>
        <v>6.7864454475390218E-2</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2801</v>
      </c>
      <c r="C40" s="641">
        <f>C36/H18</f>
        <v>0.10219186398736602</v>
      </c>
      <c r="D40" s="579"/>
      <c r="E40" s="579"/>
      <c r="F40" s="582"/>
      <c r="G40" s="582" t="s">
        <v>2802</v>
      </c>
      <c r="H40" s="579"/>
      <c r="I40" s="579"/>
      <c r="K40" s="631">
        <f>C30/C18</f>
        <v>0.93180509646858412</v>
      </c>
      <c r="L40" s="579"/>
      <c r="M40" s="579"/>
    </row>
    <row r="46" spans="1:13" ht="15.75">
      <c r="A46" s="642" t="s">
        <v>2803</v>
      </c>
      <c r="B46" s="612"/>
      <c r="C46" s="612"/>
      <c r="D46" s="612"/>
      <c r="E46" s="612"/>
      <c r="F46" s="612"/>
      <c r="G46" s="612"/>
      <c r="H46" s="612"/>
      <c r="I46" s="612"/>
      <c r="J46" s="612"/>
      <c r="K46" s="612"/>
      <c r="L46" s="612"/>
      <c r="M46" s="579"/>
    </row>
    <row r="47" spans="1:13" ht="15.75">
      <c r="A47" s="642" t="str">
        <f>C8</f>
        <v>The Peaks at Turnberry</v>
      </c>
      <c r="B47" s="612"/>
      <c r="C47" s="612"/>
      <c r="D47" s="612"/>
      <c r="E47" s="612"/>
      <c r="F47" s="612"/>
      <c r="G47" s="612"/>
      <c r="H47" s="612"/>
      <c r="I47" s="612"/>
      <c r="J47" s="612"/>
      <c r="K47" s="612"/>
      <c r="L47" s="612"/>
      <c r="M47" s="579"/>
    </row>
    <row r="50" spans="1:14" s="579" customFormat="1" ht="15.75">
      <c r="A50" s="582" t="s">
        <v>2804</v>
      </c>
      <c r="C50" s="643" t="s">
        <v>2805</v>
      </c>
      <c r="E50" s="644" t="s">
        <v>3222</v>
      </c>
      <c r="F50" s="645">
        <v>0.1</v>
      </c>
      <c r="G50" s="644" t="s">
        <v>3223</v>
      </c>
      <c r="H50" s="645">
        <v>0.05</v>
      </c>
      <c r="I50" s="644" t="s">
        <v>3224</v>
      </c>
      <c r="J50" s="645">
        <v>0.03</v>
      </c>
      <c r="K50" s="4471" t="s">
        <v>2806</v>
      </c>
      <c r="L50" s="4472"/>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2807</v>
      </c>
      <c r="C52" s="648">
        <f>'Part VII-Pro Forma'!B15</f>
        <v>365520</v>
      </c>
      <c r="D52" s="648"/>
      <c r="E52" s="648">
        <f>$C$52</f>
        <v>365520</v>
      </c>
      <c r="F52" s="648"/>
      <c r="G52" s="648">
        <f>$C$52</f>
        <v>365520</v>
      </c>
      <c r="H52" s="648"/>
      <c r="I52" s="648">
        <f>$C$52</f>
        <v>365520</v>
      </c>
      <c r="J52" s="648"/>
      <c r="K52" s="648">
        <f>$C$52</f>
        <v>365520</v>
      </c>
      <c r="L52" s="649"/>
      <c r="M52" s="27"/>
      <c r="N52" s="27"/>
    </row>
    <row r="53" spans="1:14" s="579" customFormat="1" ht="18.75" customHeight="1">
      <c r="B53" s="647" t="s">
        <v>2810</v>
      </c>
      <c r="C53" s="648">
        <f>'Part VII-Pro Forma'!B16</f>
        <v>7310.4000000000005</v>
      </c>
      <c r="D53" s="648"/>
      <c r="E53" s="648">
        <f>$C$53</f>
        <v>7310.4000000000005</v>
      </c>
      <c r="F53" s="648"/>
      <c r="G53" s="648">
        <f>$C$53</f>
        <v>7310.4000000000005</v>
      </c>
      <c r="H53" s="648"/>
      <c r="I53" s="648">
        <f>$C$53</f>
        <v>7310.4000000000005</v>
      </c>
      <c r="J53" s="648"/>
      <c r="K53" s="648">
        <f>$C$53</f>
        <v>7310.4000000000005</v>
      </c>
      <c r="L53" s="649"/>
      <c r="M53" s="27"/>
      <c r="N53" s="27"/>
    </row>
    <row r="54" spans="1:14" s="579" customFormat="1" ht="18.75" customHeight="1">
      <c r="B54" s="647" t="s">
        <v>2808</v>
      </c>
      <c r="C54" s="648">
        <f>'Part VII-Pro Forma'!B17</f>
        <v>-26098.128000000004</v>
      </c>
      <c r="D54" s="648"/>
      <c r="E54" s="648">
        <f>-($C$52+E53)*F50</f>
        <v>-37283.040000000001</v>
      </c>
      <c r="F54" s="650"/>
      <c r="G54" s="648">
        <f>-($C$52+G53)*0.07</f>
        <v>-26098.128000000004</v>
      </c>
      <c r="H54" s="648"/>
      <c r="I54" s="648">
        <f>-($C$52+I53)*0.07</f>
        <v>-26098.128000000004</v>
      </c>
      <c r="J54" s="648"/>
      <c r="K54" s="648">
        <f>-($C$52+K53)*L54</f>
        <v>-37283.040000000001</v>
      </c>
      <c r="L54" s="651">
        <v>0.1</v>
      </c>
      <c r="M54" s="27"/>
      <c r="N54" s="27"/>
    </row>
    <row r="55" spans="1:14" s="579" customFormat="1" ht="18.75" customHeight="1">
      <c r="B55" s="647" t="s">
        <v>2809</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2811</v>
      </c>
      <c r="C56" s="654">
        <f>SUM(C52:C55)</f>
        <v>346732.272</v>
      </c>
      <c r="D56" s="648"/>
      <c r="E56" s="654">
        <f>SUM(E52:E55)</f>
        <v>335547.36000000004</v>
      </c>
      <c r="F56" s="648"/>
      <c r="G56" s="654">
        <f>SUM(G52:G55)</f>
        <v>346732.272</v>
      </c>
      <c r="H56" s="648"/>
      <c r="I56" s="654">
        <f>SUM(I52:I55)</f>
        <v>346732.272</v>
      </c>
      <c r="J56" s="648"/>
      <c r="K56" s="654">
        <f>SUM(K52:K55)</f>
        <v>335547.36000000004</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2812</v>
      </c>
      <c r="C58" s="648">
        <f>+'Part VI-Revenues &amp; Expenses'!F224+'Part VI-Revenues &amp; Expenses'!F233+'Part VI-Revenues &amp; Expenses'!L220+'Part VI-Revenues &amp; Expenses'!L228</f>
        <v>68160</v>
      </c>
      <c r="D58" s="648"/>
      <c r="E58" s="648">
        <f>$C$58</f>
        <v>68160</v>
      </c>
      <c r="F58" s="648"/>
      <c r="G58" s="648">
        <f>$C$58</f>
        <v>68160</v>
      </c>
      <c r="H58" s="648"/>
      <c r="I58" s="648">
        <f>$C$58</f>
        <v>68160</v>
      </c>
      <c r="J58" s="648"/>
      <c r="K58" s="648">
        <f>$C$58</f>
        <v>68160</v>
      </c>
      <c r="L58" s="649"/>
      <c r="M58" s="27"/>
      <c r="N58" s="27"/>
    </row>
    <row r="59" spans="1:14" s="579" customFormat="1" ht="18.75" customHeight="1">
      <c r="B59" s="647" t="s">
        <v>2813</v>
      </c>
      <c r="C59" s="648">
        <f>+'Part VI-Revenues &amp; Expenses'!F244</f>
        <v>23520</v>
      </c>
      <c r="D59" s="648"/>
      <c r="E59" s="648">
        <f>$C$59</f>
        <v>23520</v>
      </c>
      <c r="F59" s="648"/>
      <c r="G59" s="648">
        <f>$C$59</f>
        <v>23520</v>
      </c>
      <c r="H59" s="648"/>
      <c r="I59" s="648">
        <f>$C$59</f>
        <v>23520</v>
      </c>
      <c r="J59" s="648"/>
      <c r="K59" s="648">
        <f>$C$59*(1+$L$59)</f>
        <v>24460.799999999999</v>
      </c>
      <c r="L59" s="656">
        <v>0.04</v>
      </c>
      <c r="M59" s="27"/>
      <c r="N59" s="27"/>
    </row>
    <row r="60" spans="1:14" s="579" customFormat="1" ht="18.75" customHeight="1">
      <c r="B60" s="647" t="s">
        <v>1326</v>
      </c>
      <c r="C60" s="648">
        <f>+'Part VI-Revenues &amp; Expenses'!L237</f>
        <v>16520</v>
      </c>
      <c r="D60" s="648"/>
      <c r="E60" s="648">
        <f>$C$60</f>
        <v>16520</v>
      </c>
      <c r="F60" s="648"/>
      <c r="G60" s="648">
        <f>$C$60</f>
        <v>16520</v>
      </c>
      <c r="H60" s="648"/>
      <c r="I60" s="648">
        <f>$C$60*(1+$J$50)</f>
        <v>17015.600000000002</v>
      </c>
      <c r="J60" s="650"/>
      <c r="K60" s="648">
        <f>$C$60*(1+$J$50)</f>
        <v>17015.600000000002</v>
      </c>
      <c r="L60" s="651">
        <v>0.03</v>
      </c>
      <c r="M60" s="27"/>
      <c r="N60" s="27"/>
    </row>
    <row r="61" spans="1:14" s="579" customFormat="1" ht="18.75" customHeight="1">
      <c r="B61" s="647" t="s">
        <v>1327</v>
      </c>
      <c r="C61" s="648">
        <f>+'Part VI-Revenues &amp; Expenses'!L244</f>
        <v>51516</v>
      </c>
      <c r="D61" s="648"/>
      <c r="E61" s="648">
        <f>$C$61</f>
        <v>51516</v>
      </c>
      <c r="F61" s="648"/>
      <c r="G61" s="648">
        <f>$C$61*(1+H50)</f>
        <v>54091.8</v>
      </c>
      <c r="H61" s="650"/>
      <c r="I61" s="648">
        <f>$C$61</f>
        <v>51516</v>
      </c>
      <c r="J61" s="648"/>
      <c r="K61" s="648">
        <f>$C$61*(1+$L$61)</f>
        <v>54091.8</v>
      </c>
      <c r="L61" s="651">
        <v>0.05</v>
      </c>
      <c r="M61" s="27"/>
      <c r="N61" s="27"/>
    </row>
    <row r="62" spans="1:14" s="579" customFormat="1" ht="18.75" customHeight="1">
      <c r="B62" s="653" t="s">
        <v>2814</v>
      </c>
      <c r="C62" s="654">
        <f>SUM(C58:C61)</f>
        <v>159716</v>
      </c>
      <c r="D62" s="648"/>
      <c r="E62" s="654">
        <f>SUM(E58:E61)</f>
        <v>159716</v>
      </c>
      <c r="F62" s="648"/>
      <c r="G62" s="654">
        <f>SUM(G58:G61)</f>
        <v>162291.79999999999</v>
      </c>
      <c r="H62" s="648"/>
      <c r="I62" s="654">
        <f>SUM(I58:I61)</f>
        <v>160211.6</v>
      </c>
      <c r="J62" s="648"/>
      <c r="K62" s="654">
        <f>SUM(K58:K61)</f>
        <v>163728.20000000001</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2815</v>
      </c>
      <c r="C64" s="660">
        <f>C56-C62</f>
        <v>187016.272</v>
      </c>
      <c r="D64" s="660"/>
      <c r="E64" s="660">
        <f>E56-E62</f>
        <v>175831.36000000004</v>
      </c>
      <c r="F64" s="660"/>
      <c r="G64" s="660">
        <f>G56-G62</f>
        <v>184440.47200000001</v>
      </c>
      <c r="H64" s="660"/>
      <c r="I64" s="660">
        <f>I56-I62</f>
        <v>186520.67199999999</v>
      </c>
      <c r="J64" s="660"/>
      <c r="K64" s="660">
        <f>K56-K62</f>
        <v>171819.16000000003</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2816</v>
      </c>
      <c r="C66" s="655">
        <f>'Part VI-Revenues &amp; Expenses'!Q231</f>
        <v>12000</v>
      </c>
      <c r="D66" s="655"/>
      <c r="E66" s="655">
        <f>$C$66</f>
        <v>12000</v>
      </c>
      <c r="F66" s="655"/>
      <c r="G66" s="655">
        <f>$C$66</f>
        <v>12000</v>
      </c>
      <c r="H66" s="655"/>
      <c r="I66" s="655">
        <f>$C$66</f>
        <v>12000</v>
      </c>
      <c r="J66" s="655"/>
      <c r="K66" s="655">
        <f>$C$66</f>
        <v>12000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2817</v>
      </c>
      <c r="C68" s="655">
        <f>'Part VI-Revenues &amp; Expenses'!Q217</f>
        <v>31206</v>
      </c>
      <c r="D68" s="655"/>
      <c r="E68" s="655">
        <f>$C$68</f>
        <v>31206</v>
      </c>
      <c r="F68" s="655"/>
      <c r="G68" s="655">
        <f>$C$68</f>
        <v>31206</v>
      </c>
      <c r="H68" s="655"/>
      <c r="I68" s="655">
        <f>$C$68</f>
        <v>31206</v>
      </c>
      <c r="J68" s="655"/>
      <c r="K68" s="655">
        <f>$C$68</f>
        <v>31206</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2818</v>
      </c>
      <c r="C70" s="663">
        <f>C64-C66-C68</f>
        <v>143810.272</v>
      </c>
      <c r="D70" s="664"/>
      <c r="E70" s="663">
        <f>E64-E66-E68</f>
        <v>132625.36000000004</v>
      </c>
      <c r="F70" s="664"/>
      <c r="G70" s="663">
        <f>G64-G66-G68</f>
        <v>141234.47200000001</v>
      </c>
      <c r="H70" s="664"/>
      <c r="I70" s="663">
        <f>I64-I66-I68</f>
        <v>143314.67199999999</v>
      </c>
      <c r="J70" s="664"/>
      <c r="K70" s="663">
        <f>K64-K66-K68</f>
        <v>128613.16000000003</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2819</v>
      </c>
      <c r="C72" s="1072">
        <f>-C70/C75</f>
        <v>1.3999536572704705</v>
      </c>
      <c r="D72" s="666"/>
      <c r="E72" s="1072">
        <f>-E70/E75</f>
        <v>1.2910715986881163</v>
      </c>
      <c r="F72" s="666"/>
      <c r="G72" s="1072">
        <f>-G70/G75</f>
        <v>1.3748789489047339</v>
      </c>
      <c r="H72" s="666"/>
      <c r="I72" s="1072">
        <f>-I70/I75</f>
        <v>1.3951291268465016</v>
      </c>
      <c r="J72" s="666"/>
      <c r="K72" s="1072">
        <f>-K70/K75</f>
        <v>1.2520139292630796</v>
      </c>
      <c r="L72" s="667"/>
      <c r="M72" s="243"/>
      <c r="N72" s="243"/>
    </row>
    <row r="73" spans="1:14" s="579" customFormat="1" ht="18.75" customHeight="1">
      <c r="A73" s="27"/>
      <c r="B73" s="647" t="s">
        <v>2820</v>
      </c>
      <c r="C73" s="1073">
        <f>C76/C62</f>
        <v>0.25723940459508193</v>
      </c>
      <c r="D73" s="668"/>
      <c r="E73" s="1073">
        <f>E76/E62</f>
        <v>0.18720940133930322</v>
      </c>
      <c r="F73" s="668"/>
      <c r="G73" s="1073">
        <f>G76/G62</f>
        <v>0.23728524019271532</v>
      </c>
      <c r="H73" s="668"/>
      <c r="I73" s="1073">
        <f>I76/I62</f>
        <v>0.25335024894769226</v>
      </c>
      <c r="J73" s="668"/>
      <c r="K73" s="1073">
        <f>K76/K62</f>
        <v>0.1581165415872656</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2821</v>
      </c>
      <c r="C75" s="648">
        <f>+SUM('Part VII-Pro Forma'!B26:B29)</f>
        <v>-102725.02325569189</v>
      </c>
      <c r="D75" s="648"/>
      <c r="E75" s="648">
        <f>$C$75</f>
        <v>-102725.02325569189</v>
      </c>
      <c r="F75" s="648"/>
      <c r="G75" s="648">
        <f>$C$75</f>
        <v>-102725.02325569189</v>
      </c>
      <c r="H75" s="648"/>
      <c r="I75" s="648">
        <f>$C$75</f>
        <v>-102725.02325569189</v>
      </c>
      <c r="J75" s="648"/>
      <c r="K75" s="648">
        <f>$C$75</f>
        <v>-102725.02325569189</v>
      </c>
      <c r="L75" s="33"/>
      <c r="M75" s="27"/>
      <c r="N75" s="27"/>
    </row>
    <row r="76" spans="1:14" s="579" customFormat="1" ht="18.75" customHeight="1">
      <c r="A76" s="27"/>
      <c r="B76" s="647" t="s">
        <v>1122</v>
      </c>
      <c r="C76" s="648">
        <f>C70+C75</f>
        <v>41085.248744308105</v>
      </c>
      <c r="D76" s="648"/>
      <c r="E76" s="648">
        <f>E70+E75</f>
        <v>29900.336744308152</v>
      </c>
      <c r="F76" s="648"/>
      <c r="G76" s="648">
        <f>G70+G75</f>
        <v>38509.448744308116</v>
      </c>
      <c r="H76" s="648"/>
      <c r="I76" s="648">
        <f>I70+I75</f>
        <v>40589.648744308099</v>
      </c>
      <c r="J76" s="648"/>
      <c r="K76" s="648">
        <f>K70+K75</f>
        <v>25888.13674430814</v>
      </c>
      <c r="L76" s="33"/>
      <c r="M76" s="27"/>
      <c r="N76" s="27"/>
    </row>
    <row r="77" spans="1:14" s="579" customFormat="1" ht="15" hidden="1">
      <c r="A77" s="27"/>
      <c r="B77" s="647" t="s">
        <v>2822</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2823</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2824</v>
      </c>
      <c r="C80" s="671" t="e">
        <f>MIN(C77,E77,G77,I77,K77)</f>
        <v>#NAME?</v>
      </c>
      <c r="D80" s="657"/>
      <c r="E80" s="657" t="s">
        <v>2825</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3570</v>
      </c>
    </row>
    <row r="3" spans="1:7" ht="3" customHeight="1"/>
    <row r="4" spans="1:7">
      <c r="A4" s="1020" t="s">
        <v>3571</v>
      </c>
      <c r="B4" s="1021">
        <f>+'Part IV-A-Uses of Funds'!$G$146</f>
        <v>11756729</v>
      </c>
    </row>
    <row r="5" spans="1:7">
      <c r="A5" s="1020" t="s">
        <v>3602</v>
      </c>
      <c r="B5" s="1021">
        <f>+B18+B26+B38</f>
        <v>914254.68612673192</v>
      </c>
    </row>
    <row r="6" spans="1:7">
      <c r="A6" s="1020" t="s">
        <v>3572</v>
      </c>
      <c r="B6" s="1022">
        <f>+B5-B4</f>
        <v>-10842474.313873269</v>
      </c>
    </row>
    <row r="7" spans="1:7">
      <c r="A7" s="1020" t="s">
        <v>3573</v>
      </c>
      <c r="B7" s="1023">
        <f>+B6/B4</f>
        <v>-0.92223562471102882</v>
      </c>
    </row>
    <row r="8" spans="1:7" ht="9" customHeight="1"/>
    <row r="9" spans="1:7">
      <c r="A9" s="1020" t="s">
        <v>3574</v>
      </c>
      <c r="B9" s="1021">
        <f>+B18+B26+B33</f>
        <v>914254.68612673192</v>
      </c>
    </row>
    <row r="10" spans="1:7">
      <c r="A10" s="1020" t="s">
        <v>3572</v>
      </c>
      <c r="B10" s="1022">
        <f>+B9-B4</f>
        <v>-10842474.313873269</v>
      </c>
    </row>
    <row r="11" spans="1:7">
      <c r="A11" s="1020" t="s">
        <v>3573</v>
      </c>
      <c r="B11" s="1023">
        <f>+B10/B4</f>
        <v>-0.92223562471102882</v>
      </c>
    </row>
    <row r="12" spans="1:7" ht="24" customHeight="1"/>
    <row r="13" spans="1:7">
      <c r="A13" s="1019" t="s">
        <v>3575</v>
      </c>
      <c r="D13" s="1078" t="s">
        <v>3819</v>
      </c>
      <c r="E13" s="1079"/>
    </row>
    <row r="14" spans="1:7">
      <c r="A14" s="1020" t="s">
        <v>3576</v>
      </c>
      <c r="B14" s="1024">
        <f>+SUM('Part III-Sources of Funds'!L51:M52)</f>
        <v>10955700</v>
      </c>
      <c r="D14" s="1079"/>
      <c r="E14" s="1079"/>
    </row>
    <row r="15" spans="1:7">
      <c r="A15" s="1020" t="s">
        <v>3577</v>
      </c>
      <c r="B15" s="1025">
        <f>+'Part IV-A-Uses of Funds'!J186</f>
        <v>1095886.5</v>
      </c>
      <c r="D15" s="1079" t="s">
        <v>1954</v>
      </c>
      <c r="G15" s="1080">
        <f>'Part IV-A-Uses of Funds'!J168</f>
        <v>13865459.4</v>
      </c>
    </row>
    <row r="16" spans="1:7" ht="12.75" customHeight="1">
      <c r="D16" s="1079" t="s">
        <v>3820</v>
      </c>
      <c r="G16" s="1084">
        <v>3.2800000000000003E-2</v>
      </c>
    </row>
    <row r="17" spans="1:7" ht="12.75" customHeight="1">
      <c r="A17" s="1020" t="s">
        <v>3578</v>
      </c>
      <c r="B17" s="1083">
        <v>1.45</v>
      </c>
      <c r="D17" s="1079" t="s">
        <v>3821</v>
      </c>
      <c r="G17" s="1085">
        <v>1.45</v>
      </c>
    </row>
    <row r="18" spans="1:7" ht="12.75" customHeight="1">
      <c r="A18" s="1020" t="s">
        <v>3579</v>
      </c>
      <c r="B18" s="1026">
        <f>+'Part IV-A-Uses of Funds'!J196*B17*10</f>
        <v>0</v>
      </c>
      <c r="D18" s="1079" t="s">
        <v>3822</v>
      </c>
      <c r="G18" s="1085">
        <v>3.28</v>
      </c>
    </row>
    <row r="19" spans="1:7" ht="12.75" customHeight="1">
      <c r="D19" s="1079" t="s">
        <v>3823</v>
      </c>
      <c r="G19" s="1081">
        <f>+G15*G16*G17*10</f>
        <v>6594412.4906400014</v>
      </c>
    </row>
    <row r="20" spans="1:7">
      <c r="A20" s="1020" t="s">
        <v>3580</v>
      </c>
      <c r="B20" s="1024">
        <f>+B18-B14</f>
        <v>-10955700</v>
      </c>
      <c r="D20" s="1079" t="s">
        <v>3824</v>
      </c>
      <c r="G20" s="1082">
        <f>+B14-G19</f>
        <v>4361287.5093599986</v>
      </c>
    </row>
    <row r="21" spans="1:7">
      <c r="A21" s="1020" t="s">
        <v>3581</v>
      </c>
      <c r="B21" s="1023">
        <f>+B20/B14</f>
        <v>-1</v>
      </c>
      <c r="D21" s="1079" t="s">
        <v>3825</v>
      </c>
      <c r="G21" s="1079" t="str">
        <f>+IF(G20&gt;(B28+B35),"No","Yes")</f>
        <v>No</v>
      </c>
    </row>
    <row r="22" spans="1:7" ht="24" customHeight="1"/>
    <row r="23" spans="1:7">
      <c r="A23" s="1019" t="s">
        <v>3582</v>
      </c>
    </row>
    <row r="24" spans="1:7">
      <c r="A24" s="1020" t="s">
        <v>3583</v>
      </c>
      <c r="B24" s="1027">
        <f>+SUM('Part III-Sources of Funds'!I40:J43)</f>
        <v>797864</v>
      </c>
    </row>
    <row r="25" spans="1:7">
      <c r="A25" s="1020" t="s">
        <v>3584</v>
      </c>
      <c r="B25" s="1028">
        <f>IF('Part III-Sources of Funds'!E6="Yes","N/A",MAX(B46:P46))</f>
        <v>-17116.870077641448</v>
      </c>
    </row>
    <row r="26" spans="1:7">
      <c r="A26" s="1020" t="s">
        <v>3585</v>
      </c>
      <c r="B26" s="1018">
        <f>IFERROR(PV('Part III-Sources of Funds'!K40,'Part III-Sources of Funds'!L40,B25+B45),B24)</f>
        <v>914254.68612673192</v>
      </c>
    </row>
    <row r="27" spans="1:7" ht="9" customHeight="1">
      <c r="B27" s="1018"/>
    </row>
    <row r="28" spans="1:7">
      <c r="A28" s="1020" t="s">
        <v>3586</v>
      </c>
      <c r="B28" s="1029">
        <f>+B26-B24</f>
        <v>116390.68612673192</v>
      </c>
      <c r="C28" s="1030"/>
    </row>
    <row r="29" spans="1:7">
      <c r="A29" s="1020" t="s">
        <v>3581</v>
      </c>
      <c r="B29" s="1031">
        <f>+B28/B24</f>
        <v>0.14587785152197857</v>
      </c>
    </row>
    <row r="30" spans="1:7" ht="24" customHeight="1"/>
    <row r="31" spans="1:7">
      <c r="A31" s="1019" t="s">
        <v>3511</v>
      </c>
    </row>
    <row r="32" spans="1:7">
      <c r="A32" s="1020" t="s">
        <v>3587</v>
      </c>
      <c r="B32" s="1032">
        <f>+'Part III-Sources of Funds'!I45</f>
        <v>3885</v>
      </c>
    </row>
    <row r="33" spans="1:11">
      <c r="A33" s="1020" t="s">
        <v>3588</v>
      </c>
      <c r="B33" s="1018"/>
    </row>
    <row r="34" spans="1:11" ht="9" customHeight="1">
      <c r="B34" s="1018"/>
    </row>
    <row r="35" spans="1:11">
      <c r="A35" s="1020" t="s">
        <v>3589</v>
      </c>
      <c r="B35" s="1032">
        <f>+B33-B32</f>
        <v>-3885</v>
      </c>
    </row>
    <row r="36" spans="1:11">
      <c r="A36" s="1020" t="s">
        <v>3590</v>
      </c>
      <c r="B36" s="1017">
        <f>+B35/B32</f>
        <v>-1</v>
      </c>
    </row>
    <row r="37" spans="1:11" ht="24" customHeight="1">
      <c r="B37" s="1018"/>
    </row>
    <row r="38" spans="1:11">
      <c r="A38" s="1019" t="s">
        <v>3591</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3592</v>
      </c>
      <c r="B42" s="1018"/>
    </row>
    <row r="43" spans="1:11">
      <c r="A43" s="1020" t="s">
        <v>2369</v>
      </c>
      <c r="B43" s="1086">
        <v>1</v>
      </c>
      <c r="C43" s="1086">
        <v>2</v>
      </c>
      <c r="D43" s="1086">
        <v>3</v>
      </c>
      <c r="E43" s="1086">
        <v>4</v>
      </c>
      <c r="F43" s="1086">
        <v>5</v>
      </c>
      <c r="G43" s="1086">
        <v>6</v>
      </c>
      <c r="H43" s="1086">
        <v>7</v>
      </c>
      <c r="I43" s="1086">
        <v>8</v>
      </c>
      <c r="J43" s="1086">
        <v>9</v>
      </c>
      <c r="K43" s="1086">
        <v>10</v>
      </c>
    </row>
    <row r="44" spans="1:11">
      <c r="A44" s="1020" t="s">
        <v>1157</v>
      </c>
      <c r="B44" s="1021">
        <f>+'Part VII-Pro Forma'!B25</f>
        <v>143810.272</v>
      </c>
      <c r="C44" s="1021">
        <f>+'Part VII-Pro Forma'!C25</f>
        <v>144969.43744000004</v>
      </c>
      <c r="D44" s="1021">
        <f>+'Part VII-Pro Forma'!D25</f>
        <v>146099.75138879998</v>
      </c>
      <c r="E44" s="1021">
        <f>+'Part VII-Pro Forma'!E25</f>
        <v>147200.351372576</v>
      </c>
      <c r="F44" s="1021">
        <f>+'Part VII-Pro Forma'!F25</f>
        <v>148268.29130470756</v>
      </c>
      <c r="G44" s="1021">
        <f>+'Part VII-Pro Forma'!G25</f>
        <v>149300.53842262205</v>
      </c>
      <c r="H44" s="1021">
        <f>+'Part VII-Pro Forma'!H25</f>
        <v>150295.97012164956</v>
      </c>
      <c r="I44" s="1021">
        <f>+'Part VII-Pro Forma'!I25</f>
        <v>151251.37068257469</v>
      </c>
      <c r="J44" s="1021">
        <f>+'Part VII-Pro Forma'!J25</f>
        <v>152164.4278894733</v>
      </c>
      <c r="K44" s="1021">
        <f>+'Part VII-Pro Forma'!K25</f>
        <v>153032.7295343072</v>
      </c>
    </row>
    <row r="45" spans="1:11">
      <c r="A45" s="1020" t="s">
        <v>3593</v>
      </c>
      <c r="B45" s="1021">
        <f>SUM('Part VII-Pro Forma'!B26:B29)</f>
        <v>-102725.02325569189</v>
      </c>
      <c r="C45" s="1021">
        <f>SUM('Part VII-Pro Forma'!C26:C29)</f>
        <v>-102725.02325569189</v>
      </c>
      <c r="D45" s="1021">
        <f>SUM('Part VII-Pro Forma'!D26:D29)</f>
        <v>-102725.02325569189</v>
      </c>
      <c r="E45" s="1021">
        <f>SUM('Part VII-Pro Forma'!E26:E29)</f>
        <v>-102725.02325569189</v>
      </c>
      <c r="F45" s="1021">
        <f>SUM('Part VII-Pro Forma'!F26:F29)</f>
        <v>-102725.02325569189</v>
      </c>
      <c r="G45" s="1021">
        <f>SUM('Part VII-Pro Forma'!G26:G29)</f>
        <v>-102725.02325569189</v>
      </c>
      <c r="H45" s="1021">
        <f>SUM('Part VII-Pro Forma'!H26:H29)</f>
        <v>-102725.02325569189</v>
      </c>
      <c r="I45" s="1021">
        <f>SUM('Part VII-Pro Forma'!I26:I29)</f>
        <v>-102725.02325569189</v>
      </c>
      <c r="J45" s="1021">
        <f>SUM('Part VII-Pro Forma'!J26:J29)</f>
        <v>-102725.02325569189</v>
      </c>
      <c r="K45" s="1021">
        <f>SUM('Part VII-Pro Forma'!K26:K29)</f>
        <v>-102725.02325569189</v>
      </c>
    </row>
    <row r="46" spans="1:11">
      <c r="A46" s="1020" t="s">
        <v>3594</v>
      </c>
      <c r="B46" s="1022">
        <f t="shared" ref="B46:K46" si="0">-B44/B48-B45</f>
        <v>-17116.870077641448</v>
      </c>
      <c r="C46" s="1022">
        <f t="shared" si="0"/>
        <v>-18082.841277641477</v>
      </c>
      <c r="D46" s="1022">
        <f t="shared" si="0"/>
        <v>-19024.769568308096</v>
      </c>
      <c r="E46" s="1022">
        <f t="shared" si="0"/>
        <v>-19941.936221454773</v>
      </c>
      <c r="F46" s="1022">
        <f t="shared" si="0"/>
        <v>-20831.886164897747</v>
      </c>
      <c r="G46" s="1022">
        <f t="shared" si="0"/>
        <v>-21692.092096493157</v>
      </c>
      <c r="H46" s="1022">
        <f t="shared" si="0"/>
        <v>-22521.618512349407</v>
      </c>
      <c r="I46" s="1022">
        <f t="shared" si="0"/>
        <v>-23317.785646453689</v>
      </c>
      <c r="J46" s="1022">
        <f t="shared" si="0"/>
        <v>-24078.666652202533</v>
      </c>
      <c r="K46" s="1022">
        <f t="shared" si="0"/>
        <v>-24802.251356230787</v>
      </c>
    </row>
    <row r="48" spans="1:11">
      <c r="A48" s="1020" t="s">
        <v>3595</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143810.272</v>
      </c>
      <c r="C51" s="1022">
        <f t="shared" ref="C51:K51" si="2">+C44</f>
        <v>144969.43744000004</v>
      </c>
      <c r="D51" s="1022">
        <f t="shared" si="2"/>
        <v>146099.75138879998</v>
      </c>
      <c r="E51" s="1022">
        <f t="shared" si="2"/>
        <v>147200.351372576</v>
      </c>
      <c r="F51" s="1022">
        <f t="shared" si="2"/>
        <v>148268.29130470756</v>
      </c>
      <c r="G51" s="1022">
        <f t="shared" si="2"/>
        <v>149300.53842262205</v>
      </c>
      <c r="H51" s="1022">
        <f t="shared" si="2"/>
        <v>150295.97012164956</v>
      </c>
      <c r="I51" s="1022">
        <f t="shared" si="2"/>
        <v>151251.37068257469</v>
      </c>
      <c r="J51" s="1022">
        <f t="shared" si="2"/>
        <v>152164.4278894733</v>
      </c>
      <c r="K51" s="1022">
        <f t="shared" si="2"/>
        <v>153032.7295343072</v>
      </c>
    </row>
    <row r="52" spans="1:17">
      <c r="A52" s="1020" t="s">
        <v>3596</v>
      </c>
      <c r="B52" s="1022">
        <f>IF($B$25="N/A",B45,B45+$B$25)</f>
        <v>-119841.89333333334</v>
      </c>
      <c r="C52" s="1022">
        <f t="shared" ref="C52:K52" si="3">IF($B$25="N/A",C45,C45+$B$25)</f>
        <v>-119841.89333333334</v>
      </c>
      <c r="D52" s="1022">
        <f t="shared" si="3"/>
        <v>-119841.89333333334</v>
      </c>
      <c r="E52" s="1022">
        <f t="shared" si="3"/>
        <v>-119841.89333333334</v>
      </c>
      <c r="F52" s="1022">
        <f t="shared" si="3"/>
        <v>-119841.89333333334</v>
      </c>
      <c r="G52" s="1022">
        <f t="shared" si="3"/>
        <v>-119841.89333333334</v>
      </c>
      <c r="H52" s="1022">
        <f t="shared" si="3"/>
        <v>-119841.89333333334</v>
      </c>
      <c r="I52" s="1022">
        <f t="shared" si="3"/>
        <v>-119841.89333333334</v>
      </c>
      <c r="J52" s="1022">
        <f t="shared" si="3"/>
        <v>-119841.89333333334</v>
      </c>
      <c r="K52" s="1022">
        <f t="shared" si="3"/>
        <v>-119841.89333333334</v>
      </c>
    </row>
    <row r="53" spans="1:17">
      <c r="A53" s="1020" t="s">
        <v>3597</v>
      </c>
      <c r="B53" s="1021">
        <f>+'Part VII-Pro Forma'!B31</f>
        <v>-5400</v>
      </c>
      <c r="C53" s="1021">
        <f>+'Part VII-Pro Forma'!C31</f>
        <v>-5400</v>
      </c>
      <c r="D53" s="1021">
        <f>+'Part VII-Pro Forma'!D31</f>
        <v>-5400</v>
      </c>
      <c r="E53" s="1021">
        <f>+'Part VII-Pro Forma'!E31</f>
        <v>-5400</v>
      </c>
      <c r="F53" s="1021">
        <f>+'Part VII-Pro Forma'!F31</f>
        <v>-5400</v>
      </c>
      <c r="G53" s="1021">
        <f>+'Part VII-Pro Forma'!G31</f>
        <v>-5400</v>
      </c>
      <c r="H53" s="1021">
        <f>+'Part VII-Pro Forma'!H31</f>
        <v>-5400</v>
      </c>
      <c r="I53" s="1021">
        <f>+'Part VII-Pro Forma'!I31</f>
        <v>-5400</v>
      </c>
      <c r="J53" s="1021">
        <f>+'Part VII-Pro Forma'!J31</f>
        <v>-5400</v>
      </c>
      <c r="K53" s="1021">
        <f>+'Part VII-Pro Forma'!K31</f>
        <v>-5400</v>
      </c>
    </row>
    <row r="54" spans="1:17">
      <c r="A54" s="1020" t="s">
        <v>3598</v>
      </c>
      <c r="B54" s="1022">
        <f>+SUM(B51:B53)</f>
        <v>18568.378666666656</v>
      </c>
      <c r="C54" s="1022">
        <f t="shared" ref="C54:K54" si="4">+SUM(C51:C53)</f>
        <v>19727.544106666697</v>
      </c>
      <c r="D54" s="1022">
        <f t="shared" si="4"/>
        <v>20857.858055466641</v>
      </c>
      <c r="E54" s="1022">
        <f t="shared" si="4"/>
        <v>21958.458039242658</v>
      </c>
      <c r="F54" s="1022">
        <f t="shared" si="4"/>
        <v>23026.397971374216</v>
      </c>
      <c r="G54" s="1022">
        <f t="shared" si="4"/>
        <v>24058.645089288708</v>
      </c>
      <c r="H54" s="1022">
        <f t="shared" si="4"/>
        <v>25054.076788316219</v>
      </c>
      <c r="I54" s="1022">
        <f t="shared" si="4"/>
        <v>26009.477349241351</v>
      </c>
      <c r="J54" s="1022">
        <f t="shared" si="4"/>
        <v>26922.534556139959</v>
      </c>
      <c r="K54" s="1022">
        <f t="shared" si="4"/>
        <v>27790.836200973863</v>
      </c>
    </row>
    <row r="55" spans="1:17">
      <c r="A55" s="1020" t="s">
        <v>3511</v>
      </c>
      <c r="B55" s="1022">
        <f>-B54</f>
        <v>-18568.378666666656</v>
      </c>
      <c r="C55" s="1022">
        <f t="shared" ref="C55:K55" si="5">-C54</f>
        <v>-19727.544106666697</v>
      </c>
      <c r="D55" s="1022">
        <f t="shared" si="5"/>
        <v>-20857.858055466641</v>
      </c>
      <c r="E55" s="1022">
        <f t="shared" si="5"/>
        <v>-21958.458039242658</v>
      </c>
      <c r="F55" s="1022">
        <f t="shared" si="5"/>
        <v>-23026.397971374216</v>
      </c>
      <c r="G55" s="1022">
        <f t="shared" si="5"/>
        <v>-24058.645089288708</v>
      </c>
      <c r="H55" s="1022">
        <f t="shared" si="5"/>
        <v>-25054.076788316219</v>
      </c>
      <c r="I55" s="1022">
        <f t="shared" si="5"/>
        <v>-26009.477349241351</v>
      </c>
      <c r="J55" s="1022">
        <f t="shared" si="5"/>
        <v>-26922.534556139959</v>
      </c>
      <c r="K55" s="1022">
        <f t="shared" si="5"/>
        <v>-27790.836200973863</v>
      </c>
    </row>
    <row r="56" spans="1:17">
      <c r="A56" s="1020" t="s">
        <v>3599</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3600</v>
      </c>
      <c r="B58" s="1021">
        <f>IF($B$26="","",-FV('Part III-Sources of Funds'!$K$40/12,12,B52/12,B26))</f>
        <v>840656.96843018581</v>
      </c>
      <c r="C58" s="1021">
        <f>IF($B$26="","",-FV('Part III-Sources of Funds'!$K$40/12,12,C52/12,B58))</f>
        <v>763101.02661708428</v>
      </c>
      <c r="D58" s="1021">
        <f>IF($B$26="","",-FV('Part III-Sources of Funds'!$K$40/12,12,D52/12,C58))</f>
        <v>681373.9799263489</v>
      </c>
      <c r="E58" s="1021">
        <f>IF($B$26="","",-FV('Part III-Sources of Funds'!$K$40/12,12,E52/12,D58))</f>
        <v>595251.49846792244</v>
      </c>
      <c r="F58" s="1021">
        <f>IF($B$26="","",-FV('Part III-Sources of Funds'!$K$40/12,12,F52/12,E58))</f>
        <v>504497.18746701087</v>
      </c>
      <c r="G58" s="1021">
        <f>IF($B$26="","",-FV('Part III-Sources of Funds'!$K$40/12,12,G52/12,F58))</f>
        <v>408861.93839181931</v>
      </c>
      <c r="H58" s="1021">
        <f>IF($B$26="","",-FV('Part III-Sources of Funds'!$K$40/12,12,H52/12,G58))</f>
        <v>308083.24518371321</v>
      </c>
      <c r="I58" s="1021">
        <f>IF($B$26="","",-FV('Part III-Sources of Funds'!$K$40/12,12,I52/12,H58))</f>
        <v>201884.48371294711</v>
      </c>
      <c r="J58" s="1021">
        <f>IF($B$26="","",-FV('Part III-Sources of Funds'!$K$40/12,12,J52/12,I58))</f>
        <v>89974.152482163467</v>
      </c>
      <c r="K58" s="1021">
        <f>IF($B$26="","",-FV('Part III-Sources of Funds'!$K$40/12,12,K52/12,J58))</f>
        <v>-27954.927506506952</v>
      </c>
    </row>
    <row r="59" spans="1:17">
      <c r="A59" s="1020" t="s">
        <v>3512</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3592</v>
      </c>
    </row>
    <row r="63" spans="1:17">
      <c r="A63" s="1020" t="s">
        <v>2369</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153852.75980464916</v>
      </c>
      <c r="C64" s="1021">
        <f>+'Part VII-Pro Forma'!C57</f>
        <v>154621.89555078748</v>
      </c>
      <c r="D64" s="1021">
        <f>+'Part VII-Pro Forma'!D57</f>
        <v>155337.40242835021</v>
      </c>
      <c r="E64" s="1021">
        <f>+'Part VII-Pro Forma'!E57</f>
        <v>155996.43091246032</v>
      </c>
      <c r="F64" s="1021">
        <f>+'Part VII-Pro Forma'!F57</f>
        <v>156594.01217931908</v>
      </c>
      <c r="G64" s="1021">
        <f>+'Part VII-Pro Forma'!G57</f>
        <v>157129.05385097314</v>
      </c>
      <c r="H64" s="1021">
        <f>+'Part VII-Pro Forma'!H57</f>
        <v>157596.33559890257</v>
      </c>
      <c r="I64" s="1021">
        <f>+'Part VII-Pro Forma'!I57</f>
        <v>157992.50460191775</v>
      </c>
      <c r="J64" s="1021">
        <f>+'Part VII-Pro Forma'!J57</f>
        <v>158314.07085372423</v>
      </c>
      <c r="K64" s="1021">
        <f>+'Part VII-Pro Forma'!K57</f>
        <v>158557.40231536009</v>
      </c>
    </row>
    <row r="65" spans="1:11">
      <c r="A65" s="1020" t="s">
        <v>3593</v>
      </c>
      <c r="B65" s="1021">
        <f>SUM('Part VII-Pro Forma'!B58:B61)</f>
        <v>0</v>
      </c>
      <c r="C65" s="1021">
        <f>SUM('Part VII-Pro Forma'!C58:C61)</f>
        <v>0</v>
      </c>
      <c r="D65" s="1021">
        <f>SUM('Part VII-Pro Forma'!D58:D61)</f>
        <v>0</v>
      </c>
      <c r="E65" s="1021">
        <f>SUM('Part VII-Pro Forma'!E58:E61)</f>
        <v>0</v>
      </c>
      <c r="F65" s="1021">
        <f>SUM('Part VII-Pro Forma'!F58:F61)</f>
        <v>0</v>
      </c>
      <c r="G65" s="1021">
        <f>SUM('Part VII-Pro Forma'!G58:G61)</f>
        <v>0</v>
      </c>
      <c r="H65" s="1021">
        <f>SUM('Part VII-Pro Forma'!H58:H61)</f>
        <v>0</v>
      </c>
      <c r="I65" s="1021">
        <f>SUM('Part VII-Pro Forma'!I58:I61)</f>
        <v>0</v>
      </c>
      <c r="J65" s="1021">
        <f>SUM('Part VII-Pro Forma'!J58:J61)</f>
        <v>0</v>
      </c>
      <c r="K65" s="1021">
        <f>SUM('Part VII-Pro Forma'!K58:K61)</f>
        <v>0</v>
      </c>
    </row>
    <row r="66" spans="1:11">
      <c r="A66" s="1020" t="s">
        <v>3594</v>
      </c>
      <c r="B66" s="1022">
        <f t="shared" ref="B66:K66" si="7">-B64/B68-B65</f>
        <v>-128210.63317054097</v>
      </c>
      <c r="C66" s="1022">
        <f t="shared" si="7"/>
        <v>-128851.57962565623</v>
      </c>
      <c r="D66" s="1022">
        <f t="shared" si="7"/>
        <v>-129447.83535695852</v>
      </c>
      <c r="E66" s="1022">
        <f t="shared" si="7"/>
        <v>-129997.02576038361</v>
      </c>
      <c r="F66" s="1022">
        <f t="shared" si="7"/>
        <v>-130495.01014943256</v>
      </c>
      <c r="G66" s="1022">
        <f t="shared" si="7"/>
        <v>-130940.87820914428</v>
      </c>
      <c r="H66" s="1022">
        <f t="shared" si="7"/>
        <v>-131330.27966575214</v>
      </c>
      <c r="I66" s="1022">
        <f t="shared" si="7"/>
        <v>-131660.42050159813</v>
      </c>
      <c r="J66" s="1022">
        <f t="shared" si="7"/>
        <v>-131928.39237810354</v>
      </c>
      <c r="K66" s="1022">
        <f t="shared" si="7"/>
        <v>-132131.16859613342</v>
      </c>
    </row>
    <row r="68" spans="1:11">
      <c r="A68" s="1020" t="s">
        <v>3595</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153852.75980464916</v>
      </c>
      <c r="C71" s="1022">
        <f t="shared" si="9"/>
        <v>154621.89555078748</v>
      </c>
      <c r="D71" s="1022">
        <f t="shared" si="9"/>
        <v>155337.40242835021</v>
      </c>
      <c r="E71" s="1022">
        <f t="shared" si="9"/>
        <v>155996.43091246032</v>
      </c>
      <c r="F71" s="1022">
        <f t="shared" si="9"/>
        <v>156594.01217931908</v>
      </c>
      <c r="G71" s="1022">
        <f t="shared" si="9"/>
        <v>157129.05385097314</v>
      </c>
      <c r="H71" s="1022">
        <f>+H64</f>
        <v>157596.33559890257</v>
      </c>
      <c r="I71" s="1022">
        <f>+I64</f>
        <v>157992.50460191775</v>
      </c>
      <c r="J71" s="1022">
        <f>+J64</f>
        <v>158314.07085372423</v>
      </c>
      <c r="K71" s="1022">
        <f>+K64</f>
        <v>158557.40231536009</v>
      </c>
    </row>
    <row r="72" spans="1:11">
      <c r="A72" s="1020" t="s">
        <v>3596</v>
      </c>
      <c r="B72" s="1022">
        <f t="shared" ref="B72:G72" si="10">IF($B$25="N/A",B65,B65+$B$25)</f>
        <v>-17116.870077641448</v>
      </c>
      <c r="C72" s="1022">
        <f t="shared" si="10"/>
        <v>-17116.870077641448</v>
      </c>
      <c r="D72" s="1022">
        <f t="shared" si="10"/>
        <v>-17116.870077641448</v>
      </c>
      <c r="E72" s="1022">
        <f t="shared" si="10"/>
        <v>-17116.870077641448</v>
      </c>
      <c r="F72" s="1022">
        <f t="shared" si="10"/>
        <v>-17116.870077641448</v>
      </c>
      <c r="G72" s="1022">
        <f t="shared" si="10"/>
        <v>-17116.870077641448</v>
      </c>
      <c r="H72" s="1022">
        <f>IF($B$25="N/A",H65,H65+$B$25)</f>
        <v>-17116.870077641448</v>
      </c>
      <c r="I72" s="1022">
        <f>IF($B$25="N/A",I65,I65+$B$25)</f>
        <v>-17116.870077641448</v>
      </c>
      <c r="J72" s="1022">
        <f>IF($B$25="N/A",J65,J65+$B$25)</f>
        <v>-17116.870077641448</v>
      </c>
      <c r="K72" s="1022">
        <f>IF($B$25="N/A",K65,K65+$B$25)</f>
        <v>-17116.870077641448</v>
      </c>
    </row>
    <row r="73" spans="1:11">
      <c r="A73" s="1020" t="s">
        <v>3597</v>
      </c>
      <c r="B73" s="1021">
        <f>+'Part VII-Pro Forma'!B63</f>
        <v>-5400</v>
      </c>
      <c r="C73" s="1021">
        <f>+'Part VII-Pro Forma'!C63</f>
        <v>-5400</v>
      </c>
      <c r="D73" s="1021">
        <f>+'Part VII-Pro Forma'!D63</f>
        <v>-5400</v>
      </c>
      <c r="E73" s="1021">
        <f>+'Part VII-Pro Forma'!E63</f>
        <v>-5400</v>
      </c>
      <c r="F73" s="1021">
        <f>+'Part VII-Pro Forma'!F63</f>
        <v>-5400</v>
      </c>
      <c r="G73" s="1021">
        <f>+'Part VII-Pro Forma'!G63</f>
        <v>-5400</v>
      </c>
      <c r="H73" s="1021">
        <f>+'Part VII-Pro Forma'!H63</f>
        <v>-5400</v>
      </c>
      <c r="I73" s="1021">
        <f>+'Part VII-Pro Forma'!I63</f>
        <v>-5400</v>
      </c>
      <c r="J73" s="1021">
        <f>+'Part VII-Pro Forma'!J63</f>
        <v>-5400</v>
      </c>
      <c r="K73" s="1021">
        <f>+'Part VII-Pro Forma'!K63</f>
        <v>-5400</v>
      </c>
    </row>
    <row r="74" spans="1:11">
      <c r="A74" s="1020" t="s">
        <v>3598</v>
      </c>
      <c r="B74" s="1022">
        <f t="shared" ref="B74:G74" si="11">+SUM(B71:B73)</f>
        <v>131335.88972700771</v>
      </c>
      <c r="C74" s="1022">
        <f t="shared" si="11"/>
        <v>132105.02547314603</v>
      </c>
      <c r="D74" s="1022">
        <f t="shared" si="11"/>
        <v>132820.53235070876</v>
      </c>
      <c r="E74" s="1022">
        <f t="shared" si="11"/>
        <v>133479.56083481887</v>
      </c>
      <c r="F74" s="1022">
        <f t="shared" si="11"/>
        <v>134077.14210167763</v>
      </c>
      <c r="G74" s="1022">
        <f t="shared" si="11"/>
        <v>134612.18377333169</v>
      </c>
      <c r="H74" s="1022">
        <f>+SUM(H71:H73)</f>
        <v>135079.46552126113</v>
      </c>
      <c r="I74" s="1022">
        <f>+SUM(I71:I73)</f>
        <v>135475.63452427631</v>
      </c>
      <c r="J74" s="1022">
        <f>+SUM(J71:J73)</f>
        <v>135797.20077608278</v>
      </c>
      <c r="K74" s="1022">
        <f>+SUM(K71:K73)</f>
        <v>136040.53223771864</v>
      </c>
    </row>
    <row r="75" spans="1:11">
      <c r="A75" s="1020" t="s">
        <v>3511</v>
      </c>
      <c r="B75" s="1022">
        <f t="shared" ref="B75:G75" si="12">-B74</f>
        <v>-131335.88972700771</v>
      </c>
      <c r="C75" s="1022">
        <f t="shared" si="12"/>
        <v>-132105.02547314603</v>
      </c>
      <c r="D75" s="1022">
        <f t="shared" si="12"/>
        <v>-132820.53235070876</v>
      </c>
      <c r="E75" s="1022">
        <f t="shared" si="12"/>
        <v>-133479.56083481887</v>
      </c>
      <c r="F75" s="1022">
        <f t="shared" si="12"/>
        <v>-134077.14210167763</v>
      </c>
      <c r="G75" s="1022">
        <f t="shared" si="12"/>
        <v>-134612.18377333169</v>
      </c>
      <c r="H75" s="1022">
        <f>-H74</f>
        <v>-135079.46552126113</v>
      </c>
      <c r="I75" s="1022">
        <f>-I74</f>
        <v>-135475.63452427631</v>
      </c>
      <c r="J75" s="1022">
        <f>-J74</f>
        <v>-135797.20077608278</v>
      </c>
      <c r="K75" s="1022">
        <f>-K74</f>
        <v>-136040.53223771864</v>
      </c>
    </row>
    <row r="76" spans="1:11">
      <c r="A76" s="1020" t="s">
        <v>3599</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3600</v>
      </c>
      <c r="B78" s="1021">
        <f>IF($B$26="","",-FV('Part III-Sources of Funds'!$K$40/12,12,B72/12,K58))</f>
        <v>-46993.207063410606</v>
      </c>
      <c r="C78" s="1021">
        <f>IF($B$26="","",-FV('Part III-Sources of Funds'!$K$40/12,12,C72/12,B78))</f>
        <v>-67055.401214929414</v>
      </c>
      <c r="D78" s="1021">
        <f>IF($B$26="","",-FV('Part III-Sources of Funds'!$K$40/12,12,D72/12,C78))</f>
        <v>-88196.57801980956</v>
      </c>
      <c r="E78" s="1021">
        <f>IF($B$26="","",-FV('Part III-Sources of Funds'!$K$40/12,12,E72/12,D78))</f>
        <v>-110474.76720089503</v>
      </c>
      <c r="F78" s="1021">
        <f>IF($B$26="","",-FV('Part III-Sources of Funds'!$K$40/12,12,F72/12,E78))</f>
        <v>-133951.11942901061</v>
      </c>
      <c r="G78" s="1021">
        <f>IF($B$26="","",-FV('Part III-Sources of Funds'!$K$40/12,12,G72/12,F78))</f>
        <v>-158690.07417343269</v>
      </c>
      <c r="H78" s="1021">
        <f>IF($B$26="","",-FV('Part III-Sources of Funds'!$K$40/12,12,H72/12,G78))</f>
        <v>-184759.5365796751</v>
      </c>
      <c r="I78" s="1021">
        <f>IF($B$26="","",-FV('Part III-Sources of Funds'!$K$40/12,12,I72/12,H78))</f>
        <v>-212231.06386009589</v>
      </c>
      <c r="J78" s="1021">
        <f>IF($B$26="","",-FV('Part III-Sources of Funds'!$K$40/12,12,J72/12,I78))</f>
        <v>-241180.06170894264</v>
      </c>
      <c r="K78" s="1021">
        <f>IF($B$26="","",-FV('Part III-Sources of Funds'!$K$40/12,12,K72/12,J78))</f>
        <v>-271685.99128096958</v>
      </c>
    </row>
    <row r="79" spans="1:11">
      <c r="A79" s="1020" t="s">
        <v>3512</v>
      </c>
    </row>
    <row r="82" spans="1:2">
      <c r="A82" s="1020" t="s">
        <v>3601</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2826</v>
      </c>
      <c r="B1" s="673"/>
      <c r="C1" s="588" t="str">
        <f>'Sensitivity Analysis'!C8</f>
        <v>The Peaks at Turnberry</v>
      </c>
    </row>
    <row r="2" spans="1:15" ht="13.5" customHeight="1"/>
    <row r="3" spans="1:15" ht="13.5" customHeight="1">
      <c r="A3" s="589" t="s">
        <v>2827</v>
      </c>
      <c r="C3" s="588" t="s">
        <v>2828</v>
      </c>
      <c r="E3" s="674">
        <f>SUM('Part IV-A-Uses of Funds'!J162,'Part IV-A-Uses of Funds'!M162,'Part IV-A-Uses of Funds'!P162)</f>
        <v>10665738</v>
      </c>
      <c r="F3" s="1094" t="s">
        <v>2829</v>
      </c>
      <c r="H3" s="1074">
        <v>27.5</v>
      </c>
      <c r="I3" s="588" t="s">
        <v>2358</v>
      </c>
      <c r="K3" s="593" t="s">
        <v>2850</v>
      </c>
      <c r="M3" s="1094"/>
      <c r="O3" s="675"/>
    </row>
    <row r="4" spans="1:15" ht="13.5" customHeight="1">
      <c r="C4" s="588" t="s">
        <v>3249</v>
      </c>
      <c r="E4" s="674">
        <f>SUM('Part IV-A-Uses of Funds'!G97:H101)</f>
        <v>27979</v>
      </c>
      <c r="F4" s="1094" t="s">
        <v>3816</v>
      </c>
      <c r="H4" s="589">
        <f>'Part III-Sources of Funds'!M40</f>
        <v>10</v>
      </c>
      <c r="I4" s="588" t="s">
        <v>2358</v>
      </c>
      <c r="K4" s="676" t="s">
        <v>3078</v>
      </c>
      <c r="M4" s="1094"/>
    </row>
    <row r="5" spans="1:15" ht="13.5" customHeight="1">
      <c r="C5" s="588" t="s">
        <v>3250</v>
      </c>
      <c r="E5" s="674">
        <f>SUM('Part IV-A-Uses of Funds'!G105:H111)</f>
        <v>126500</v>
      </c>
      <c r="F5" s="1094" t="s">
        <v>3815</v>
      </c>
      <c r="H5" s="1074">
        <v>15</v>
      </c>
      <c r="I5" s="588" t="s">
        <v>2358</v>
      </c>
      <c r="K5" s="675">
        <f>-E6</f>
        <v>-10954980</v>
      </c>
    </row>
    <row r="6" spans="1:15" ht="13.5" customHeight="1">
      <c r="C6" s="588" t="s">
        <v>2830</v>
      </c>
      <c r="E6" s="677">
        <f>'Part III-Sources of Funds'!$I$51+'Part III-Sources of Funds'!$I$52</f>
        <v>10954980</v>
      </c>
      <c r="F6" s="1094" t="s">
        <v>2831</v>
      </c>
      <c r="H6" s="678">
        <v>0.35</v>
      </c>
      <c r="K6" s="675" t="e">
        <f>C24</f>
        <v>#VALUE!</v>
      </c>
      <c r="M6" s="588" t="s">
        <v>2832</v>
      </c>
      <c r="O6" s="679">
        <f>'Sensitivity Analysis'!K32</f>
        <v>0</v>
      </c>
    </row>
    <row r="7" spans="1:15" ht="13.5" customHeight="1">
      <c r="K7" s="675" t="e">
        <f>D24</f>
        <v>#VALUE!</v>
      </c>
      <c r="O7" s="680"/>
    </row>
    <row r="8" spans="1:15" ht="13.5" customHeight="1">
      <c r="A8" s="589" t="s">
        <v>2369</v>
      </c>
      <c r="C8" s="681">
        <v>1</v>
      </c>
      <c r="D8" s="681">
        <v>2</v>
      </c>
      <c r="E8" s="681">
        <v>3</v>
      </c>
      <c r="F8" s="681">
        <v>4</v>
      </c>
      <c r="G8" s="681">
        <v>5</v>
      </c>
      <c r="H8" s="681">
        <v>6</v>
      </c>
      <c r="I8" s="681">
        <v>7</v>
      </c>
      <c r="K8" s="675" t="e">
        <f>E24</f>
        <v>#VALUE!</v>
      </c>
      <c r="M8" s="588" t="s">
        <v>2833</v>
      </c>
      <c r="O8" s="1047" t="e">
        <f>'Part VII-Pro Forma'!$K$72+'Part VII-Pro Forma'!$K$73+'Part VII-Pro Forma'!$K$74</f>
        <v>#VALUE!</v>
      </c>
    </row>
    <row r="9" spans="1:15" ht="13.5" customHeight="1">
      <c r="A9" s="588" t="s">
        <v>2834</v>
      </c>
      <c r="C9" s="682">
        <f>'Part VII-Pro Forma'!B33</f>
        <v>35685.248744308105</v>
      </c>
      <c r="D9" s="682">
        <f>'Part VII-Pro Forma'!C33</f>
        <v>32959.414184308145</v>
      </c>
      <c r="E9" s="682">
        <f>'Part VII-Pro Forma'!D33</f>
        <v>37974.728133108089</v>
      </c>
      <c r="F9" s="682">
        <f>'Part VII-Pro Forma'!E33</f>
        <v>39075.328116884106</v>
      </c>
      <c r="G9" s="682">
        <f>'Part VII-Pro Forma'!F33</f>
        <v>40143.268049015664</v>
      </c>
      <c r="H9" s="682">
        <f>'Part VII-Pro Forma'!G33</f>
        <v>41175.515166930156</v>
      </c>
      <c r="I9" s="682">
        <f>'Part VII-Pro Forma'!H33</f>
        <v>42170.946865957667</v>
      </c>
      <c r="K9" s="675" t="e">
        <f>F24</f>
        <v>#VALUE!</v>
      </c>
      <c r="N9" s="683" t="s">
        <v>2836</v>
      </c>
    </row>
    <row r="10" spans="1:15" ht="13.5" customHeight="1">
      <c r="A10" s="588" t="s">
        <v>2835</v>
      </c>
      <c r="C10" s="1044">
        <f>'Part III-Sources of Funds'!I40-'Part VII-Pro Forma'!B40</f>
        <v>62322.617581671337</v>
      </c>
      <c r="D10" s="684">
        <f>'Part VII-Pro Forma'!B40-'Part VII-Pro Forma'!C40</f>
        <v>65674.445541007794</v>
      </c>
      <c r="E10" s="684">
        <f>'Part VII-Pro Forma'!C40-'Part VII-Pro Forma'!D40</f>
        <v>69206.541131983162</v>
      </c>
      <c r="F10" s="684">
        <f>'Part VII-Pro Forma'!D40-'Part VII-Pro Forma'!E40</f>
        <v>72928.599487942876</v>
      </c>
      <c r="G10" s="684">
        <f>'Part VII-Pro Forma'!E40-'Part VII-Pro Forma'!F40</f>
        <v>76850.837164795958</v>
      </c>
      <c r="H10" s="684">
        <f>'Part VII-Pro Forma'!F40-'Part VII-Pro Forma'!G40</f>
        <v>80984.020184103574</v>
      </c>
      <c r="I10" s="684">
        <f>'Part VII-Pro Forma'!G40-'Part VII-Pro Forma'!H40</f>
        <v>85339.493584379554</v>
      </c>
      <c r="K10" s="675" t="e">
        <f>G24</f>
        <v>#VALUE!</v>
      </c>
      <c r="N10" s="683" t="s">
        <v>2837</v>
      </c>
      <c r="O10" s="680"/>
    </row>
    <row r="11" spans="1:15" ht="13.5" customHeight="1">
      <c r="A11" s="588" t="s">
        <v>2835</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2835</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2839</v>
      </c>
      <c r="N12" s="685">
        <v>0.06</v>
      </c>
      <c r="O12" s="680">
        <f>N12*O6</f>
        <v>0</v>
      </c>
    </row>
    <row r="13" spans="1:15" ht="13.5" customHeight="1">
      <c r="A13" s="686" t="s">
        <v>3251</v>
      </c>
      <c r="B13" s="687"/>
      <c r="C13" s="1045">
        <f>'Part VII-Pro Forma'!B23</f>
        <v>-12000</v>
      </c>
      <c r="D13" s="1045">
        <f>'Part VII-Pro Forma'!C23</f>
        <v>-12360</v>
      </c>
      <c r="E13" s="1045">
        <f>'Part VII-Pro Forma'!D23</f>
        <v>-12730.8</v>
      </c>
      <c r="F13" s="1045">
        <f>'Part VII-Pro Forma'!E23</f>
        <v>-13112.724</v>
      </c>
      <c r="G13" s="1045">
        <f>'Part VII-Pro Forma'!F23</f>
        <v>-13506.10572</v>
      </c>
      <c r="H13" s="1045">
        <f>'Part VII-Pro Forma'!G23</f>
        <v>-13911.288891599997</v>
      </c>
      <c r="I13" s="1045">
        <f>'Part VII-Pro Forma'!H23</f>
        <v>-14328.627558347998</v>
      </c>
      <c r="K13" s="675" t="e">
        <f>C44</f>
        <v>#VALUE!</v>
      </c>
      <c r="O13" s="680"/>
    </row>
    <row r="14" spans="1:15" ht="13.5" customHeight="1">
      <c r="A14" s="686" t="s">
        <v>3252</v>
      </c>
      <c r="B14" s="687"/>
      <c r="C14" s="1045">
        <f>'Part VII-Pro Forma'!B32</f>
        <v>0</v>
      </c>
      <c r="D14" s="1045">
        <f>'Part VII-Pro Forma'!C32</f>
        <v>-3885</v>
      </c>
      <c r="E14" s="1045">
        <f>'Part VII-Pro Forma'!D32</f>
        <v>0</v>
      </c>
      <c r="F14" s="1045">
        <f>'Part VII-Pro Forma'!E32</f>
        <v>0</v>
      </c>
      <c r="G14" s="1045">
        <f>'Part VII-Pro Forma'!F32</f>
        <v>0</v>
      </c>
      <c r="H14" s="1045">
        <f>'Part VII-Pro Forma'!G32</f>
        <v>0</v>
      </c>
      <c r="I14" s="1045">
        <f>'Part VII-Pro Forma'!H32</f>
        <v>0</v>
      </c>
      <c r="K14" s="675" t="e">
        <f>D44</f>
        <v>#VALUE!</v>
      </c>
      <c r="M14" s="588" t="s">
        <v>2842</v>
      </c>
      <c r="O14" s="680" t="e">
        <f>O6-O8-O12</f>
        <v>#VALUE!</v>
      </c>
    </row>
    <row r="15" spans="1:15" ht="13.5" customHeight="1">
      <c r="A15" s="688" t="s">
        <v>2838</v>
      </c>
      <c r="C15" s="689">
        <f t="shared" ref="C15:I15" si="0">$E$3/$H$3</f>
        <v>387845.01818181819</v>
      </c>
      <c r="D15" s="689">
        <f t="shared" si="0"/>
        <v>387845.01818181819</v>
      </c>
      <c r="E15" s="689">
        <f t="shared" si="0"/>
        <v>387845.01818181819</v>
      </c>
      <c r="F15" s="689">
        <f t="shared" si="0"/>
        <v>387845.01818181819</v>
      </c>
      <c r="G15" s="689">
        <f t="shared" si="0"/>
        <v>387845.01818181819</v>
      </c>
      <c r="H15" s="689">
        <f t="shared" si="0"/>
        <v>387845.01818181819</v>
      </c>
      <c r="I15" s="689">
        <f t="shared" si="0"/>
        <v>387845.01818181819</v>
      </c>
      <c r="K15" s="675" t="e">
        <f>E44</f>
        <v>#VALUE!</v>
      </c>
      <c r="O15" s="680"/>
    </row>
    <row r="16" spans="1:15" ht="13.5" customHeight="1">
      <c r="A16" s="688" t="s">
        <v>2840</v>
      </c>
      <c r="C16" s="689">
        <f>IF(C$8&lt;=$H$4,($E$4/$H$4),0)+IF(C$8&lt;=$H$5,($E$5/$H$5),0)</f>
        <v>11231.233333333334</v>
      </c>
      <c r="D16" s="689">
        <f t="shared" ref="D16:I16" si="1">IF(D$8&lt;=$H$4,($E$4/$H$4),0)+IF(D$8&lt;=$H$5,($E$5/$H$5),0)</f>
        <v>11231.233333333334</v>
      </c>
      <c r="E16" s="689">
        <f t="shared" si="1"/>
        <v>11231.233333333334</v>
      </c>
      <c r="F16" s="689">
        <f t="shared" si="1"/>
        <v>11231.233333333334</v>
      </c>
      <c r="G16" s="689">
        <f t="shared" si="1"/>
        <v>11231.233333333334</v>
      </c>
      <c r="H16" s="689">
        <f t="shared" si="1"/>
        <v>11231.233333333334</v>
      </c>
      <c r="I16" s="689">
        <f t="shared" si="1"/>
        <v>11231.233333333334</v>
      </c>
      <c r="K16" s="675" t="e">
        <f>F44</f>
        <v>#VALUE!</v>
      </c>
      <c r="M16" s="588" t="s">
        <v>2844</v>
      </c>
      <c r="O16" s="680">
        <f>E3</f>
        <v>10665738</v>
      </c>
    </row>
    <row r="17" spans="1:17" ht="13.5" customHeight="1">
      <c r="A17" s="688" t="s">
        <v>2841</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2838</v>
      </c>
      <c r="O17" s="680">
        <f>20*(E3/H3)</f>
        <v>7756900.3636363633</v>
      </c>
    </row>
    <row r="18" spans="1:17" ht="13.5" customHeight="1">
      <c r="A18" s="688" t="s">
        <v>2843</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2848</v>
      </c>
      <c r="O19" s="680">
        <f>O16-O17</f>
        <v>2908837.6363636367</v>
      </c>
    </row>
    <row r="20" spans="1:17" ht="13.5" customHeight="1">
      <c r="A20" s="588" t="s">
        <v>2845</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2846</v>
      </c>
      <c r="C21" s="690">
        <f>'Part IV-A-Uses of Funds'!$J$197</f>
        <v>900000</v>
      </c>
      <c r="D21" s="690">
        <f t="shared" ref="D21:I21" si="5">C21</f>
        <v>900000</v>
      </c>
      <c r="E21" s="690">
        <f t="shared" si="5"/>
        <v>900000</v>
      </c>
      <c r="F21" s="690">
        <f t="shared" si="5"/>
        <v>900000</v>
      </c>
      <c r="G21" s="690">
        <f t="shared" si="5"/>
        <v>900000</v>
      </c>
      <c r="H21" s="690">
        <f t="shared" si="5"/>
        <v>900000</v>
      </c>
      <c r="I21" s="690">
        <f t="shared" si="5"/>
        <v>900000</v>
      </c>
      <c r="J21" s="588" t="s">
        <v>232</v>
      </c>
      <c r="K21" s="675" t="e">
        <f>D64</f>
        <v>#VALUE!</v>
      </c>
      <c r="O21" s="680"/>
    </row>
    <row r="22" spans="1:17" ht="13.5" customHeight="1">
      <c r="A22" s="588" t="s">
        <v>2847</v>
      </c>
      <c r="C22" s="690">
        <f>C21</f>
        <v>900000</v>
      </c>
      <c r="D22" s="690">
        <f t="shared" ref="D22:I22" si="6">D21</f>
        <v>900000</v>
      </c>
      <c r="E22" s="690">
        <f t="shared" si="6"/>
        <v>900000</v>
      </c>
      <c r="F22" s="690">
        <f t="shared" si="6"/>
        <v>900000</v>
      </c>
      <c r="G22" s="690">
        <f t="shared" si="6"/>
        <v>900000</v>
      </c>
      <c r="H22" s="690">
        <f t="shared" si="6"/>
        <v>900000</v>
      </c>
      <c r="I22" s="690">
        <f t="shared" si="6"/>
        <v>900000</v>
      </c>
      <c r="K22" s="675" t="e">
        <f>E64</f>
        <v>#VALUE!</v>
      </c>
      <c r="M22" s="588" t="s">
        <v>2832</v>
      </c>
      <c r="O22" s="680">
        <f>O6</f>
        <v>0</v>
      </c>
    </row>
    <row r="23" spans="1:17" ht="13.5" customHeight="1">
      <c r="A23" s="588" t="s">
        <v>2849</v>
      </c>
      <c r="C23" s="682">
        <v>0</v>
      </c>
      <c r="D23" s="682">
        <v>0</v>
      </c>
      <c r="E23" s="682">
        <v>0</v>
      </c>
      <c r="F23" s="682">
        <v>0</v>
      </c>
      <c r="G23" s="682">
        <v>0</v>
      </c>
      <c r="H23" s="682">
        <v>0</v>
      </c>
      <c r="I23" s="682">
        <v>0</v>
      </c>
      <c r="K23" s="675" t="e">
        <f>F64</f>
        <v>#VALUE!</v>
      </c>
      <c r="M23" s="588" t="s">
        <v>2851</v>
      </c>
      <c r="O23" s="680">
        <f>O19</f>
        <v>2908837.6363636367</v>
      </c>
    </row>
    <row r="24" spans="1:17" ht="13.5" customHeight="1">
      <c r="A24" s="588" t="s">
        <v>2850</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2852</v>
      </c>
      <c r="O25" s="680">
        <f>O22-O23</f>
        <v>-2908837.6363636367</v>
      </c>
      <c r="Q25" s="691"/>
    </row>
    <row r="26" spans="1:17" ht="13.5" customHeight="1">
      <c r="A26" s="692"/>
      <c r="B26" s="692"/>
      <c r="C26" s="692"/>
      <c r="D26" s="692"/>
      <c r="E26" s="692"/>
      <c r="F26" s="692"/>
      <c r="G26" s="692"/>
      <c r="H26" s="692"/>
      <c r="I26" s="692"/>
      <c r="K26" s="675"/>
      <c r="O26" s="680"/>
    </row>
    <row r="27" spans="1:17" ht="13.5" customHeight="1">
      <c r="K27" s="675"/>
      <c r="M27" s="588" t="s">
        <v>2853</v>
      </c>
      <c r="N27" s="693"/>
      <c r="O27" s="685">
        <v>0.2</v>
      </c>
    </row>
    <row r="28" spans="1:17" ht="13.5" customHeight="1">
      <c r="A28" s="589" t="s">
        <v>2369</v>
      </c>
      <c r="B28" s="589"/>
      <c r="C28" s="681">
        <v>8</v>
      </c>
      <c r="D28" s="681">
        <v>9</v>
      </c>
      <c r="E28" s="681">
        <v>10</v>
      </c>
      <c r="F28" s="681">
        <v>11</v>
      </c>
      <c r="G28" s="681">
        <v>12</v>
      </c>
      <c r="H28" s="681">
        <v>13</v>
      </c>
      <c r="I28" s="681">
        <v>14</v>
      </c>
      <c r="N28" s="693"/>
      <c r="O28" s="693"/>
    </row>
    <row r="29" spans="1:17" ht="13.5" customHeight="1">
      <c r="A29" s="588" t="s">
        <v>2834</v>
      </c>
      <c r="C29" s="682">
        <f>'Part VII-Pro Forma'!I33</f>
        <v>43126.347426882799</v>
      </c>
      <c r="D29" s="682">
        <f>'Part VII-Pro Forma'!J33</f>
        <v>44039.404633781407</v>
      </c>
      <c r="E29" s="682">
        <f>'Part VII-Pro Forma'!K33</f>
        <v>44907.706278615311</v>
      </c>
      <c r="F29" s="682">
        <f>'Part VII-Pro Forma'!B65</f>
        <v>148452.75980464916</v>
      </c>
      <c r="G29" s="682">
        <f>'Part VII-Pro Forma'!C65</f>
        <v>149221.89555078748</v>
      </c>
      <c r="H29" s="682">
        <f>'Part VII-Pro Forma'!D65</f>
        <v>149937.40242835021</v>
      </c>
      <c r="I29" s="682">
        <f>'Part VII-Pro Forma'!E65</f>
        <v>150596.43091246032</v>
      </c>
      <c r="N29" s="693"/>
      <c r="O29" s="693"/>
    </row>
    <row r="30" spans="1:17" ht="13.5" customHeight="1">
      <c r="A30" s="588" t="s">
        <v>2835</v>
      </c>
      <c r="C30" s="684">
        <f>'Part VII-Pro Forma'!H40-'Part VII-Pro Forma'!I40</f>
        <v>89929.212561713648</v>
      </c>
      <c r="D30" s="684">
        <f>'Part VII-Pro Forma'!I40-'Part VII-Pro Forma'!J40</f>
        <v>94765.775285197626</v>
      </c>
      <c r="E30" s="684">
        <f>'Part VII-Pro Forma'!J40-'Part VII-Pro Forma'!K40</f>
        <v>99862.457477226242</v>
      </c>
      <c r="F30" s="1042">
        <f>'Part VII-Pro Forma'!K40-'Part VII-Pro Forma'!B72</f>
        <v>1.1708136668935679E-9</v>
      </c>
      <c r="G30" s="1042">
        <f>'Part VII-Pro Forma'!B72-'Part VII-Pro Forma'!C72</f>
        <v>1.2337822349054036E-9</v>
      </c>
      <c r="H30" s="1042">
        <f>'Part VII-Pro Forma'!C72-'Part VII-Pro Forma'!D72</f>
        <v>1.3001373713094415E-9</v>
      </c>
      <c r="I30" s="1042">
        <f>'Part VII-Pro Forma'!D72-'Part VII-Pro Forma'!E72</f>
        <v>1.3700612121433469E-9</v>
      </c>
    </row>
    <row r="31" spans="1:17" ht="13.5" customHeight="1">
      <c r="A31" s="588" t="s">
        <v>2835</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2854</v>
      </c>
      <c r="O31" s="682">
        <f>O25*O27</f>
        <v>-581767.52727272734</v>
      </c>
    </row>
    <row r="32" spans="1:17" ht="13.5" customHeight="1">
      <c r="A32" s="588" t="s">
        <v>2835</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3251</v>
      </c>
      <c r="B33" s="687"/>
      <c r="C33" s="1045">
        <f>'Part VII-Pro Forma'!I23</f>
        <v>-14758.48638509844</v>
      </c>
      <c r="D33" s="1045">
        <f>'Part VII-Pro Forma'!J23</f>
        <v>-15201.240976651392</v>
      </c>
      <c r="E33" s="1045">
        <f>'Part VII-Pro Forma'!K23</f>
        <v>-15657.278205950934</v>
      </c>
      <c r="F33" s="1045">
        <f>'Part VII-Pro Forma'!B55</f>
        <v>-16126.996552129462</v>
      </c>
      <c r="G33" s="1045">
        <f>'Part VII-Pro Forma'!C55</f>
        <v>-16610.806448693347</v>
      </c>
      <c r="H33" s="1045">
        <f>'Part VII-Pro Forma'!D55</f>
        <v>-17109.130642154145</v>
      </c>
      <c r="I33" s="1045">
        <f>'Part VII-Pro Forma'!E55</f>
        <v>-17622.404561418767</v>
      </c>
      <c r="K33" s="588" t="s">
        <v>232</v>
      </c>
      <c r="M33" s="588" t="s">
        <v>2855</v>
      </c>
      <c r="O33" s="682" t="e">
        <f>O14-O31</f>
        <v>#VALUE!</v>
      </c>
    </row>
    <row r="34" spans="1:15" ht="13.5" customHeight="1">
      <c r="A34" s="686" t="s">
        <v>3252</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2838</v>
      </c>
      <c r="C35" s="689">
        <f t="shared" ref="C35:I35" si="8">$E$3/$H$3</f>
        <v>387845.01818181819</v>
      </c>
      <c r="D35" s="689">
        <f t="shared" si="8"/>
        <v>387845.01818181819</v>
      </c>
      <c r="E35" s="689">
        <f t="shared" si="8"/>
        <v>387845.01818181819</v>
      </c>
      <c r="F35" s="689">
        <f t="shared" si="8"/>
        <v>387845.01818181819</v>
      </c>
      <c r="G35" s="689">
        <f t="shared" si="8"/>
        <v>387845.01818181819</v>
      </c>
      <c r="H35" s="689">
        <f t="shared" si="8"/>
        <v>387845.01818181819</v>
      </c>
      <c r="I35" s="689">
        <f t="shared" si="8"/>
        <v>387845.01818181819</v>
      </c>
    </row>
    <row r="36" spans="1:15" ht="13.5" customHeight="1">
      <c r="A36" s="688" t="s">
        <v>2840</v>
      </c>
      <c r="C36" s="682">
        <f>IF(C$28&lt;=$H$4,($E$4/$H$4),0)+IF(C$28&lt;=$H$5,($E$5/$H$5),0)</f>
        <v>11231.233333333334</v>
      </c>
      <c r="D36" s="682">
        <f t="shared" ref="D36:I36" si="9">IF(D$28&lt;=$H$4,($E$4/$H$4),0)+IF(D$28&lt;=$H$5,($E$5/$H$5),0)</f>
        <v>11231.233333333334</v>
      </c>
      <c r="E36" s="682">
        <f t="shared" si="9"/>
        <v>11231.233333333334</v>
      </c>
      <c r="F36" s="682">
        <f t="shared" si="9"/>
        <v>8433.3333333333339</v>
      </c>
      <c r="G36" s="682">
        <f t="shared" si="9"/>
        <v>8433.3333333333339</v>
      </c>
      <c r="H36" s="682">
        <f t="shared" si="9"/>
        <v>8433.3333333333339</v>
      </c>
      <c r="I36" s="682">
        <f t="shared" si="9"/>
        <v>8433.3333333333339</v>
      </c>
    </row>
    <row r="37" spans="1:15" ht="13.5" customHeight="1">
      <c r="A37" s="688" t="s">
        <v>2841</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2843</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2845</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2846</v>
      </c>
      <c r="C41" s="690">
        <f>C21</f>
        <v>900000</v>
      </c>
      <c r="D41" s="690">
        <f>C41</f>
        <v>900000</v>
      </c>
      <c r="E41" s="690">
        <f>D41</f>
        <v>900000</v>
      </c>
      <c r="F41" s="690">
        <v>0</v>
      </c>
      <c r="G41" s="690">
        <v>0</v>
      </c>
      <c r="H41" s="690">
        <v>0</v>
      </c>
      <c r="I41" s="690">
        <v>0</v>
      </c>
    </row>
    <row r="42" spans="1:15" ht="13.5" customHeight="1">
      <c r="A42" s="588" t="s">
        <v>2847</v>
      </c>
      <c r="C42" s="690">
        <f>C22</f>
        <v>900000</v>
      </c>
      <c r="D42" s="690">
        <f>C42</f>
        <v>900000</v>
      </c>
      <c r="E42" s="690">
        <f>D42</f>
        <v>900000</v>
      </c>
      <c r="F42" s="690">
        <v>0</v>
      </c>
      <c r="G42" s="690">
        <v>0</v>
      </c>
      <c r="H42" s="690">
        <v>0</v>
      </c>
      <c r="I42" s="690">
        <v>0</v>
      </c>
    </row>
    <row r="43" spans="1:15" ht="13.5" customHeight="1">
      <c r="A43" s="588" t="s">
        <v>2849</v>
      </c>
      <c r="C43" s="684">
        <v>0</v>
      </c>
      <c r="D43" s="684">
        <v>0</v>
      </c>
      <c r="E43" s="684">
        <v>0</v>
      </c>
      <c r="F43" s="684">
        <v>0</v>
      </c>
      <c r="G43" s="684">
        <v>0</v>
      </c>
      <c r="H43" s="684">
        <v>0</v>
      </c>
      <c r="I43" s="684">
        <v>0</v>
      </c>
    </row>
    <row r="44" spans="1:15" ht="13.5" customHeight="1">
      <c r="A44" s="588" t="s">
        <v>2850</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2369</v>
      </c>
      <c r="B48" s="589"/>
      <c r="C48" s="681">
        <v>15</v>
      </c>
      <c r="D48" s="589">
        <v>16</v>
      </c>
      <c r="E48" s="589">
        <v>17</v>
      </c>
      <c r="F48" s="589">
        <v>18</v>
      </c>
      <c r="G48" s="589">
        <v>19</v>
      </c>
      <c r="H48" s="589">
        <v>20</v>
      </c>
    </row>
    <row r="49" spans="1:10" ht="13.5" customHeight="1">
      <c r="A49" s="588" t="s">
        <v>2834</v>
      </c>
      <c r="C49" s="682">
        <f>'Part VII-Pro Forma'!F65</f>
        <v>151194.01217931908</v>
      </c>
      <c r="D49" s="682">
        <f>'Part VII-Pro Forma'!G62</f>
        <v>0</v>
      </c>
      <c r="E49" s="682">
        <f>'Part VII-Pro Forma'!H62</f>
        <v>0</v>
      </c>
      <c r="F49" s="682">
        <f>'Part VII-Pro Forma'!I62</f>
        <v>0</v>
      </c>
      <c r="G49" s="682">
        <f>'Part VII-Pro Forma'!J62</f>
        <v>0</v>
      </c>
      <c r="H49" s="682">
        <f>'Part VII-Pro Forma'!K62</f>
        <v>0</v>
      </c>
    </row>
    <row r="50" spans="1:10" ht="13.5" customHeight="1">
      <c r="A50" s="588" t="s">
        <v>2835</v>
      </c>
      <c r="C50" s="1043">
        <f>'Part VII-Pro Forma'!E72-'Part VII-Pro Forma'!F72</f>
        <v>1.4437456890645296E-9</v>
      </c>
      <c r="D50" s="1043">
        <f>'Part VII-Pro Forma'!F72-'Part VII-Pro Forma'!G72</f>
        <v>1.5213930561770585E-9</v>
      </c>
      <c r="E50" s="1043">
        <f>'Part VII-Pro Forma'!G72-'Part VII-Pro Forma'!H72</f>
        <v>1.6032164451923186E-9</v>
      </c>
      <c r="F50" s="1043">
        <f>'Part VII-Pro Forma'!H72-'Part VII-Pro Forma'!I72</f>
        <v>1.6894404504472616E-9</v>
      </c>
      <c r="G50" s="1043">
        <f>'Part VII-Pro Forma'!I72-'Part VII-Pro Forma'!J72</f>
        <v>1.7803017453860092E-9</v>
      </c>
      <c r="H50" s="1043">
        <f>'Part VII-Pro Forma'!J72-'Part VII-Pro Forma'!K72</f>
        <v>1.8760497321970597E-9</v>
      </c>
    </row>
    <row r="51" spans="1:10" ht="13.5" customHeight="1">
      <c r="A51" s="588" t="s">
        <v>2835</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2835</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3251</v>
      </c>
      <c r="B53" s="687"/>
      <c r="C53" s="1045">
        <f>'Part VII-Pro Forma'!F55</f>
        <v>-18151.076698261331</v>
      </c>
      <c r="D53" s="1045">
        <f>'Part VII-Pro Forma'!G55</f>
        <v>-18695.608999209173</v>
      </c>
      <c r="E53" s="1045">
        <f>'Part VII-Pro Forma'!H55</f>
        <v>-19256.477269185445</v>
      </c>
      <c r="F53" s="1045">
        <f>'Part VII-Pro Forma'!I55</f>
        <v>-19834.171587261008</v>
      </c>
      <c r="G53" s="1045">
        <f>'Part VII-Pro Forma'!J55</f>
        <v>-20429.196734878838</v>
      </c>
      <c r="H53" s="1045">
        <f>'Part VII-Pro Forma'!K55</f>
        <v>-21042.072636925204</v>
      </c>
    </row>
    <row r="54" spans="1:10" ht="13.5" customHeight="1">
      <c r="A54" s="686" t="s">
        <v>3252</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2838</v>
      </c>
      <c r="C55" s="689">
        <f t="shared" ref="C55:H55" si="14">$E$3/$H$3</f>
        <v>387845.01818181819</v>
      </c>
      <c r="D55" s="689">
        <f t="shared" si="14"/>
        <v>387845.01818181819</v>
      </c>
      <c r="E55" s="689">
        <f t="shared" si="14"/>
        <v>387845.01818181819</v>
      </c>
      <c r="F55" s="689">
        <f t="shared" si="14"/>
        <v>387845.01818181819</v>
      </c>
      <c r="G55" s="689">
        <f t="shared" si="14"/>
        <v>387845.01818181819</v>
      </c>
      <c r="H55" s="689">
        <f t="shared" si="14"/>
        <v>387845.01818181819</v>
      </c>
    </row>
    <row r="56" spans="1:10" ht="13.5" customHeight="1">
      <c r="A56" s="688" t="s">
        <v>2840</v>
      </c>
      <c r="C56" s="682">
        <f t="shared" ref="C56:H56" si="15">IF(C$48&lt;=$H$4,($E$4/$H$4),0)+IF(C$48&lt;=$H$5,($E$5/$H$5),0)</f>
        <v>8433.3333333333339</v>
      </c>
      <c r="D56" s="682">
        <f t="shared" si="15"/>
        <v>0</v>
      </c>
      <c r="E56" s="682">
        <f t="shared" si="15"/>
        <v>0</v>
      </c>
      <c r="F56" s="682">
        <f t="shared" si="15"/>
        <v>0</v>
      </c>
      <c r="G56" s="682">
        <f t="shared" si="15"/>
        <v>0</v>
      </c>
      <c r="H56" s="682">
        <f t="shared" si="15"/>
        <v>0</v>
      </c>
    </row>
    <row r="57" spans="1:10" ht="13.5" customHeight="1">
      <c r="A57" s="688" t="s">
        <v>2841</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2843</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2845</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2846</v>
      </c>
      <c r="C61" s="689">
        <v>0</v>
      </c>
      <c r="D61" s="689">
        <v>0</v>
      </c>
      <c r="E61" s="689">
        <v>0</v>
      </c>
      <c r="F61" s="689">
        <v>0</v>
      </c>
      <c r="G61" s="689">
        <v>0</v>
      </c>
      <c r="H61" s="682">
        <v>0</v>
      </c>
    </row>
    <row r="62" spans="1:10">
      <c r="A62" s="588" t="s">
        <v>2847</v>
      </c>
      <c r="C62" s="689">
        <v>0</v>
      </c>
      <c r="D62" s="682">
        <v>0</v>
      </c>
      <c r="E62" s="682">
        <v>0</v>
      </c>
      <c r="F62" s="682">
        <v>0</v>
      </c>
      <c r="G62" s="682">
        <v>0</v>
      </c>
      <c r="H62" s="682">
        <v>0</v>
      </c>
    </row>
    <row r="63" spans="1:10">
      <c r="A63" s="588" t="s">
        <v>2849</v>
      </c>
      <c r="C63" s="682">
        <v>0</v>
      </c>
      <c r="D63" s="682">
        <v>0</v>
      </c>
      <c r="E63" s="682">
        <v>0</v>
      </c>
      <c r="F63" s="682">
        <v>0</v>
      </c>
      <c r="G63" s="682">
        <v>0</v>
      </c>
      <c r="H63" s="682" t="e">
        <f>O33</f>
        <v>#VALUE!</v>
      </c>
    </row>
    <row r="64" spans="1:10">
      <c r="A64" s="588" t="s">
        <v>2850</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2856</v>
      </c>
      <c r="G66" s="4473" t="e">
        <f>IRR(K5:K25)</f>
        <v>#VALUE!</v>
      </c>
      <c r="H66" s="4474"/>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6" t="str">
        <f>'Sensitivity Analysis'!C8</f>
        <v>The Peaks at Turnberry</v>
      </c>
      <c r="B1" s="4476"/>
      <c r="C1" s="4476"/>
      <c r="D1" s="4476"/>
      <c r="E1" s="4476"/>
      <c r="F1" s="4476"/>
      <c r="G1" s="4476"/>
      <c r="H1" s="4476"/>
      <c r="I1" s="4476"/>
      <c r="J1" s="4476"/>
      <c r="K1" s="4476"/>
    </row>
    <row r="2" spans="1:11" s="1543" customFormat="1" ht="17.45" customHeight="1">
      <c r="A2" s="4475" t="s">
        <v>3007</v>
      </c>
      <c r="B2" s="4475"/>
      <c r="C2" s="4475"/>
      <c r="D2" s="4475"/>
      <c r="E2" s="4475"/>
      <c r="F2" s="4475"/>
      <c r="G2" s="4475"/>
      <c r="H2" s="4475"/>
      <c r="I2" s="4475"/>
      <c r="J2" s="4475"/>
      <c r="K2" s="4475"/>
    </row>
    <row r="3" spans="1:11" ht="9" customHeight="1">
      <c r="A3" s="1542"/>
      <c r="B3" s="1542"/>
      <c r="C3" s="1542"/>
      <c r="D3" s="1542"/>
      <c r="E3" s="1542"/>
      <c r="G3" s="1542"/>
      <c r="H3" s="1542"/>
      <c r="J3" s="1542"/>
      <c r="K3" s="1542"/>
    </row>
    <row r="4" spans="1:11" ht="12.6" customHeight="1">
      <c r="A4" s="4477" t="s">
        <v>6273</v>
      </c>
      <c r="B4" s="4477"/>
      <c r="C4" s="1544"/>
      <c r="D4" s="4477" t="s">
        <v>6274</v>
      </c>
      <c r="E4" s="4477"/>
      <c r="F4" s="1545"/>
      <c r="G4" s="4477" t="s">
        <v>6275</v>
      </c>
      <c r="H4" s="4477"/>
      <c r="I4" s="1545"/>
      <c r="J4" s="4477" t="s">
        <v>6433</v>
      </c>
      <c r="K4" s="4477"/>
    </row>
    <row r="5" spans="1:11" ht="25.9" customHeight="1">
      <c r="A5" s="4478" t="str">
        <f>'Part III-Sources of Funds'!E40</f>
        <v>TBD - Synovous</v>
      </c>
      <c r="B5" s="4479"/>
      <c r="C5" s="1543"/>
      <c r="D5" s="4478">
        <f>'Part III-Sources of Funds'!E41</f>
        <v>0</v>
      </c>
      <c r="E5" s="4479"/>
      <c r="F5" s="1546"/>
      <c r="G5" s="4478">
        <f>'Part III-Sources of Funds'!E42</f>
        <v>0</v>
      </c>
      <c r="H5" s="4479"/>
      <c r="I5" s="1546"/>
      <c r="J5" s="4478">
        <f>'Part III-Sources of Funds'!E43</f>
        <v>0</v>
      </c>
      <c r="K5" s="4479"/>
    </row>
    <row r="6" spans="1:11" ht="9" customHeight="1"/>
    <row r="7" spans="1:11" ht="15.75">
      <c r="A7" s="1048"/>
      <c r="B7" s="1048" t="s">
        <v>2857</v>
      </c>
      <c r="D7" s="1048"/>
      <c r="E7" s="1048" t="s">
        <v>2857</v>
      </c>
      <c r="G7" s="1048"/>
      <c r="H7" s="1048" t="s">
        <v>2857</v>
      </c>
      <c r="J7" s="1048"/>
      <c r="K7" s="1048" t="s">
        <v>2857</v>
      </c>
    </row>
    <row r="8" spans="1:11" ht="15.75">
      <c r="A8" s="1075" t="s">
        <v>2369</v>
      </c>
      <c r="B8" s="1075" t="s">
        <v>2858</v>
      </c>
      <c r="D8" s="1075" t="s">
        <v>2369</v>
      </c>
      <c r="E8" s="1075" t="s">
        <v>2858</v>
      </c>
      <c r="G8" s="1075" t="s">
        <v>2369</v>
      </c>
      <c r="H8" s="1075" t="s">
        <v>2858</v>
      </c>
      <c r="J8" s="1075" t="s">
        <v>2369</v>
      </c>
      <c r="K8" s="1075" t="s">
        <v>2858</v>
      </c>
    </row>
    <row r="9" spans="1:11" ht="6" customHeight="1">
      <c r="A9" s="1049"/>
      <c r="B9" s="1049"/>
      <c r="D9" s="1049"/>
      <c r="E9" s="1049"/>
      <c r="G9" s="1049"/>
      <c r="H9" s="1049"/>
      <c r="J9" s="1049"/>
      <c r="K9" s="1049"/>
    </row>
    <row r="10" spans="1:11" ht="20.25" customHeight="1">
      <c r="A10" s="1050">
        <v>1</v>
      </c>
      <c r="B10" s="1051">
        <f>-'Part VII-Pro Forma'!$B26/12</f>
        <v>8560.4186046409905</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8560.4186046409905</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8560.4186046409905</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8560.4186046409905</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8560.4186046409905</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8560.4186046409905</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8560.4186046409905</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8560.4186046409905</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8560.4186046409905</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8560.4186046409905</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0</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0</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0</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0</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0</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0</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0</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0</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0</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0</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8560.4186046409905</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8560.4186046409905</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8560.4186046409905</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8560.4186046409905</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8560.4186046409905</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8560.4186046409905</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8560.4186046409905</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8560.4186046409905</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8560.4186046409905</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8560.4186046409905</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0</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0</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0</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0</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0</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3" zoomScale="110" zoomScaleNormal="110" workbookViewId="0">
      <selection activeCell="A3"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5" customFormat="1" ht="9" hidden="1" customHeight="1">
      <c r="A1" s="2674"/>
      <c r="B1" s="2674" t="s">
        <v>6621</v>
      </c>
      <c r="C1" s="2674"/>
      <c r="D1" s="2674"/>
      <c r="E1" s="2674"/>
      <c r="F1" s="2674" t="s">
        <v>6622</v>
      </c>
      <c r="G1" s="2674" t="s">
        <v>6623</v>
      </c>
      <c r="H1" s="2674" t="s">
        <v>6624</v>
      </c>
      <c r="I1" s="2674" t="s">
        <v>6625</v>
      </c>
      <c r="J1" s="2674" t="s">
        <v>6626</v>
      </c>
      <c r="K1" s="2674" t="s">
        <v>6627</v>
      </c>
      <c r="L1" s="2674"/>
      <c r="M1" s="2674"/>
      <c r="N1" s="2674" t="s">
        <v>6628</v>
      </c>
      <c r="O1" s="2674" t="s">
        <v>6629</v>
      </c>
      <c r="P1" s="2674" t="s">
        <v>6630</v>
      </c>
      <c r="Z1" s="1773">
        <v>1</v>
      </c>
    </row>
    <row r="2" spans="1:26" s="289" customFormat="1" ht="14.1" customHeight="1">
      <c r="A2" s="3132" t="str">
        <f>CONCATENATE("PART ONE - PROJECT INFORMATION"," - ",$O$7," ",$F$35,", ",'Part I-Project Information'!F39,", ",'Part I-Project Information'!J40," County")</f>
        <v>PART ONE - PROJECT INFORMATION - 2021-015 The Peaks at Turnberry, Rincon, Effingham County</v>
      </c>
      <c r="B2" s="3133"/>
      <c r="C2" s="3133"/>
      <c r="D2" s="3133"/>
      <c r="E2" s="3133"/>
      <c r="F2" s="3133"/>
      <c r="G2" s="3133"/>
      <c r="H2" s="3133"/>
      <c r="I2" s="3133"/>
      <c r="J2" s="3133"/>
      <c r="K2" s="3133"/>
      <c r="L2" s="3133"/>
      <c r="M2" s="3133"/>
      <c r="N2" s="3133"/>
      <c r="O2" s="3133"/>
      <c r="P2" s="3134"/>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62" t="s">
        <v>6285</v>
      </c>
      <c r="B4" s="3162"/>
      <c r="C4" s="3162"/>
      <c r="D4" s="3162"/>
      <c r="E4" s="3162"/>
      <c r="F4" s="3162"/>
      <c r="G4" s="3162"/>
      <c r="H4" s="3162"/>
      <c r="I4" s="3162"/>
      <c r="J4" s="3162"/>
      <c r="K4" s="3162"/>
      <c r="L4" s="3162"/>
      <c r="M4" s="3162"/>
      <c r="N4" s="3162"/>
      <c r="O4" s="3162"/>
      <c r="P4" s="3162"/>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2260</v>
      </c>
      <c r="F6" s="290"/>
      <c r="G6" s="266" t="s">
        <v>3991</v>
      </c>
      <c r="L6" s="772"/>
      <c r="P6" s="936" t="s">
        <v>3430</v>
      </c>
      <c r="Z6" s="1773">
        <v>6</v>
      </c>
    </row>
    <row r="7" spans="1:26" s="289" customFormat="1" ht="12" customHeight="1" thickBot="1">
      <c r="B7" s="3163" t="s">
        <v>6852</v>
      </c>
      <c r="C7" s="3163"/>
      <c r="D7" s="3163"/>
      <c r="E7" s="1067"/>
      <c r="F7" s="292"/>
      <c r="G7" s="266" t="s">
        <v>6298</v>
      </c>
      <c r="H7" s="2630"/>
      <c r="I7" s="2630"/>
      <c r="J7" s="2630"/>
      <c r="O7" s="3135" t="s">
        <v>7039</v>
      </c>
      <c r="P7" s="3136"/>
      <c r="Z7" s="1773">
        <v>7</v>
      </c>
    </row>
    <row r="8" spans="1:26" s="289" customFormat="1" ht="12" customHeight="1">
      <c r="B8" s="3163"/>
      <c r="C8" s="3163"/>
      <c r="D8" s="3163"/>
      <c r="E8" s="1067"/>
      <c r="F8" s="490"/>
      <c r="G8" s="170" t="s">
        <v>3080</v>
      </c>
      <c r="H8" s="2630"/>
      <c r="I8" s="2630"/>
      <c r="J8" s="2630"/>
      <c r="Z8" s="1773">
        <v>8</v>
      </c>
    </row>
    <row r="9" spans="1:26" s="289" customFormat="1" ht="6" customHeight="1">
      <c r="A9" s="1711"/>
      <c r="B9" s="3163"/>
      <c r="C9" s="3163"/>
      <c r="D9" s="3163"/>
      <c r="E9" s="2630"/>
      <c r="H9" s="2630"/>
      <c r="I9" s="2630"/>
      <c r="M9" s="2630"/>
      <c r="Z9" s="1773">
        <v>9</v>
      </c>
    </row>
    <row r="10" spans="1:26" s="289" customFormat="1" ht="13.35" customHeight="1">
      <c r="A10" s="291" t="s">
        <v>586</v>
      </c>
      <c r="B10" s="291" t="s">
        <v>2271</v>
      </c>
      <c r="D10" s="267"/>
      <c r="E10" s="293"/>
      <c r="F10" s="2619" t="s">
        <v>3403</v>
      </c>
      <c r="I10" s="3137">
        <f>'Part IV-A-Uses of Funds'!$J$197</f>
        <v>900000</v>
      </c>
      <c r="J10" s="3138"/>
      <c r="L10" s="289" t="s">
        <v>3404</v>
      </c>
      <c r="O10" s="3139">
        <f>'Part III-Sources of Funds'!$I$6</f>
        <v>0</v>
      </c>
      <c r="P10" s="3140"/>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1949</v>
      </c>
      <c r="F12" s="3141" t="s">
        <v>6853</v>
      </c>
      <c r="G12" s="3142"/>
      <c r="H12" s="3143"/>
      <c r="I12" s="2676" t="s">
        <v>3347</v>
      </c>
      <c r="J12" s="474" t="s">
        <v>6609</v>
      </c>
      <c r="K12" s="299"/>
      <c r="L12" s="2630"/>
      <c r="O12" s="3144" t="s">
        <v>6935</v>
      </c>
      <c r="P12" s="3145"/>
      <c r="Z12" s="1773">
        <v>12</v>
      </c>
    </row>
    <row r="13" spans="1:26" s="289" customFormat="1" ht="12.75" customHeight="1">
      <c r="A13" s="1711"/>
      <c r="B13" s="1326"/>
      <c r="C13" s="1326"/>
      <c r="D13" s="1326"/>
      <c r="E13" s="1326"/>
      <c r="H13" s="2630"/>
      <c r="J13" s="1011" t="s">
        <v>4085</v>
      </c>
      <c r="K13" s="1662"/>
      <c r="M13" s="2630"/>
      <c r="O13" s="3164" t="s">
        <v>2773</v>
      </c>
      <c r="P13" s="3165"/>
      <c r="Z13" s="1773">
        <v>13</v>
      </c>
    </row>
    <row r="14" spans="1:26" s="289" customFormat="1" ht="3" customHeight="1">
      <c r="A14" s="1711"/>
      <c r="B14" s="1326"/>
      <c r="C14" s="1326"/>
      <c r="D14" s="1326"/>
      <c r="E14" s="1326"/>
      <c r="H14" s="2630"/>
      <c r="J14" s="475"/>
      <c r="K14" s="1662"/>
      <c r="M14" s="2630"/>
      <c r="Z14" s="1773">
        <v>14</v>
      </c>
    </row>
    <row r="15" spans="1:26" s="289" customFormat="1" ht="12.75" customHeight="1">
      <c r="A15" s="1711"/>
      <c r="B15" s="1326" t="s">
        <v>4289</v>
      </c>
      <c r="C15" s="1326"/>
      <c r="D15" s="1326"/>
      <c r="E15" s="1326"/>
      <c r="F15" s="2677" t="s">
        <v>2773</v>
      </c>
      <c r="G15" s="2621" t="s">
        <v>4290</v>
      </c>
      <c r="N15" s="3141" t="s">
        <v>4086</v>
      </c>
      <c r="O15" s="3142"/>
      <c r="P15" s="3143"/>
      <c r="Z15" s="1773">
        <v>15</v>
      </c>
    </row>
    <row r="16" spans="1:26" s="289" customFormat="1" ht="12.75" customHeight="1">
      <c r="A16" s="1711"/>
      <c r="B16" s="289" t="s">
        <v>4283</v>
      </c>
      <c r="D16" s="299"/>
      <c r="F16" s="3177"/>
      <c r="G16" s="3178"/>
      <c r="H16" s="3178"/>
      <c r="I16" s="3179"/>
      <c r="J16" s="289" t="s">
        <v>4121</v>
      </c>
      <c r="L16" s="3175"/>
      <c r="M16" s="3176"/>
      <c r="N16" s="289" t="s">
        <v>4120</v>
      </c>
      <c r="P16" s="2678"/>
      <c r="Z16" s="1773">
        <v>16</v>
      </c>
    </row>
    <row r="17" spans="1:26" s="289" customFormat="1" ht="12.75" customHeight="1">
      <c r="A17" s="1711"/>
      <c r="B17" s="289" t="s">
        <v>3402</v>
      </c>
      <c r="F17" s="2677"/>
      <c r="G17" s="289" t="s">
        <v>4078</v>
      </c>
      <c r="H17" s="2630"/>
      <c r="I17" s="170"/>
      <c r="J17" s="475"/>
      <c r="N17" s="3182" t="s">
        <v>2676</v>
      </c>
      <c r="O17" s="3183"/>
      <c r="P17" s="3184"/>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3827</v>
      </c>
      <c r="D19" s="2619"/>
      <c r="E19" s="293"/>
      <c r="G19" s="296"/>
      <c r="H19" s="296"/>
      <c r="I19" s="296"/>
      <c r="L19" s="295"/>
      <c r="Z19" s="1773">
        <v>19</v>
      </c>
    </row>
    <row r="20" spans="1:26" s="289" customFormat="1" ht="1.5" customHeight="1">
      <c r="A20" s="294"/>
      <c r="B20" s="293"/>
      <c r="C20" s="291"/>
      <c r="D20" s="2619"/>
      <c r="E20" s="293"/>
      <c r="G20" s="296"/>
      <c r="H20" s="296"/>
      <c r="I20" s="296"/>
      <c r="K20" s="295"/>
      <c r="L20" s="295"/>
      <c r="O20" s="772"/>
      <c r="Z20" s="1773">
        <v>20</v>
      </c>
    </row>
    <row r="21" spans="1:26" s="289" customFormat="1" ht="13.35" customHeight="1">
      <c r="B21" s="289" t="s">
        <v>3437</v>
      </c>
      <c r="F21" s="3159" t="s">
        <v>6936</v>
      </c>
      <c r="G21" s="3160"/>
      <c r="H21" s="3161"/>
      <c r="I21" s="1246" t="s">
        <v>1716</v>
      </c>
      <c r="J21" s="3159" t="s">
        <v>6937</v>
      </c>
      <c r="K21" s="3160"/>
      <c r="L21" s="3161"/>
      <c r="M21" s="321" t="s">
        <v>1891</v>
      </c>
      <c r="N21" s="3175" t="s">
        <v>6938</v>
      </c>
      <c r="O21" s="3173"/>
      <c r="P21" s="3176"/>
      <c r="Z21" s="1773">
        <v>21</v>
      </c>
    </row>
    <row r="22" spans="1:26" s="289" customFormat="1" ht="13.35" customHeight="1">
      <c r="B22" s="2619" t="s">
        <v>1892</v>
      </c>
      <c r="F22" s="3146" t="s">
        <v>6939</v>
      </c>
      <c r="G22" s="3147"/>
      <c r="H22" s="3147"/>
      <c r="I22" s="3148"/>
      <c r="J22" s="3147"/>
      <c r="K22" s="3149"/>
      <c r="L22" s="3150"/>
      <c r="M22" s="3154" t="s">
        <v>3436</v>
      </c>
      <c r="N22" s="3155"/>
      <c r="O22" s="3155"/>
      <c r="P22" s="3155"/>
      <c r="Z22" s="1773">
        <v>22</v>
      </c>
    </row>
    <row r="23" spans="1:26" s="289" customFormat="1" ht="13.35" customHeight="1">
      <c r="B23" s="2619" t="s">
        <v>588</v>
      </c>
      <c r="F23" s="3146" t="s">
        <v>6940</v>
      </c>
      <c r="G23" s="3147"/>
      <c r="H23" s="3153"/>
      <c r="I23" s="2619" t="s">
        <v>1717</v>
      </c>
      <c r="J23" s="2679" t="s">
        <v>805</v>
      </c>
      <c r="M23" s="3154"/>
      <c r="N23" s="3154"/>
      <c r="O23" s="3154"/>
      <c r="P23" s="3154"/>
      <c r="Z23" s="1773">
        <v>23</v>
      </c>
    </row>
    <row r="24" spans="1:26" s="289" customFormat="1" ht="13.35" customHeight="1">
      <c r="B24" s="2621" t="s">
        <v>2129</v>
      </c>
      <c r="F24" s="3156">
        <v>354061835</v>
      </c>
      <c r="G24" s="3157"/>
      <c r="H24" s="3158"/>
      <c r="I24" s="2619" t="s">
        <v>1643</v>
      </c>
      <c r="J24" s="3180">
        <v>2057229331</v>
      </c>
      <c r="K24" s="3181"/>
      <c r="L24" s="2636" t="s">
        <v>1642</v>
      </c>
      <c r="M24" s="2680"/>
      <c r="N24" s="2621" t="s">
        <v>1644</v>
      </c>
      <c r="O24" s="3151">
        <v>2057229331</v>
      </c>
      <c r="P24" s="3152"/>
      <c r="Z24" s="1773">
        <v>24</v>
      </c>
    </row>
    <row r="25" spans="1:26" s="289" customFormat="1" ht="13.35" customHeight="1">
      <c r="B25" s="2621" t="s">
        <v>1895</v>
      </c>
      <c r="F25" s="3172" t="s">
        <v>6941</v>
      </c>
      <c r="G25" s="3148"/>
      <c r="H25" s="3148"/>
      <c r="I25" s="3173"/>
      <c r="J25" s="3148"/>
      <c r="K25" s="3174"/>
      <c r="N25" s="2621" t="s">
        <v>1890</v>
      </c>
      <c r="O25" s="3166">
        <v>2053948000</v>
      </c>
      <c r="P25" s="3167"/>
      <c r="Z25" s="1773">
        <v>25</v>
      </c>
    </row>
    <row r="26" spans="1:26" s="289" customFormat="1" ht="13.5" customHeight="1">
      <c r="A26" s="1711"/>
      <c r="B26" s="291" t="s">
        <v>3826</v>
      </c>
      <c r="C26" s="297"/>
      <c r="D26" s="2628"/>
      <c r="E26" s="2628"/>
      <c r="F26" s="2628"/>
      <c r="H26" s="2630"/>
      <c r="I26" s="2628"/>
      <c r="J26" s="297"/>
      <c r="K26" s="2628"/>
      <c r="P26" s="298"/>
      <c r="Z26" s="1773">
        <v>26</v>
      </c>
    </row>
    <row r="27" spans="1:26" s="289" customFormat="1" ht="13.35" customHeight="1">
      <c r="B27" s="289" t="s">
        <v>3437</v>
      </c>
      <c r="F27" s="3159" t="s">
        <v>6854</v>
      </c>
      <c r="G27" s="3160"/>
      <c r="H27" s="3161"/>
      <c r="I27" s="1246" t="s">
        <v>1716</v>
      </c>
      <c r="J27" s="3159" t="s">
        <v>6986</v>
      </c>
      <c r="K27" s="3160"/>
      <c r="L27" s="3161"/>
      <c r="M27" s="321" t="s">
        <v>1891</v>
      </c>
      <c r="N27" s="3175" t="s">
        <v>6987</v>
      </c>
      <c r="O27" s="3173"/>
      <c r="P27" s="3176"/>
      <c r="Z27" s="1773">
        <v>27</v>
      </c>
    </row>
    <row r="28" spans="1:26" s="289" customFormat="1" ht="13.35" customHeight="1">
      <c r="B28" s="2619" t="s">
        <v>1892</v>
      </c>
      <c r="F28" s="3146" t="s">
        <v>6855</v>
      </c>
      <c r="G28" s="3147"/>
      <c r="H28" s="3147"/>
      <c r="I28" s="3148"/>
      <c r="J28" s="3147"/>
      <c r="K28" s="3149"/>
      <c r="L28" s="3150"/>
      <c r="M28" s="3154" t="s">
        <v>3436</v>
      </c>
      <c r="N28" s="3155"/>
      <c r="O28" s="3155"/>
      <c r="P28" s="3155"/>
      <c r="Z28" s="1773">
        <v>28</v>
      </c>
    </row>
    <row r="29" spans="1:26" s="289" customFormat="1" ht="13.35" customHeight="1">
      <c r="B29" s="2619" t="s">
        <v>588</v>
      </c>
      <c r="F29" s="3146" t="s">
        <v>6856</v>
      </c>
      <c r="G29" s="3147"/>
      <c r="H29" s="3153"/>
      <c r="I29" s="2619" t="s">
        <v>1717</v>
      </c>
      <c r="J29" s="2679" t="s">
        <v>805</v>
      </c>
      <c r="M29" s="3154"/>
      <c r="N29" s="3154"/>
      <c r="O29" s="3154"/>
      <c r="P29" s="3154"/>
      <c r="Z29" s="1773">
        <v>29</v>
      </c>
    </row>
    <row r="30" spans="1:26" s="289" customFormat="1" ht="13.35" customHeight="1">
      <c r="B30" s="2621" t="s">
        <v>2129</v>
      </c>
      <c r="F30" s="3156">
        <v>359713484</v>
      </c>
      <c r="G30" s="3157"/>
      <c r="H30" s="3158"/>
      <c r="I30" s="2619" t="s">
        <v>1643</v>
      </c>
      <c r="J30" s="3180">
        <v>2564174920</v>
      </c>
      <c r="K30" s="3181"/>
      <c r="L30" s="2636" t="s">
        <v>1642</v>
      </c>
      <c r="M30" s="2680">
        <v>288</v>
      </c>
      <c r="N30" s="2621" t="s">
        <v>1644</v>
      </c>
      <c r="O30" s="3151">
        <v>4234132650</v>
      </c>
      <c r="P30" s="3152"/>
      <c r="Z30" s="1773">
        <v>30</v>
      </c>
    </row>
    <row r="31" spans="1:26" s="289" customFormat="1" ht="13.35" customHeight="1">
      <c r="B31" s="2621" t="s">
        <v>1895</v>
      </c>
      <c r="F31" s="3172" t="s">
        <v>6988</v>
      </c>
      <c r="G31" s="3148"/>
      <c r="H31" s="3148"/>
      <c r="I31" s="3173"/>
      <c r="J31" s="3148"/>
      <c r="K31" s="3174"/>
      <c r="N31" s="2621" t="s">
        <v>1890</v>
      </c>
      <c r="O31" s="3166">
        <v>4234132650</v>
      </c>
      <c r="P31" s="3167"/>
      <c r="Z31" s="1773">
        <v>31</v>
      </c>
    </row>
    <row r="32" spans="1:26" s="289" customFormat="1" ht="6" customHeight="1">
      <c r="A32" s="1711"/>
      <c r="B32" s="1711"/>
      <c r="C32" s="297"/>
      <c r="D32" s="2628"/>
      <c r="E32" s="2628"/>
      <c r="F32" s="2628"/>
      <c r="H32" s="2630"/>
      <c r="I32" s="2628"/>
      <c r="J32" s="297"/>
      <c r="K32" s="2628"/>
      <c r="P32" s="298"/>
      <c r="Z32" s="1773">
        <v>32</v>
      </c>
    </row>
    <row r="33" spans="1:26" s="289" customFormat="1" ht="13.35" customHeight="1">
      <c r="A33" s="294" t="s">
        <v>1711</v>
      </c>
      <c r="B33" s="291" t="s">
        <v>1415</v>
      </c>
      <c r="D33" s="267"/>
      <c r="E33" s="293"/>
      <c r="F33" s="293"/>
      <c r="G33" s="2619"/>
      <c r="H33" s="293"/>
      <c r="I33" s="293"/>
      <c r="J33" s="296"/>
      <c r="L33" s="295"/>
      <c r="M33" s="295"/>
      <c r="Z33" s="1773">
        <v>33</v>
      </c>
    </row>
    <row r="34" spans="1:26" s="289" customFormat="1" ht="1.5" customHeight="1">
      <c r="A34" s="294"/>
      <c r="B34" s="291"/>
      <c r="D34" s="267"/>
      <c r="E34" s="293"/>
      <c r="F34" s="293"/>
      <c r="G34" s="2619"/>
      <c r="H34" s="293"/>
      <c r="I34" s="293"/>
      <c r="J34" s="296"/>
      <c r="L34" s="295"/>
      <c r="Z34" s="1773">
        <v>34</v>
      </c>
    </row>
    <row r="35" spans="1:26" s="289" customFormat="1" ht="13.35" customHeight="1">
      <c r="A35" s="291"/>
      <c r="B35" s="289" t="s">
        <v>587</v>
      </c>
      <c r="D35" s="299"/>
      <c r="F35" s="3189" t="s">
        <v>6942</v>
      </c>
      <c r="G35" s="3190"/>
      <c r="H35" s="3190"/>
      <c r="I35" s="3190"/>
      <c r="J35" s="3190"/>
      <c r="K35" s="3191"/>
      <c r="L35" s="2621" t="s">
        <v>2098</v>
      </c>
      <c r="O35" s="3159" t="s">
        <v>2773</v>
      </c>
      <c r="P35" s="3161"/>
      <c r="Z35" s="1773">
        <v>35</v>
      </c>
    </row>
    <row r="36" spans="1:26" s="289" customFormat="1" ht="13.35" customHeight="1">
      <c r="A36" s="300"/>
      <c r="B36" s="289" t="s">
        <v>2549</v>
      </c>
      <c r="D36" s="301"/>
      <c r="F36" s="3168" t="s">
        <v>6943</v>
      </c>
      <c r="G36" s="3169"/>
      <c r="H36" s="3169"/>
      <c r="I36" s="3169"/>
      <c r="J36" s="3169"/>
      <c r="K36" s="3170"/>
      <c r="L36" s="289" t="s">
        <v>3322</v>
      </c>
      <c r="O36" s="3171"/>
      <c r="P36" s="3153"/>
      <c r="Z36" s="1773">
        <v>36</v>
      </c>
    </row>
    <row r="37" spans="1:26" s="289" customFormat="1" ht="13.35" customHeight="1">
      <c r="A37" s="300"/>
      <c r="B37" s="289" t="s">
        <v>2573</v>
      </c>
      <c r="D37" s="301"/>
      <c r="F37" s="3171" t="s">
        <v>6944</v>
      </c>
      <c r="G37" s="3147"/>
      <c r="H37" s="3147"/>
      <c r="I37" s="3149"/>
      <c r="J37" s="3147"/>
      <c r="K37" s="3153"/>
      <c r="L37" s="2621" t="s">
        <v>1959</v>
      </c>
      <c r="N37" s="2680" t="s">
        <v>2773</v>
      </c>
      <c r="O37" s="2630" t="s">
        <v>3321</v>
      </c>
      <c r="P37" s="2681"/>
      <c r="Z37" s="1773">
        <v>37</v>
      </c>
    </row>
    <row r="38" spans="1:26" s="289" customFormat="1" ht="13.35" customHeight="1">
      <c r="A38" s="300"/>
      <c r="B38" s="289" t="s">
        <v>3363</v>
      </c>
      <c r="D38" s="301"/>
      <c r="F38" s="289" t="s">
        <v>3348</v>
      </c>
      <c r="G38" s="3185">
        <v>32.249740000000003</v>
      </c>
      <c r="H38" s="3186"/>
      <c r="I38" s="2636" t="s">
        <v>3349</v>
      </c>
      <c r="J38" s="3185">
        <v>-81.208759999999998</v>
      </c>
      <c r="K38" s="3186"/>
      <c r="L38" s="2621" t="s">
        <v>2181</v>
      </c>
      <c r="O38" s="3192">
        <v>17.68</v>
      </c>
      <c r="P38" s="3193"/>
      <c r="Z38" s="1773">
        <v>38</v>
      </c>
    </row>
    <row r="39" spans="1:26" s="289" customFormat="1" ht="13.35" customHeight="1">
      <c r="A39" s="1711"/>
      <c r="B39" s="289" t="s">
        <v>588</v>
      </c>
      <c r="F39" s="3159" t="s">
        <v>62</v>
      </c>
      <c r="G39" s="3203"/>
      <c r="H39" s="3204"/>
      <c r="I39" s="305" t="s">
        <v>2550</v>
      </c>
      <c r="J39" s="3156">
        <v>313265469</v>
      </c>
      <c r="K39" s="3158"/>
      <c r="L39" s="356" t="str">
        <f>IF(AND(NOT(F35=""),NOT(F39="Select from list"),J39=""),"Enter Zip!","")</f>
        <v/>
      </c>
      <c r="M39" s="303" t="s">
        <v>2694</v>
      </c>
      <c r="O39" s="3187" t="s">
        <v>6945</v>
      </c>
      <c r="P39" s="3188"/>
      <c r="Z39" s="1773">
        <v>39</v>
      </c>
    </row>
    <row r="40" spans="1:26" s="289" customFormat="1" ht="13.35" customHeight="1">
      <c r="A40" s="1711"/>
      <c r="B40" s="2628" t="s">
        <v>4100</v>
      </c>
      <c r="D40" s="2628"/>
      <c r="F40" s="3171" t="s">
        <v>6946</v>
      </c>
      <c r="G40" s="3149"/>
      <c r="H40" s="3150"/>
      <c r="I40" s="302" t="s">
        <v>589</v>
      </c>
      <c r="J40" s="3197" t="str">
        <f>IF(F39="","",VLOOKUP(F39,'DCA Underwriting Assumptions'!$T$174:$U$803,2,FALSE))</f>
        <v>Effingham</v>
      </c>
      <c r="K40" s="3198"/>
      <c r="M40" s="2621" t="s">
        <v>431</v>
      </c>
      <c r="N40" s="2682" t="s">
        <v>2773</v>
      </c>
      <c r="O40" s="2630" t="s">
        <v>432</v>
      </c>
      <c r="P40" s="2678" t="s">
        <v>2773</v>
      </c>
      <c r="Z40" s="1773">
        <v>40</v>
      </c>
    </row>
    <row r="41" spans="1:26" s="289" customFormat="1" ht="13.35" customHeight="1">
      <c r="A41" s="1711"/>
      <c r="B41" s="291"/>
      <c r="C41" s="289" t="s">
        <v>1494</v>
      </c>
      <c r="F41" s="2683" t="s">
        <v>2770</v>
      </c>
      <c r="G41" s="2624"/>
      <c r="H41" s="2625"/>
      <c r="I41" s="1617"/>
      <c r="J41" s="2636" t="s">
        <v>2611</v>
      </c>
      <c r="K41" s="1362" t="str">
        <f>IF(OR(F41="Yes",I41="Yes"),"Rural","Urban")</f>
        <v>Rural</v>
      </c>
      <c r="M41" s="2621" t="s">
        <v>2488</v>
      </c>
      <c r="N41" s="1363" t="str">
        <f>VLOOKUP($J$40,'DCA Underwriting Assumptions'!$G$174:$J$333,4)</f>
        <v>MSA</v>
      </c>
      <c r="O41" s="3199" t="str">
        <f>IF($F$39="","",VLOOKUP($J$40,'DCA Underwriting Assumptions'!$G$174:$L$333,3,FALSE))</f>
        <v>Savannah</v>
      </c>
      <c r="P41" s="3200"/>
      <c r="Z41" s="1773">
        <v>41</v>
      </c>
    </row>
    <row r="42" spans="1:26" s="289" customFormat="1" ht="6" customHeight="1">
      <c r="A42" s="1711"/>
      <c r="B42" s="291"/>
      <c r="C42" s="291"/>
      <c r="I42" s="2619"/>
      <c r="J42" s="2628"/>
      <c r="L42" s="2642"/>
      <c r="M42" s="2642"/>
      <c r="N42" s="2642"/>
      <c r="O42" s="2642"/>
      <c r="P42" s="2642"/>
      <c r="Z42" s="1773">
        <v>42</v>
      </c>
    </row>
    <row r="43" spans="1:26" s="289" customFormat="1" ht="13.35" customHeight="1">
      <c r="A43" s="1711"/>
      <c r="C43" s="289" t="s">
        <v>2579</v>
      </c>
      <c r="F43" s="3201" t="s">
        <v>2593</v>
      </c>
      <c r="G43" s="3201"/>
      <c r="H43" s="3202" t="s">
        <v>706</v>
      </c>
      <c r="I43" s="3202"/>
      <c r="J43" s="3202" t="s">
        <v>707</v>
      </c>
      <c r="K43" s="3202"/>
      <c r="L43" s="468" t="s">
        <v>4018</v>
      </c>
      <c r="Z43" s="1773">
        <v>43</v>
      </c>
    </row>
    <row r="44" spans="1:26" s="289" customFormat="1" ht="13.35" customHeight="1">
      <c r="A44" s="1711"/>
      <c r="B44" s="289" t="s">
        <v>2592</v>
      </c>
      <c r="D44" s="291"/>
      <c r="F44" s="3194">
        <v>1</v>
      </c>
      <c r="G44" s="3195"/>
      <c r="H44" s="3194">
        <v>4</v>
      </c>
      <c r="I44" s="3195"/>
      <c r="J44" s="3194">
        <v>161</v>
      </c>
      <c r="K44" s="3195"/>
      <c r="L44" s="464" t="s">
        <v>1235</v>
      </c>
      <c r="N44" s="3196" t="s">
        <v>1236</v>
      </c>
      <c r="O44" s="3196"/>
      <c r="P44" s="3196"/>
      <c r="Z44" s="1773">
        <v>44</v>
      </c>
    </row>
    <row r="45" spans="1:26" s="289" customFormat="1" ht="12.75" customHeight="1">
      <c r="A45" s="1711"/>
      <c r="B45" s="2619" t="s">
        <v>708</v>
      </c>
      <c r="F45" s="3205"/>
      <c r="G45" s="3206"/>
      <c r="H45" s="3205"/>
      <c r="I45" s="3206"/>
      <c r="J45" s="3205"/>
      <c r="K45" s="3206"/>
      <c r="L45" s="464" t="s">
        <v>2591</v>
      </c>
      <c r="N45" s="3207" t="s">
        <v>2590</v>
      </c>
      <c r="O45" s="3207"/>
      <c r="Z45" s="1773">
        <v>45</v>
      </c>
    </row>
    <row r="46" spans="1:26" s="289" customFormat="1" ht="3" customHeight="1">
      <c r="A46" s="1711"/>
      <c r="I46" s="2642"/>
      <c r="J46" s="2642"/>
      <c r="K46" s="2642"/>
      <c r="L46" s="2628"/>
      <c r="M46" s="2628"/>
      <c r="N46" s="2628"/>
      <c r="O46" s="2628"/>
      <c r="P46" s="2628"/>
      <c r="Z46" s="1773">
        <v>46</v>
      </c>
    </row>
    <row r="47" spans="1:26" s="289" customFormat="1" ht="13.35" customHeight="1">
      <c r="A47" s="1711"/>
      <c r="B47" s="291" t="s">
        <v>607</v>
      </c>
      <c r="F47" s="3215" t="s">
        <v>6947</v>
      </c>
      <c r="G47" s="3216"/>
      <c r="H47" s="3216"/>
      <c r="I47" s="3217"/>
      <c r="J47" s="3216"/>
      <c r="K47" s="3218"/>
      <c r="L47" s="771" t="s">
        <v>2554</v>
      </c>
      <c r="M47" s="3175" t="s">
        <v>6948</v>
      </c>
      <c r="N47" s="3173"/>
      <c r="O47" s="3173"/>
      <c r="P47" s="3176"/>
      <c r="Z47" s="1773">
        <v>47</v>
      </c>
    </row>
    <row r="48" spans="1:26" s="289" customFormat="1" ht="13.35" customHeight="1">
      <c r="A48" s="1711"/>
      <c r="B48" s="289" t="s">
        <v>608</v>
      </c>
      <c r="F48" s="3219" t="s">
        <v>6951</v>
      </c>
      <c r="G48" s="3220"/>
      <c r="H48" s="3221"/>
      <c r="I48" s="916" t="s">
        <v>1891</v>
      </c>
      <c r="J48" s="3168" t="s">
        <v>6952</v>
      </c>
      <c r="K48" s="3170"/>
      <c r="L48" s="771"/>
      <c r="Z48" s="1773">
        <v>48</v>
      </c>
    </row>
    <row r="49" spans="1:26" s="289" customFormat="1" ht="13.35" customHeight="1">
      <c r="A49" s="1711"/>
      <c r="B49" s="289" t="s">
        <v>1892</v>
      </c>
      <c r="F49" s="3222" t="s">
        <v>6949</v>
      </c>
      <c r="G49" s="3223"/>
      <c r="H49" s="3224"/>
      <c r="I49" s="3216"/>
      <c r="J49" s="3223"/>
      <c r="K49" s="3225"/>
      <c r="L49" s="2620" t="s">
        <v>588</v>
      </c>
      <c r="M49" s="3226" t="s">
        <v>2400</v>
      </c>
      <c r="N49" s="3227"/>
      <c r="O49" s="3227"/>
      <c r="P49" s="3228"/>
      <c r="Z49" s="1773">
        <v>49</v>
      </c>
    </row>
    <row r="50" spans="1:26" s="289" customFormat="1" ht="13.35" customHeight="1">
      <c r="A50" s="1711"/>
      <c r="B50" s="2621" t="s">
        <v>2129</v>
      </c>
      <c r="F50" s="3230">
        <v>313260000</v>
      </c>
      <c r="G50" s="3231"/>
      <c r="H50" s="2636" t="s">
        <v>1893</v>
      </c>
      <c r="I50" s="3232">
        <v>9127542123</v>
      </c>
      <c r="J50" s="3233"/>
      <c r="K50" s="3234"/>
      <c r="L50" s="2619" t="s">
        <v>1718</v>
      </c>
      <c r="M50" s="3235" t="s">
        <v>6950</v>
      </c>
      <c r="N50" s="3236"/>
      <c r="O50" s="3236"/>
      <c r="P50" s="3237"/>
      <c r="Z50" s="1773">
        <v>50</v>
      </c>
    </row>
    <row r="51" spans="1:26" s="289" customFormat="1" ht="6" customHeight="1">
      <c r="A51" s="1711"/>
      <c r="B51" s="1711"/>
      <c r="C51" s="304"/>
      <c r="D51" s="305"/>
      <c r="E51" s="305"/>
      <c r="F51" s="2630"/>
      <c r="G51" s="2630"/>
      <c r="H51" s="2630"/>
      <c r="I51" s="2630"/>
      <c r="J51" s="305"/>
      <c r="K51" s="2630"/>
      <c r="L51" s="2630"/>
      <c r="N51" s="2628"/>
      <c r="O51" s="2628"/>
      <c r="P51" s="298"/>
      <c r="Z51" s="1773">
        <v>51</v>
      </c>
    </row>
    <row r="52" spans="1:26" s="289" customFormat="1" ht="12" customHeight="1">
      <c r="A52" s="294" t="s">
        <v>1713</v>
      </c>
      <c r="B52" s="291" t="s">
        <v>1416</v>
      </c>
      <c r="F52" s="306"/>
      <c r="I52" s="2621"/>
      <c r="J52" s="2628"/>
      <c r="K52" s="2628"/>
      <c r="L52" s="2628"/>
      <c r="M52" s="2628"/>
      <c r="Z52" s="1773">
        <v>52</v>
      </c>
    </row>
    <row r="53" spans="1:26" s="289" customFormat="1" ht="1.5" customHeight="1">
      <c r="A53" s="1711"/>
      <c r="B53" s="291"/>
      <c r="C53" s="291"/>
      <c r="I53" s="2621"/>
      <c r="J53" s="2628"/>
      <c r="K53" s="2628"/>
      <c r="L53" s="2628"/>
      <c r="M53" s="2628"/>
      <c r="N53" s="2628"/>
      <c r="O53" s="2628"/>
      <c r="P53" s="2628"/>
      <c r="Q53" s="2628"/>
      <c r="Z53" s="1773">
        <v>53</v>
      </c>
    </row>
    <row r="54" spans="1:26" s="289" customFormat="1">
      <c r="A54" s="1711"/>
      <c r="B54" s="1711" t="s">
        <v>1894</v>
      </c>
      <c r="C54" s="291" t="s">
        <v>688</v>
      </c>
      <c r="I54" s="2628"/>
      <c r="J54" s="2628"/>
      <c r="K54" s="465"/>
      <c r="L54" s="2628"/>
      <c r="M54" s="467"/>
      <c r="N54" s="467"/>
      <c r="O54" s="467"/>
      <c r="P54" s="467"/>
      <c r="Q54" s="2630"/>
      <c r="Z54" s="1773">
        <v>54</v>
      </c>
    </row>
    <row r="55" spans="1:26" ht="13.35" customHeight="1">
      <c r="B55" s="1711"/>
      <c r="C55" s="289" t="s">
        <v>2193</v>
      </c>
      <c r="D55" s="289"/>
      <c r="E55" s="289"/>
      <c r="H55" s="930">
        <f>'Part VI-Revenues &amp; Expenses'!$P$115</f>
        <v>48</v>
      </c>
      <c r="K55" s="2619" t="s">
        <v>3314</v>
      </c>
      <c r="L55" s="289"/>
      <c r="M55" s="804" t="s">
        <v>3313</v>
      </c>
      <c r="N55" s="308">
        <f>'Part VI-Revenues &amp; Expenses'!$P$122</f>
        <v>0</v>
      </c>
      <c r="O55" s="805" t="s">
        <v>3118</v>
      </c>
      <c r="P55" s="308">
        <f>'Part VI-Revenues &amp; Expenses'!$P$123</f>
        <v>0</v>
      </c>
      <c r="Q55" s="2630"/>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19" t="s">
        <v>335</v>
      </c>
      <c r="D57" s="2628"/>
      <c r="H57" s="932">
        <f>'Part VI-Revenues &amp; Expenses'!$P$118</f>
        <v>0</v>
      </c>
      <c r="I57" s="454" t="s">
        <v>2698</v>
      </c>
      <c r="K57" s="289" t="s">
        <v>337</v>
      </c>
      <c r="P57" s="2684"/>
      <c r="Q57" s="2630"/>
      <c r="Z57" s="1773">
        <v>57</v>
      </c>
    </row>
    <row r="58" spans="1:26" s="289" customFormat="1" ht="3.6" customHeight="1">
      <c r="A58" s="1711"/>
      <c r="P58" s="2628"/>
      <c r="Z58" s="1773">
        <v>58</v>
      </c>
    </row>
    <row r="59" spans="1:26" s="289" customFormat="1">
      <c r="A59" s="1711"/>
      <c r="B59" s="1711" t="s">
        <v>1896</v>
      </c>
      <c r="C59" s="291" t="s">
        <v>2194</v>
      </c>
      <c r="H59" s="2685" t="s">
        <v>2773</v>
      </c>
      <c r="K59" s="2628"/>
      <c r="L59" s="2628"/>
      <c r="M59" s="2628"/>
      <c r="N59" s="2628"/>
      <c r="O59" s="467"/>
      <c r="P59" s="465"/>
      <c r="Q59" s="2628"/>
      <c r="Z59" s="1773">
        <v>59</v>
      </c>
    </row>
    <row r="60" spans="1:26" s="289" customFormat="1" ht="3" customHeight="1">
      <c r="A60" s="1711"/>
      <c r="I60" s="2628"/>
      <c r="J60" s="465"/>
      <c r="K60" s="466"/>
      <c r="L60" s="465"/>
      <c r="M60" s="466"/>
      <c r="N60" s="466"/>
      <c r="O60" s="466"/>
      <c r="P60" s="466"/>
      <c r="Q60" s="2628"/>
      <c r="Z60" s="1773">
        <v>60</v>
      </c>
    </row>
    <row r="61" spans="1:26" s="289" customFormat="1" ht="13.35" customHeight="1">
      <c r="A61" s="1711"/>
      <c r="B61" s="300" t="s">
        <v>719</v>
      </c>
      <c r="C61" s="299" t="s">
        <v>2174</v>
      </c>
      <c r="D61" s="2628"/>
      <c r="I61" s="2631" t="s">
        <v>3257</v>
      </c>
      <c r="J61" s="300" t="s">
        <v>2022</v>
      </c>
      <c r="K61" s="310" t="s">
        <v>2199</v>
      </c>
      <c r="M61" s="2628"/>
      <c r="N61" s="2628"/>
      <c r="O61" s="2628"/>
      <c r="P61" s="2630"/>
      <c r="Q61" s="2630"/>
      <c r="R61" s="2630"/>
      <c r="S61" s="2628"/>
      <c r="Z61" s="1773">
        <v>61</v>
      </c>
    </row>
    <row r="62" spans="1:26" s="289" customFormat="1" ht="13.35" customHeight="1">
      <c r="A62" s="1711"/>
      <c r="B62" s="2622"/>
      <c r="C62" s="297" t="s">
        <v>2175</v>
      </c>
      <c r="D62" s="2628"/>
      <c r="E62" s="2628"/>
      <c r="H62" s="750">
        <f>'Part VI-Revenues &amp; Expenses'!$P$63</f>
        <v>48</v>
      </c>
      <c r="I62" s="575">
        <f>'Part VI-Revenues &amp; Expenses'!$P$100</f>
        <v>0</v>
      </c>
      <c r="J62" s="1711"/>
      <c r="K62" s="297" t="s">
        <v>2601</v>
      </c>
      <c r="M62" s="2628"/>
      <c r="N62" s="2628"/>
      <c r="O62" s="2628"/>
      <c r="P62" s="750">
        <f>'Part VI-Revenues &amp; Expenses'!P164</f>
        <v>51564</v>
      </c>
      <c r="Z62" s="1773">
        <v>62</v>
      </c>
    </row>
    <row r="63" spans="1:26" s="289" customFormat="1" ht="13.35" customHeight="1">
      <c r="A63" s="1711"/>
      <c r="C63" s="297" t="s">
        <v>242</v>
      </c>
      <c r="D63" s="2628"/>
      <c r="E63" s="2628"/>
      <c r="H63" s="1747">
        <f>'Part VI-Revenues &amp; Expenses'!$P$64</f>
        <v>0</v>
      </c>
      <c r="J63" s="1711"/>
      <c r="K63" s="297" t="s">
        <v>2602</v>
      </c>
      <c r="M63" s="2628"/>
      <c r="N63" s="2628"/>
      <c r="O63" s="2628"/>
      <c r="P63" s="1747">
        <f>'Part VI-Revenues &amp; Expenses'!$P$165</f>
        <v>0</v>
      </c>
      <c r="Z63" s="1773">
        <v>63</v>
      </c>
    </row>
    <row r="64" spans="1:26" s="289" customFormat="1" ht="13.35" customHeight="1">
      <c r="A64" s="1711"/>
      <c r="C64" s="297" t="s">
        <v>2298</v>
      </c>
      <c r="D64" s="2628"/>
      <c r="E64" s="2628"/>
      <c r="H64" s="1747">
        <f>H62+H63</f>
        <v>48</v>
      </c>
      <c r="J64" s="1711"/>
      <c r="K64" s="297" t="s">
        <v>2603</v>
      </c>
      <c r="M64" s="2628"/>
      <c r="N64" s="2628"/>
      <c r="O64" s="2628"/>
      <c r="P64" s="1747">
        <f>P62+P63</f>
        <v>51564</v>
      </c>
      <c r="Z64" s="1773">
        <v>64</v>
      </c>
    </row>
    <row r="65" spans="1:26" s="289" customFormat="1" ht="13.35" customHeight="1">
      <c r="A65" s="1711"/>
      <c r="C65" s="297" t="s">
        <v>2299</v>
      </c>
      <c r="D65" s="2628"/>
      <c r="E65" s="2628"/>
      <c r="H65" s="751">
        <f>'Part VI-Revenues &amp; Expenses'!$P$66</f>
        <v>0</v>
      </c>
      <c r="J65" s="1711"/>
      <c r="K65" s="297" t="s">
        <v>2604</v>
      </c>
      <c r="M65" s="2628"/>
      <c r="N65" s="2628"/>
      <c r="O65" s="2628"/>
      <c r="P65" s="751">
        <f>'Part VI-Revenues &amp; Expenses'!$P$167</f>
        <v>0</v>
      </c>
      <c r="Z65" s="1773">
        <v>65</v>
      </c>
    </row>
    <row r="66" spans="1:26" s="289" customFormat="1" ht="13.35" customHeight="1">
      <c r="A66" s="1711"/>
      <c r="C66" s="297" t="s">
        <v>1712</v>
      </c>
      <c r="D66" s="2628"/>
      <c r="E66" s="2628"/>
      <c r="H66" s="311">
        <f>+H64+H65</f>
        <v>48</v>
      </c>
      <c r="J66" s="2628"/>
      <c r="K66" s="297" t="s">
        <v>1369</v>
      </c>
      <c r="M66" s="2628"/>
      <c r="N66" s="2628"/>
      <c r="O66" s="2628"/>
      <c r="P66" s="311">
        <f>+P64+P65</f>
        <v>51564</v>
      </c>
      <c r="Z66" s="1773">
        <v>66</v>
      </c>
    </row>
    <row r="67" spans="1:26" s="289" customFormat="1" ht="3" customHeight="1">
      <c r="A67" s="1711"/>
      <c r="I67" s="2630"/>
      <c r="L67" s="2630"/>
      <c r="M67" s="2630"/>
      <c r="N67" s="2628"/>
      <c r="P67" s="298"/>
      <c r="Z67" s="1773">
        <v>67</v>
      </c>
    </row>
    <row r="68" spans="1:26" s="289" customFormat="1" ht="11.25" customHeight="1">
      <c r="A68" s="1711"/>
      <c r="H68" s="2636" t="s">
        <v>3443</v>
      </c>
      <c r="I68" s="2636" t="s">
        <v>2544</v>
      </c>
      <c r="L68" s="2630"/>
      <c r="M68" s="2630"/>
      <c r="N68" s="2628"/>
      <c r="P68" s="298"/>
      <c r="Z68" s="1773">
        <v>68</v>
      </c>
    </row>
    <row r="69" spans="1:26" s="289" customFormat="1" ht="13.35" customHeight="1">
      <c r="A69" s="1711"/>
      <c r="B69" s="1711" t="s">
        <v>1656</v>
      </c>
      <c r="C69" s="299" t="s">
        <v>2195</v>
      </c>
      <c r="D69" s="312" t="s">
        <v>1907</v>
      </c>
      <c r="G69" s="2628"/>
      <c r="H69" s="2686">
        <v>3</v>
      </c>
      <c r="I69" s="2686"/>
      <c r="K69" s="297" t="s">
        <v>4073</v>
      </c>
      <c r="O69" s="2628"/>
      <c r="P69" s="2687">
        <v>1500</v>
      </c>
      <c r="Z69" s="1773">
        <v>69</v>
      </c>
    </row>
    <row r="70" spans="1:26" s="289" customFormat="1" ht="13.35" customHeight="1">
      <c r="A70" s="1711"/>
      <c r="B70" s="1711"/>
      <c r="D70" s="2622" t="s">
        <v>1908</v>
      </c>
      <c r="H70" s="2688">
        <v>1</v>
      </c>
      <c r="I70" s="2688"/>
      <c r="K70" s="297" t="s">
        <v>241</v>
      </c>
      <c r="O70" s="2628"/>
      <c r="P70" s="311">
        <f>+P66+P69</f>
        <v>53064</v>
      </c>
      <c r="Z70" s="1773">
        <v>70</v>
      </c>
    </row>
    <row r="71" spans="1:26" s="289" customFormat="1" ht="13.35" customHeight="1">
      <c r="A71" s="1711"/>
      <c r="B71" s="1711"/>
      <c r="D71" s="2622" t="s">
        <v>1909</v>
      </c>
      <c r="H71" s="311">
        <f>+H69+H70</f>
        <v>4</v>
      </c>
      <c r="I71" s="311">
        <f>+I69+I70</f>
        <v>0</v>
      </c>
      <c r="Z71" s="1773">
        <v>71</v>
      </c>
    </row>
    <row r="72" spans="1:26" s="289" customFormat="1" ht="3" customHeight="1">
      <c r="A72" s="1711"/>
      <c r="B72" s="1711"/>
      <c r="C72" s="2628"/>
      <c r="D72" s="2628"/>
      <c r="E72" s="2628"/>
      <c r="F72" s="2628"/>
      <c r="G72" s="2630"/>
      <c r="I72" s="297"/>
      <c r="J72" s="2628"/>
      <c r="P72" s="298"/>
      <c r="Z72" s="1773">
        <v>72</v>
      </c>
    </row>
    <row r="73" spans="1:26" s="289" customFormat="1" ht="13.35" customHeight="1">
      <c r="A73" s="1711"/>
      <c r="B73" s="1711" t="s">
        <v>1657</v>
      </c>
      <c r="C73" s="299" t="s">
        <v>2637</v>
      </c>
      <c r="D73" s="2628"/>
      <c r="E73" s="2628"/>
      <c r="F73" s="2628"/>
      <c r="G73" s="2628"/>
      <c r="H73" s="2687">
        <v>93</v>
      </c>
      <c r="K73" s="3229" t="s">
        <v>6779</v>
      </c>
      <c r="L73" s="3229"/>
      <c r="M73" s="3229"/>
      <c r="N73" s="3229"/>
      <c r="O73" s="3229"/>
      <c r="P73" s="3229"/>
      <c r="Z73" s="1773">
        <v>73</v>
      </c>
    </row>
    <row r="74" spans="1:26" s="289" customFormat="1" ht="6" customHeight="1">
      <c r="A74" s="1711"/>
      <c r="B74" s="1711"/>
      <c r="C74" s="297"/>
      <c r="D74" s="2628"/>
      <c r="E74" s="2628"/>
      <c r="F74" s="2628"/>
      <c r="G74" s="2630"/>
      <c r="H74" s="2628"/>
      <c r="I74" s="297"/>
      <c r="J74" s="297"/>
      <c r="K74" s="3229"/>
      <c r="L74" s="3229"/>
      <c r="M74" s="3229"/>
      <c r="N74" s="3229"/>
      <c r="O74" s="3229"/>
      <c r="P74" s="3229"/>
      <c r="Z74" s="1773">
        <v>74</v>
      </c>
    </row>
    <row r="75" spans="1:26" s="289" customFormat="1" ht="13.35" customHeight="1">
      <c r="A75" s="1711" t="s">
        <v>505</v>
      </c>
      <c r="B75" s="313" t="s">
        <v>1146</v>
      </c>
      <c r="D75" s="313"/>
      <c r="E75" s="313"/>
      <c r="F75" s="2628"/>
      <c r="G75" s="2630"/>
      <c r="H75" s="477"/>
      <c r="K75" s="3229"/>
      <c r="L75" s="3229"/>
      <c r="M75" s="3229"/>
      <c r="N75" s="3229"/>
      <c r="O75" s="3229"/>
      <c r="P75" s="3229"/>
      <c r="Z75" s="1773">
        <v>75</v>
      </c>
    </row>
    <row r="76" spans="1:26" s="289" customFormat="1" ht="3" customHeight="1">
      <c r="A76" s="1711"/>
      <c r="C76" s="1298"/>
      <c r="D76" s="1298"/>
      <c r="E76" s="1298"/>
      <c r="F76" s="2628"/>
      <c r="G76" s="2630"/>
      <c r="K76" s="2628"/>
      <c r="P76" s="298"/>
      <c r="Z76" s="1773">
        <v>76</v>
      </c>
    </row>
    <row r="77" spans="1:26" s="289" customFormat="1" ht="13.35" customHeight="1">
      <c r="A77" s="1711"/>
      <c r="B77" s="1711" t="s">
        <v>1894</v>
      </c>
      <c r="C77" s="1662" t="s">
        <v>6604</v>
      </c>
      <c r="D77" s="1298"/>
      <c r="E77" s="1739" t="s">
        <v>6605</v>
      </c>
      <c r="F77" s="2628"/>
      <c r="G77" s="2630"/>
      <c r="H77" s="3238" t="s">
        <v>2699</v>
      </c>
      <c r="I77" s="3239"/>
      <c r="J77" s="3240"/>
      <c r="K77" s="3214" t="s">
        <v>1692</v>
      </c>
      <c r="L77" s="3214"/>
      <c r="M77" s="3175"/>
      <c r="N77" s="3173"/>
      <c r="O77" s="3173"/>
      <c r="P77" s="3176"/>
      <c r="Z77" s="1773">
        <v>77</v>
      </c>
    </row>
    <row r="78" spans="1:26" s="289" customFormat="1" ht="3" customHeight="1">
      <c r="A78" s="1711"/>
      <c r="B78" s="1711"/>
      <c r="D78" s="2622"/>
      <c r="E78" s="2622"/>
      <c r="F78" s="2622"/>
      <c r="G78" s="2622"/>
      <c r="I78" s="2630"/>
      <c r="K78" s="2621"/>
      <c r="L78" s="2621"/>
      <c r="M78" s="2630"/>
      <c r="N78" s="2628"/>
      <c r="P78" s="298"/>
      <c r="Z78" s="1773">
        <v>78</v>
      </c>
    </row>
    <row r="79" spans="1:26" s="289" customFormat="1">
      <c r="A79" s="1711"/>
      <c r="B79" s="1711"/>
      <c r="E79" s="170" t="s">
        <v>6606</v>
      </c>
      <c r="K79" s="3213" t="s">
        <v>4027</v>
      </c>
      <c r="L79" s="314" t="s">
        <v>2699</v>
      </c>
      <c r="M79" s="2689">
        <v>48</v>
      </c>
      <c r="N79" s="314" t="s">
        <v>2700</v>
      </c>
      <c r="O79" s="2689"/>
      <c r="P79" s="2619" t="s">
        <v>4026</v>
      </c>
      <c r="Z79" s="1773">
        <v>79</v>
      </c>
    </row>
    <row r="80" spans="1:26" s="289" customFormat="1">
      <c r="A80" s="1711"/>
      <c r="B80" s="1711"/>
      <c r="D80" s="2621"/>
      <c r="E80" s="1298"/>
      <c r="J80" s="1296"/>
      <c r="K80" s="3213"/>
      <c r="L80" s="301" t="s">
        <v>2701</v>
      </c>
      <c r="M80" s="2688"/>
      <c r="N80" s="301" t="s">
        <v>3433</v>
      </c>
      <c r="O80" s="2688"/>
      <c r="P80" s="2690"/>
      <c r="Z80" s="1773">
        <v>80</v>
      </c>
    </row>
    <row r="81" spans="1:26" s="289" customFormat="1" ht="9" customHeight="1">
      <c r="A81" s="1711"/>
      <c r="B81" s="1711"/>
      <c r="D81" s="2622"/>
      <c r="E81" s="2622"/>
      <c r="F81" s="2622"/>
      <c r="G81" s="2622"/>
      <c r="I81" s="2630"/>
      <c r="K81" s="2621"/>
      <c r="L81" s="2621"/>
      <c r="M81" s="2630"/>
      <c r="N81" s="2628"/>
      <c r="P81" s="298"/>
      <c r="Z81" s="1773">
        <v>81</v>
      </c>
    </row>
    <row r="82" spans="1:26" s="289" customFormat="1" ht="13.35" customHeight="1">
      <c r="A82" s="1711"/>
      <c r="B82" s="1711"/>
      <c r="C82" s="1662" t="s">
        <v>6607</v>
      </c>
      <c r="D82" s="1298"/>
      <c r="E82" s="1739" t="s">
        <v>6608</v>
      </c>
      <c r="F82" s="2628"/>
      <c r="G82" s="2630"/>
      <c r="H82" s="3241" t="s">
        <v>6780</v>
      </c>
      <c r="I82" s="3242"/>
      <c r="J82" s="3243"/>
      <c r="K82" s="3214" t="s">
        <v>1692</v>
      </c>
      <c r="L82" s="3214"/>
      <c r="M82" s="3175"/>
      <c r="N82" s="3173"/>
      <c r="O82" s="3173"/>
      <c r="P82" s="3176"/>
      <c r="Z82" s="1773">
        <v>82</v>
      </c>
    </row>
    <row r="83" spans="1:26" s="289" customFormat="1" ht="3" customHeight="1">
      <c r="A83" s="1711"/>
      <c r="B83" s="1711"/>
      <c r="D83" s="2622"/>
      <c r="E83" s="2622"/>
      <c r="F83" s="2622"/>
      <c r="G83" s="2622"/>
      <c r="I83" s="2630"/>
      <c r="K83" s="2621"/>
      <c r="L83" s="2621"/>
      <c r="M83" s="2630"/>
      <c r="N83" s="2628"/>
      <c r="P83" s="298"/>
      <c r="Z83" s="1773">
        <v>83</v>
      </c>
    </row>
    <row r="84" spans="1:26" s="289" customFormat="1">
      <c r="A84" s="1711"/>
      <c r="B84" s="1711"/>
      <c r="E84" s="1298"/>
      <c r="K84" s="3213" t="s">
        <v>4027</v>
      </c>
      <c r="L84" s="314" t="s">
        <v>2699</v>
      </c>
      <c r="M84" s="2689"/>
      <c r="N84" s="314" t="s">
        <v>2700</v>
      </c>
      <c r="O84" s="2689"/>
      <c r="P84" s="2619" t="s">
        <v>4026</v>
      </c>
      <c r="Z84" s="1773">
        <v>84</v>
      </c>
    </row>
    <row r="85" spans="1:26" s="289" customFormat="1">
      <c r="A85" s="1711"/>
      <c r="B85" s="1711"/>
      <c r="D85" s="2621"/>
      <c r="E85" s="1298"/>
      <c r="J85" s="1296"/>
      <c r="K85" s="3213"/>
      <c r="L85" s="301" t="s">
        <v>2701</v>
      </c>
      <c r="M85" s="2688"/>
      <c r="N85" s="301" t="s">
        <v>3433</v>
      </c>
      <c r="O85" s="2688"/>
      <c r="P85" s="2690"/>
      <c r="Z85" s="1773">
        <v>85</v>
      </c>
    </row>
    <row r="86" spans="1:26" s="289" customFormat="1" ht="9" customHeight="1">
      <c r="A86" s="1711"/>
      <c r="B86" s="1711"/>
      <c r="D86" s="2622"/>
      <c r="E86" s="2622"/>
      <c r="F86" s="2622"/>
      <c r="G86" s="2622"/>
      <c r="I86" s="2630"/>
      <c r="K86" s="2621"/>
      <c r="L86" s="2621"/>
      <c r="M86" s="2630"/>
      <c r="N86" s="2628"/>
      <c r="P86" s="298"/>
      <c r="Z86" s="1773">
        <v>86</v>
      </c>
    </row>
    <row r="87" spans="1:26" s="289" customFormat="1">
      <c r="A87" s="1711"/>
      <c r="B87" s="1711" t="s">
        <v>1896</v>
      </c>
      <c r="C87" s="299" t="s">
        <v>1361</v>
      </c>
      <c r="D87" s="2628"/>
      <c r="E87" s="312"/>
      <c r="F87" s="2622" t="s">
        <v>764</v>
      </c>
      <c r="H87" s="750">
        <f>'Part VIII-Threshold Criteria'!K321</f>
        <v>3</v>
      </c>
      <c r="K87" s="3214" t="s">
        <v>495</v>
      </c>
      <c r="L87" s="3214"/>
      <c r="N87" s="1748">
        <f>IF('Part VI-Revenues &amp; Expenses'!$P$67=0,0,H87/'Part VI-Revenues &amp; Expenses'!$P$67)</f>
        <v>6.25E-2</v>
      </c>
      <c r="O87" s="301" t="s">
        <v>3331</v>
      </c>
      <c r="P87" s="815">
        <f>'DCA Underwriting Assumptions'!$Q$155</f>
        <v>0.05</v>
      </c>
      <c r="Z87" s="1773">
        <v>87</v>
      </c>
    </row>
    <row r="88" spans="1:26" s="289" customFormat="1">
      <c r="A88" s="1711"/>
      <c r="B88" s="1711"/>
      <c r="D88" s="2622" t="s">
        <v>2635</v>
      </c>
      <c r="E88" s="2622"/>
      <c r="F88" s="2622" t="s">
        <v>764</v>
      </c>
      <c r="H88" s="751">
        <f>'Part VIII-Threshold Criteria'!K322</f>
        <v>3</v>
      </c>
      <c r="K88" s="2628" t="s">
        <v>2636</v>
      </c>
      <c r="L88" s="2628"/>
      <c r="N88" s="1749">
        <f>IF(H87=0,0,H88/H87)</f>
        <v>1</v>
      </c>
      <c r="O88" s="301" t="s">
        <v>3331</v>
      </c>
      <c r="P88" s="815">
        <f>'DCA Underwriting Assumptions'!$Q$156</f>
        <v>0.4</v>
      </c>
      <c r="Z88" s="1773">
        <v>88</v>
      </c>
    </row>
    <row r="89" spans="1:26" s="289" customFormat="1" ht="9" customHeight="1">
      <c r="A89" s="1711"/>
      <c r="B89" s="1711"/>
      <c r="D89" s="2622"/>
      <c r="E89" s="2622"/>
      <c r="F89" s="2622"/>
      <c r="I89" s="2630"/>
      <c r="K89" s="2621"/>
      <c r="L89" s="2621"/>
      <c r="M89" s="2630"/>
      <c r="N89" s="2630"/>
      <c r="P89" s="2636"/>
      <c r="Z89" s="1773">
        <v>89</v>
      </c>
    </row>
    <row r="90" spans="1:26" s="289" customFormat="1">
      <c r="A90" s="1711"/>
      <c r="B90" s="1711" t="s">
        <v>719</v>
      </c>
      <c r="C90" s="299" t="s">
        <v>1760</v>
      </c>
      <c r="D90" s="312"/>
      <c r="E90" s="312"/>
      <c r="F90" s="2622" t="s">
        <v>764</v>
      </c>
      <c r="H90" s="575">
        <f>'Part VIII-Threshold Criteria'!K324</f>
        <v>1</v>
      </c>
      <c r="K90" s="3214" t="s">
        <v>495</v>
      </c>
      <c r="L90" s="3214"/>
      <c r="N90" s="1364">
        <f>IF('Part VI-Revenues &amp; Expenses'!$P$67=0,0,H90/'Part VI-Revenues &amp; Expenses'!$P$67)</f>
        <v>2.0833333333333332E-2</v>
      </c>
      <c r="O90" s="301" t="s">
        <v>3331</v>
      </c>
      <c r="P90" s="815">
        <f>'DCA Underwriting Assumptions'!$Q$157</f>
        <v>0.02</v>
      </c>
      <c r="Z90" s="1773">
        <v>90</v>
      </c>
    </row>
    <row r="91" spans="1:26" s="289" customFormat="1">
      <c r="A91" s="1711"/>
      <c r="B91" s="1711"/>
      <c r="D91" s="2622"/>
      <c r="E91" s="2622"/>
      <c r="F91" s="2622"/>
      <c r="G91" s="2622"/>
      <c r="I91" s="2630"/>
      <c r="J91" s="2630"/>
      <c r="K91" s="2630"/>
      <c r="L91" s="2630"/>
      <c r="M91" s="2630"/>
      <c r="N91" s="2628"/>
      <c r="P91" s="298"/>
      <c r="Z91" s="1773">
        <v>91</v>
      </c>
    </row>
    <row r="92" spans="1:26" s="289" customFormat="1" ht="13.35" customHeight="1">
      <c r="A92" s="315" t="s">
        <v>742</v>
      </c>
      <c r="B92" s="1298" t="s">
        <v>3992</v>
      </c>
      <c r="D92" s="2622"/>
      <c r="E92" s="2622"/>
      <c r="F92" s="2622"/>
      <c r="G92" s="2622"/>
      <c r="H92" s="2622"/>
      <c r="I92" s="2630"/>
      <c r="M92" s="2630"/>
      <c r="N92" s="2628"/>
      <c r="P92" s="298"/>
      <c r="Z92" s="1773">
        <v>92</v>
      </c>
    </row>
    <row r="93" spans="1:26" s="289" customFormat="1" ht="1.5" customHeight="1">
      <c r="A93" s="1711"/>
      <c r="B93" s="1711"/>
      <c r="C93" s="1298"/>
      <c r="D93" s="2622"/>
      <c r="E93" s="2622"/>
      <c r="F93" s="2622"/>
      <c r="L93" s="2630"/>
      <c r="M93" s="2630"/>
      <c r="N93" s="2628"/>
      <c r="Z93" s="1773">
        <v>93</v>
      </c>
    </row>
    <row r="94" spans="1:26" s="289" customFormat="1" ht="13.35" customHeight="1">
      <c r="A94" s="1711"/>
      <c r="B94" s="1711" t="s">
        <v>1894</v>
      </c>
      <c r="C94" s="1662" t="s">
        <v>2272</v>
      </c>
      <c r="D94" s="2622"/>
      <c r="F94" s="2621"/>
      <c r="K94" s="3238" t="s">
        <v>3978</v>
      </c>
      <c r="L94" s="3239"/>
      <c r="M94" s="3240"/>
      <c r="N94" s="2628"/>
      <c r="Z94" s="1773">
        <v>94</v>
      </c>
    </row>
    <row r="95" spans="1:26" s="289" customFormat="1" ht="1.5" customHeight="1">
      <c r="A95" s="1711"/>
      <c r="B95" s="1711"/>
      <c r="D95" s="2622"/>
      <c r="F95" s="2622"/>
      <c r="G95" s="2622"/>
      <c r="H95" s="454" t="s">
        <v>4099</v>
      </c>
      <c r="L95" s="2630"/>
      <c r="M95" s="2630"/>
      <c r="Z95" s="1773">
        <v>95</v>
      </c>
    </row>
    <row r="96" spans="1:26" s="289" customFormat="1" ht="13.35" customHeight="1">
      <c r="B96" s="1711" t="s">
        <v>1896</v>
      </c>
      <c r="C96" s="291" t="s">
        <v>1473</v>
      </c>
      <c r="K96" s="2619" t="s">
        <v>4013</v>
      </c>
      <c r="N96" s="316"/>
      <c r="P96" s="2691" t="s">
        <v>6858</v>
      </c>
      <c r="Z96" s="1773">
        <v>96</v>
      </c>
    </row>
    <row r="97" spans="1:26" s="289" customFormat="1" ht="4.5" customHeight="1">
      <c r="A97" s="1711"/>
      <c r="B97" s="1711"/>
      <c r="C97" s="291"/>
      <c r="D97" s="2622"/>
      <c r="E97" s="2622"/>
      <c r="F97" s="2622"/>
      <c r="G97" s="2622"/>
      <c r="I97" s="2630"/>
      <c r="J97" s="2630"/>
      <c r="K97" s="2630"/>
      <c r="L97" s="2630"/>
      <c r="M97" s="2630"/>
      <c r="N97" s="2628"/>
      <c r="P97" s="298"/>
      <c r="Z97" s="1773">
        <v>97</v>
      </c>
    </row>
    <row r="98" spans="1:26" s="289" customFormat="1" ht="13.35" customHeight="1">
      <c r="A98" s="315" t="s">
        <v>281</v>
      </c>
      <c r="B98" s="1298" t="s">
        <v>1950</v>
      </c>
      <c r="D98" s="2622"/>
      <c r="Z98" s="1773">
        <v>98</v>
      </c>
    </row>
    <row r="99" spans="1:26" s="289" customFormat="1" ht="1.5" customHeight="1">
      <c r="A99" s="1711"/>
      <c r="B99" s="1711"/>
      <c r="D99" s="2622"/>
      <c r="N99" s="2628"/>
      <c r="P99" s="298"/>
      <c r="Z99" s="1773">
        <v>99</v>
      </c>
    </row>
    <row r="100" spans="1:26" s="289" customFormat="1" ht="13.35" customHeight="1">
      <c r="A100" s="315"/>
      <c r="B100" s="1711" t="s">
        <v>1894</v>
      </c>
      <c r="C100" s="291" t="s">
        <v>2557</v>
      </c>
      <c r="F100" s="312" t="s">
        <v>2481</v>
      </c>
      <c r="H100" s="2692" t="s">
        <v>2770</v>
      </c>
      <c r="K100" s="2621" t="s">
        <v>932</v>
      </c>
      <c r="M100" s="2680" t="s">
        <v>2773</v>
      </c>
      <c r="O100" s="295" t="s">
        <v>3932</v>
      </c>
      <c r="P100" s="2693" t="s">
        <v>2773</v>
      </c>
      <c r="Z100" s="1773">
        <v>100</v>
      </c>
    </row>
    <row r="101" spans="1:26" s="289" customFormat="1" ht="13.35" customHeight="1">
      <c r="A101" s="315"/>
      <c r="B101" s="1711"/>
      <c r="C101" s="291"/>
      <c r="F101" s="2622" t="s">
        <v>3448</v>
      </c>
      <c r="H101" s="2694" t="s">
        <v>2770</v>
      </c>
      <c r="K101" s="2621" t="s">
        <v>6318</v>
      </c>
      <c r="P101" s="2694" t="s">
        <v>2773</v>
      </c>
      <c r="Z101" s="1773">
        <v>101</v>
      </c>
    </row>
    <row r="102" spans="1:26" s="289" customFormat="1" ht="2.25" customHeight="1">
      <c r="A102" s="1711"/>
      <c r="B102" s="1711"/>
      <c r="C102" s="1298"/>
      <c r="F102" s="2622"/>
      <c r="H102" s="2622"/>
      <c r="J102" s="2630"/>
      <c r="K102" s="2630"/>
      <c r="L102" s="2630"/>
      <c r="M102" s="2630"/>
      <c r="N102" s="2630"/>
      <c r="P102" s="298"/>
      <c r="Z102" s="1773">
        <v>102</v>
      </c>
    </row>
    <row r="103" spans="1:26" s="289" customFormat="1" ht="13.35" customHeight="1">
      <c r="A103" s="315"/>
      <c r="B103" s="1711" t="s">
        <v>1896</v>
      </c>
      <c r="C103" s="291" t="s">
        <v>2558</v>
      </c>
      <c r="F103" s="2621" t="s">
        <v>2534</v>
      </c>
      <c r="H103" s="2685" t="s">
        <v>2773</v>
      </c>
      <c r="J103" s="2630"/>
      <c r="K103" s="2646"/>
      <c r="L103" s="2630"/>
      <c r="Z103" s="1773">
        <v>103</v>
      </c>
    </row>
    <row r="104" spans="1:26" s="289" customFormat="1" ht="4.5" customHeight="1">
      <c r="A104" s="1711"/>
      <c r="B104" s="1711"/>
      <c r="C104" s="291"/>
      <c r="D104" s="2622"/>
      <c r="E104" s="2622"/>
      <c r="F104" s="2622"/>
      <c r="G104" s="2622"/>
      <c r="I104" s="2630"/>
      <c r="J104" s="2630"/>
      <c r="K104" s="2630"/>
      <c r="L104" s="2630"/>
      <c r="M104" s="2630"/>
      <c r="N104" s="2628"/>
      <c r="P104" s="298"/>
      <c r="Z104" s="1773">
        <v>104</v>
      </c>
    </row>
    <row r="105" spans="1:26" s="289" customFormat="1" ht="13.35" customHeight="1">
      <c r="A105" s="315" t="s">
        <v>407</v>
      </c>
      <c r="B105" s="1298" t="s">
        <v>6317</v>
      </c>
      <c r="D105" s="2622"/>
      <c r="H105" s="3238" t="s">
        <v>2480</v>
      </c>
      <c r="I105" s="3240"/>
      <c r="J105" s="2630"/>
      <c r="Z105" s="1773">
        <v>105</v>
      </c>
    </row>
    <row r="106" spans="1:26" s="289" customFormat="1" ht="4.5" customHeight="1">
      <c r="A106" s="1711"/>
      <c r="D106" s="305"/>
      <c r="E106" s="2628"/>
      <c r="I106" s="305"/>
      <c r="J106" s="297"/>
      <c r="K106" s="2628"/>
      <c r="P106" s="298"/>
      <c r="Z106" s="1773">
        <v>106</v>
      </c>
    </row>
    <row r="107" spans="1:26" s="289" customFormat="1" ht="13.35" customHeight="1">
      <c r="A107" s="315" t="s">
        <v>346</v>
      </c>
      <c r="B107" s="310" t="s">
        <v>1144</v>
      </c>
      <c r="D107" s="2628"/>
      <c r="E107" s="2628"/>
      <c r="F107" s="2628"/>
      <c r="G107" s="2628"/>
      <c r="H107" s="2628"/>
      <c r="I107" s="305"/>
      <c r="J107" s="297"/>
      <c r="K107" s="2628"/>
      <c r="P107" s="298"/>
      <c r="Z107" s="1773">
        <v>107</v>
      </c>
    </row>
    <row r="108" spans="1:26" s="289" customFormat="1" ht="3" customHeight="1">
      <c r="A108" s="315"/>
      <c r="B108" s="1711"/>
      <c r="C108" s="310"/>
      <c r="D108" s="2628"/>
      <c r="E108" s="2628"/>
      <c r="F108" s="2628"/>
      <c r="G108" s="2628"/>
      <c r="H108" s="2628"/>
      <c r="I108" s="305"/>
      <c r="J108" s="297"/>
      <c r="K108" s="2628"/>
      <c r="Z108" s="1773">
        <v>108</v>
      </c>
    </row>
    <row r="109" spans="1:26" s="289" customFormat="1" ht="13.35" customHeight="1">
      <c r="A109" s="1711"/>
      <c r="B109" s="1711"/>
      <c r="C109" s="297" t="s">
        <v>525</v>
      </c>
      <c r="D109" s="2628"/>
      <c r="E109" s="3159"/>
      <c r="F109" s="3160"/>
      <c r="G109" s="3160"/>
      <c r="H109" s="3160"/>
      <c r="I109" s="3160"/>
      <c r="J109" s="3160"/>
      <c r="K109" s="3160"/>
      <c r="L109" s="3161"/>
      <c r="M109" s="3208" t="s">
        <v>526</v>
      </c>
      <c r="N109" s="3208"/>
      <c r="O109" s="3209"/>
      <c r="P109" s="3210"/>
      <c r="Z109" s="1773">
        <v>109</v>
      </c>
    </row>
    <row r="110" spans="1:26" s="289" customFormat="1" ht="13.35" customHeight="1">
      <c r="C110" s="2619" t="s">
        <v>982</v>
      </c>
      <c r="D110" s="301"/>
      <c r="E110" s="3146"/>
      <c r="F110" s="3147"/>
      <c r="G110" s="3147"/>
      <c r="H110" s="3149"/>
      <c r="I110" s="3147"/>
      <c r="J110" s="3149"/>
      <c r="K110" s="3147"/>
      <c r="L110" s="3153"/>
      <c r="M110" s="3208" t="s">
        <v>775</v>
      </c>
      <c r="N110" s="3208"/>
      <c r="O110" s="3211"/>
      <c r="P110" s="3212"/>
      <c r="Z110" s="1773">
        <v>110</v>
      </c>
    </row>
    <row r="111" spans="1:26" s="289" customFormat="1" ht="13.35" customHeight="1">
      <c r="C111" s="2619" t="s">
        <v>588</v>
      </c>
      <c r="E111" s="3168"/>
      <c r="F111" s="3254"/>
      <c r="G111" s="3255"/>
      <c r="H111" s="2636" t="s">
        <v>1717</v>
      </c>
      <c r="I111" s="2695"/>
      <c r="J111" s="317" t="s">
        <v>2129</v>
      </c>
      <c r="K111" s="3266"/>
      <c r="L111" s="3267"/>
      <c r="M111" s="267" t="s">
        <v>3307</v>
      </c>
      <c r="N111" s="267"/>
      <c r="O111" s="3268"/>
      <c r="P111" s="3269"/>
      <c r="Z111" s="1773">
        <v>111</v>
      </c>
    </row>
    <row r="112" spans="1:26" s="289" customFormat="1" ht="13.35" customHeight="1">
      <c r="C112" s="289" t="s">
        <v>2100</v>
      </c>
      <c r="E112" s="3168"/>
      <c r="F112" s="3254"/>
      <c r="G112" s="3255"/>
      <c r="H112" s="846" t="s">
        <v>1891</v>
      </c>
      <c r="I112" s="3256"/>
      <c r="J112" s="3257"/>
      <c r="K112" s="3258"/>
      <c r="L112" s="2641" t="s">
        <v>1895</v>
      </c>
      <c r="M112" s="3159"/>
      <c r="N112" s="3259"/>
      <c r="O112" s="3260"/>
      <c r="P112" s="3261"/>
      <c r="Z112" s="1773">
        <v>112</v>
      </c>
    </row>
    <row r="113" spans="1:26" s="289" customFormat="1" ht="13.35" customHeight="1">
      <c r="C113" s="2619" t="s">
        <v>2099</v>
      </c>
      <c r="E113" s="3166"/>
      <c r="F113" s="3262"/>
      <c r="G113" s="3167"/>
      <c r="H113" s="846" t="s">
        <v>1719</v>
      </c>
      <c r="I113" s="3166"/>
      <c r="J113" s="3263"/>
      <c r="K113" s="2636" t="s">
        <v>2554</v>
      </c>
      <c r="L113" s="3177"/>
      <c r="M113" s="3264"/>
      <c r="N113" s="3264"/>
      <c r="O113" s="3264"/>
      <c r="P113" s="3265"/>
      <c r="Z113" s="1773">
        <v>113</v>
      </c>
    </row>
    <row r="114" spans="1:26" s="289" customFormat="1" ht="3" customHeight="1">
      <c r="A114" s="1711"/>
      <c r="B114" s="1711"/>
      <c r="G114" s="305"/>
      <c r="H114" s="2630"/>
      <c r="I114" s="2630"/>
      <c r="M114" s="298"/>
      <c r="Z114" s="1773">
        <v>114</v>
      </c>
    </row>
    <row r="115" spans="1:26" s="289" customFormat="1" ht="13.35" customHeight="1">
      <c r="A115" s="315" t="s">
        <v>347</v>
      </c>
      <c r="B115" s="1298" t="s">
        <v>1596</v>
      </c>
      <c r="D115" s="305"/>
      <c r="E115" s="305"/>
      <c r="F115" s="2630"/>
      <c r="G115" s="2630"/>
      <c r="H115" s="2630"/>
      <c r="N115" s="2628"/>
      <c r="O115" s="2628"/>
      <c r="P115" s="298"/>
      <c r="Z115" s="1773">
        <v>115</v>
      </c>
    </row>
    <row r="116" spans="1:26" s="289" customFormat="1" ht="1.5" customHeight="1">
      <c r="A116" s="315"/>
      <c r="B116" s="1298"/>
      <c r="D116" s="305"/>
      <c r="E116" s="305"/>
      <c r="F116" s="2630"/>
      <c r="G116" s="2630"/>
      <c r="H116" s="2630"/>
      <c r="I116" s="2630"/>
      <c r="J116" s="305"/>
      <c r="K116" s="2630"/>
      <c r="L116" s="2630"/>
      <c r="N116" s="2628"/>
      <c r="O116" s="2628"/>
      <c r="P116" s="298"/>
      <c r="Z116" s="1773">
        <v>116</v>
      </c>
    </row>
    <row r="117" spans="1:26" s="289" customFormat="1" ht="13.35" customHeight="1">
      <c r="B117" s="312" t="s">
        <v>2060</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1894</v>
      </c>
      <c r="C119" s="1298" t="s">
        <v>1362</v>
      </c>
      <c r="D119" s="2622"/>
      <c r="E119" s="2622"/>
      <c r="F119" s="2630"/>
      <c r="G119" s="2630"/>
      <c r="H119" s="2696">
        <v>2</v>
      </c>
      <c r="N119" s="2628"/>
      <c r="O119" s="2628"/>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1896</v>
      </c>
      <c r="C121" s="1298" t="s">
        <v>397</v>
      </c>
      <c r="D121" s="2622"/>
      <c r="E121" s="2622"/>
      <c r="F121" s="2630"/>
      <c r="G121" s="2630"/>
      <c r="H121" s="2697">
        <f>900000+900000</f>
        <v>1800000</v>
      </c>
      <c r="J121" s="305"/>
      <c r="K121" s="2621"/>
      <c r="N121" s="2628"/>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22"/>
      <c r="E123" s="2622"/>
      <c r="F123" s="2630"/>
      <c r="G123" s="2630"/>
      <c r="H123" s="2630"/>
      <c r="I123" s="2630"/>
      <c r="J123" s="305"/>
      <c r="K123" s="2630"/>
      <c r="L123" s="2630"/>
      <c r="N123" s="2628"/>
      <c r="O123" s="2628"/>
      <c r="Z123" s="1773">
        <v>123</v>
      </c>
    </row>
    <row r="124" spans="1:26" s="289" customFormat="1" ht="13.35" customHeight="1">
      <c r="B124" s="1711"/>
      <c r="C124" s="2622" t="s">
        <v>2042</v>
      </c>
      <c r="D124" s="2622"/>
      <c r="F124" s="2622" t="s">
        <v>1093</v>
      </c>
      <c r="G124" s="2630"/>
      <c r="H124" s="2630"/>
      <c r="I124" s="2630" t="s">
        <v>1246</v>
      </c>
      <c r="J124" s="2622" t="s">
        <v>2042</v>
      </c>
      <c r="K124" s="2622"/>
      <c r="M124" s="2622" t="s">
        <v>1093</v>
      </c>
      <c r="N124" s="2630"/>
      <c r="O124" s="2630"/>
      <c r="P124" s="2630" t="s">
        <v>1246</v>
      </c>
      <c r="Z124" s="1773">
        <v>124</v>
      </c>
    </row>
    <row r="125" spans="1:26" s="289" customFormat="1" ht="13.35" customHeight="1">
      <c r="A125" s="1711"/>
      <c r="B125" s="1711"/>
      <c r="C125" s="3244" t="s">
        <v>6957</v>
      </c>
      <c r="D125" s="3245"/>
      <c r="E125" s="3245"/>
      <c r="F125" s="3246" t="s">
        <v>6942</v>
      </c>
      <c r="G125" s="3247"/>
      <c r="H125" s="3248"/>
      <c r="I125" s="2698" t="s">
        <v>6859</v>
      </c>
      <c r="J125" s="3249" t="s">
        <v>6953</v>
      </c>
      <c r="K125" s="3250"/>
      <c r="L125" s="3250"/>
      <c r="M125" s="3251" t="s">
        <v>6961</v>
      </c>
      <c r="N125" s="3252"/>
      <c r="O125" s="3253"/>
      <c r="P125" s="2698" t="s">
        <v>6860</v>
      </c>
      <c r="Z125" s="1773">
        <v>125</v>
      </c>
    </row>
    <row r="126" spans="1:26" s="289" customFormat="1" ht="13.35" customHeight="1">
      <c r="A126" s="1711"/>
      <c r="B126" s="1711"/>
      <c r="C126" s="3249" t="s">
        <v>6958</v>
      </c>
      <c r="D126" s="3250"/>
      <c r="E126" s="3250"/>
      <c r="F126" s="3246" t="s">
        <v>6942</v>
      </c>
      <c r="G126" s="3247"/>
      <c r="H126" s="3248"/>
      <c r="I126" s="2699" t="s">
        <v>6859</v>
      </c>
      <c r="J126" s="3249" t="s">
        <v>6954</v>
      </c>
      <c r="K126" s="3250"/>
      <c r="L126" s="3250"/>
      <c r="M126" s="3251" t="s">
        <v>6961</v>
      </c>
      <c r="N126" s="3252"/>
      <c r="O126" s="3253"/>
      <c r="P126" s="2699" t="s">
        <v>6860</v>
      </c>
      <c r="Z126" s="1773">
        <v>126</v>
      </c>
    </row>
    <row r="127" spans="1:26" s="289" customFormat="1" ht="13.35" customHeight="1">
      <c r="A127" s="1711"/>
      <c r="B127" s="1711"/>
      <c r="C127" s="3249" t="s">
        <v>6955</v>
      </c>
      <c r="D127" s="3250"/>
      <c r="E127" s="3250"/>
      <c r="F127" s="3246" t="s">
        <v>6942</v>
      </c>
      <c r="G127" s="3247"/>
      <c r="H127" s="3248"/>
      <c r="I127" s="2699" t="s">
        <v>6860</v>
      </c>
      <c r="J127" s="3249">
        <v>9</v>
      </c>
      <c r="K127" s="3250"/>
      <c r="L127" s="3250"/>
      <c r="M127" s="3251"/>
      <c r="N127" s="3252"/>
      <c r="O127" s="3253"/>
      <c r="P127" s="2699"/>
      <c r="Z127" s="1773">
        <v>127</v>
      </c>
    </row>
    <row r="128" spans="1:26" s="289" customFormat="1" ht="13.35" customHeight="1">
      <c r="A128" s="1711"/>
      <c r="B128" s="1711"/>
      <c r="C128" s="3249" t="s">
        <v>6956</v>
      </c>
      <c r="D128" s="3250"/>
      <c r="E128" s="3250"/>
      <c r="F128" s="3246" t="s">
        <v>6942</v>
      </c>
      <c r="G128" s="3247"/>
      <c r="H128" s="3248"/>
      <c r="I128" s="2699" t="s">
        <v>6860</v>
      </c>
      <c r="J128" s="3249">
        <v>10</v>
      </c>
      <c r="K128" s="3250"/>
      <c r="L128" s="3250"/>
      <c r="M128" s="3251"/>
      <c r="N128" s="3252"/>
      <c r="O128" s="3253"/>
      <c r="P128" s="2699"/>
      <c r="Z128" s="1773">
        <v>128</v>
      </c>
    </row>
    <row r="129" spans="1:26" s="289" customFormat="1" ht="13.35" customHeight="1">
      <c r="A129" s="1711"/>
      <c r="B129" s="1711"/>
      <c r="C129" s="3249" t="s">
        <v>6959</v>
      </c>
      <c r="D129" s="3250"/>
      <c r="E129" s="3250"/>
      <c r="F129" s="3251" t="s">
        <v>6961</v>
      </c>
      <c r="G129" s="3252"/>
      <c r="H129" s="3253"/>
      <c r="I129" s="2699" t="s">
        <v>6859</v>
      </c>
      <c r="J129" s="3249">
        <v>11</v>
      </c>
      <c r="K129" s="3250"/>
      <c r="L129" s="3250"/>
      <c r="M129" s="3251"/>
      <c r="N129" s="3252"/>
      <c r="O129" s="3253"/>
      <c r="P129" s="2699"/>
      <c r="Z129" s="1773">
        <v>129</v>
      </c>
    </row>
    <row r="130" spans="1:26" s="289" customFormat="1" ht="13.35" customHeight="1">
      <c r="A130" s="1711"/>
      <c r="B130" s="1711"/>
      <c r="C130" s="3249" t="s">
        <v>6960</v>
      </c>
      <c r="D130" s="3250"/>
      <c r="E130" s="3250"/>
      <c r="F130" s="3251" t="s">
        <v>6961</v>
      </c>
      <c r="G130" s="3252"/>
      <c r="H130" s="3253"/>
      <c r="I130" s="2700" t="s">
        <v>6859</v>
      </c>
      <c r="J130" s="3270">
        <v>12</v>
      </c>
      <c r="K130" s="3271"/>
      <c r="L130" s="3271"/>
      <c r="M130" s="3272"/>
      <c r="N130" s="3273"/>
      <c r="O130" s="3274"/>
      <c r="P130" s="2700"/>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2022</v>
      </c>
      <c r="C132" s="3357" t="s">
        <v>1762</v>
      </c>
      <c r="D132" s="3357"/>
      <c r="E132" s="3357"/>
      <c r="F132" s="3357"/>
      <c r="G132" s="3357"/>
      <c r="H132" s="3357"/>
      <c r="I132" s="3357"/>
      <c r="J132" s="3357"/>
      <c r="K132" s="3357"/>
      <c r="L132" s="3357"/>
      <c r="M132" s="3357"/>
      <c r="N132" s="3357"/>
      <c r="O132" s="3357"/>
      <c r="P132" s="3357"/>
      <c r="Z132" s="1773">
        <v>132</v>
      </c>
    </row>
    <row r="133" spans="1:26" s="289" customFormat="1" ht="13.35" customHeight="1">
      <c r="A133" s="1711"/>
      <c r="B133" s="1711"/>
      <c r="C133" s="3357"/>
      <c r="D133" s="3357"/>
      <c r="E133" s="3357"/>
      <c r="F133" s="3357"/>
      <c r="G133" s="3357"/>
      <c r="H133" s="3357"/>
      <c r="I133" s="3357"/>
      <c r="J133" s="3357"/>
      <c r="K133" s="3357"/>
      <c r="L133" s="3357"/>
      <c r="M133" s="3357"/>
      <c r="N133" s="3357"/>
      <c r="O133" s="3357"/>
      <c r="P133" s="3357"/>
      <c r="Z133" s="1773">
        <v>133</v>
      </c>
    </row>
    <row r="134" spans="1:26" s="289" customFormat="1" ht="13.35" customHeight="1">
      <c r="B134" s="1711"/>
      <c r="C134" s="2622" t="s">
        <v>2042</v>
      </c>
      <c r="D134" s="2622"/>
      <c r="F134" s="2622" t="s">
        <v>1093</v>
      </c>
      <c r="G134" s="2630"/>
      <c r="H134" s="2630"/>
      <c r="I134" s="2630"/>
      <c r="J134" s="2622" t="s">
        <v>2042</v>
      </c>
      <c r="K134" s="2622"/>
      <c r="M134" s="2622" t="s">
        <v>1093</v>
      </c>
      <c r="N134" s="2630"/>
      <c r="O134" s="2630"/>
      <c r="P134" s="2630"/>
      <c r="Z134" s="1773">
        <v>134</v>
      </c>
    </row>
    <row r="135" spans="1:26" s="289" customFormat="1" ht="13.35" customHeight="1">
      <c r="A135" s="1711"/>
      <c r="B135" s="1711"/>
      <c r="C135" s="3358">
        <v>1</v>
      </c>
      <c r="D135" s="3245"/>
      <c r="E135" s="3245"/>
      <c r="F135" s="3359"/>
      <c r="G135" s="3360"/>
      <c r="H135" s="3360"/>
      <c r="I135" s="3361"/>
      <c r="J135" s="3358">
        <v>7</v>
      </c>
      <c r="K135" s="3245"/>
      <c r="L135" s="3245"/>
      <c r="M135" s="3359"/>
      <c r="N135" s="3360"/>
      <c r="O135" s="3360"/>
      <c r="P135" s="3361"/>
      <c r="Z135" s="1773">
        <v>135</v>
      </c>
    </row>
    <row r="136" spans="1:26" s="289" customFormat="1" ht="13.35" customHeight="1">
      <c r="A136" s="1711"/>
      <c r="B136" s="1711"/>
      <c r="C136" s="3249">
        <v>2</v>
      </c>
      <c r="D136" s="3250"/>
      <c r="E136" s="3250"/>
      <c r="F136" s="3251"/>
      <c r="G136" s="3252"/>
      <c r="H136" s="3252"/>
      <c r="I136" s="3281"/>
      <c r="J136" s="3249">
        <v>8</v>
      </c>
      <c r="K136" s="3250"/>
      <c r="L136" s="3250"/>
      <c r="M136" s="3251"/>
      <c r="N136" s="3252"/>
      <c r="O136" s="3252"/>
      <c r="P136" s="3281"/>
      <c r="Z136" s="1773">
        <v>136</v>
      </c>
    </row>
    <row r="137" spans="1:26" s="289" customFormat="1" ht="13.35" customHeight="1">
      <c r="A137" s="1711"/>
      <c r="B137" s="1711"/>
      <c r="C137" s="3249">
        <v>3</v>
      </c>
      <c r="D137" s="3250"/>
      <c r="E137" s="3250"/>
      <c r="F137" s="3251"/>
      <c r="G137" s="3252"/>
      <c r="H137" s="3252"/>
      <c r="I137" s="3281"/>
      <c r="J137" s="3249">
        <v>9</v>
      </c>
      <c r="K137" s="3250"/>
      <c r="L137" s="3250"/>
      <c r="M137" s="3251"/>
      <c r="N137" s="3252"/>
      <c r="O137" s="3252"/>
      <c r="P137" s="3281"/>
      <c r="Z137" s="1773">
        <v>137</v>
      </c>
    </row>
    <row r="138" spans="1:26" s="289" customFormat="1" ht="13.35" customHeight="1">
      <c r="A138" s="1711"/>
      <c r="B138" s="1711"/>
      <c r="C138" s="3249">
        <v>4</v>
      </c>
      <c r="D138" s="3250"/>
      <c r="E138" s="3250"/>
      <c r="F138" s="3251"/>
      <c r="G138" s="3252"/>
      <c r="H138" s="3252"/>
      <c r="I138" s="3281"/>
      <c r="J138" s="3249">
        <v>10</v>
      </c>
      <c r="K138" s="3250"/>
      <c r="L138" s="3250"/>
      <c r="M138" s="3251"/>
      <c r="N138" s="3252"/>
      <c r="O138" s="3252"/>
      <c r="P138" s="3281"/>
      <c r="Z138" s="1773">
        <v>138</v>
      </c>
    </row>
    <row r="139" spans="1:26" s="289" customFormat="1" ht="13.35" customHeight="1">
      <c r="A139" s="1711"/>
      <c r="B139" s="1711"/>
      <c r="C139" s="3249">
        <v>5</v>
      </c>
      <c r="D139" s="3250"/>
      <c r="E139" s="3250"/>
      <c r="F139" s="3251"/>
      <c r="G139" s="3252"/>
      <c r="H139" s="3252"/>
      <c r="I139" s="3281"/>
      <c r="J139" s="3249">
        <v>11</v>
      </c>
      <c r="K139" s="3250"/>
      <c r="L139" s="3250"/>
      <c r="M139" s="3251"/>
      <c r="N139" s="3252"/>
      <c r="O139" s="3252"/>
      <c r="P139" s="3281"/>
      <c r="Z139" s="1773">
        <v>139</v>
      </c>
    </row>
    <row r="140" spans="1:26" s="289" customFormat="1" ht="13.35" customHeight="1">
      <c r="A140" s="1711"/>
      <c r="B140" s="1711"/>
      <c r="C140" s="3270">
        <v>6</v>
      </c>
      <c r="D140" s="3271"/>
      <c r="E140" s="3271"/>
      <c r="F140" s="3272"/>
      <c r="G140" s="3273"/>
      <c r="H140" s="3273"/>
      <c r="I140" s="3282"/>
      <c r="J140" s="3270">
        <v>12</v>
      </c>
      <c r="K140" s="3271"/>
      <c r="L140" s="3271"/>
      <c r="M140" s="3272"/>
      <c r="N140" s="3273"/>
      <c r="O140" s="3273"/>
      <c r="P140" s="3282"/>
      <c r="Z140" s="1773">
        <v>140</v>
      </c>
    </row>
    <row r="141" spans="1:26" s="289" customFormat="1" ht="3" customHeight="1" thickBot="1">
      <c r="A141" s="1711"/>
      <c r="B141" s="1711"/>
      <c r="C141" s="2622"/>
      <c r="D141" s="2622"/>
      <c r="E141" s="2622"/>
      <c r="F141" s="2630"/>
      <c r="G141" s="2630"/>
      <c r="H141" s="2630"/>
      <c r="I141" s="2630"/>
      <c r="J141" s="305"/>
      <c r="K141" s="2630"/>
      <c r="L141" s="2630"/>
      <c r="N141" s="2628"/>
      <c r="O141" s="2628"/>
      <c r="P141" s="298"/>
      <c r="Z141" s="1773">
        <v>141</v>
      </c>
    </row>
    <row r="142" spans="1:26" s="289" customFormat="1" ht="14.45" customHeight="1" thickBot="1">
      <c r="A142" s="291" t="s">
        <v>348</v>
      </c>
      <c r="B142" s="299" t="s">
        <v>4030</v>
      </c>
      <c r="D142" s="299"/>
      <c r="E142" s="299"/>
      <c r="F142" s="299"/>
      <c r="I142" s="2701" t="s">
        <v>2773</v>
      </c>
      <c r="K142" s="289" t="s">
        <v>6483</v>
      </c>
      <c r="M142" s="2630"/>
      <c r="N142" s="2628"/>
      <c r="O142" s="2628"/>
      <c r="P142" s="298"/>
      <c r="Z142" s="1773">
        <v>142</v>
      </c>
    </row>
    <row r="143" spans="1:26" s="289" customFormat="1" ht="6" customHeight="1">
      <c r="A143" s="315"/>
      <c r="B143" s="1711"/>
      <c r="C143" s="1298"/>
      <c r="D143" s="1298"/>
      <c r="E143" s="1298"/>
      <c r="F143" s="1298"/>
      <c r="G143" s="2630"/>
      <c r="M143" s="2630"/>
      <c r="N143" s="2628"/>
      <c r="O143" s="2628"/>
      <c r="Z143" s="1773">
        <v>143</v>
      </c>
    </row>
    <row r="144" spans="1:26" s="289" customFormat="1" ht="12" customHeight="1">
      <c r="A144" s="1711"/>
      <c r="B144" s="1711" t="s">
        <v>1894</v>
      </c>
      <c r="C144" s="294" t="s">
        <v>6402</v>
      </c>
      <c r="I144" s="2692"/>
      <c r="K144" s="289" t="s">
        <v>6484</v>
      </c>
      <c r="M144" s="2630"/>
      <c r="N144" s="2628"/>
      <c r="O144" s="3275"/>
      <c r="P144" s="3276"/>
      <c r="Z144" s="1773">
        <v>144</v>
      </c>
    </row>
    <row r="145" spans="1:26" s="289" customFormat="1" ht="12" customHeight="1">
      <c r="A145" s="1711"/>
      <c r="B145" s="1711"/>
      <c r="C145" s="2622" t="s">
        <v>2310</v>
      </c>
      <c r="D145" s="2622"/>
      <c r="E145" s="2622"/>
      <c r="F145" s="2630"/>
      <c r="I145" s="2702"/>
      <c r="K145" s="289" t="s">
        <v>6486</v>
      </c>
      <c r="N145" s="2628"/>
      <c r="O145" s="3277"/>
      <c r="P145" s="3278"/>
      <c r="Z145" s="1773">
        <v>145</v>
      </c>
    </row>
    <row r="146" spans="1:26" s="289" customFormat="1" ht="12" customHeight="1">
      <c r="A146" s="1711"/>
      <c r="B146" s="1711"/>
      <c r="C146" s="320" t="s">
        <v>1636</v>
      </c>
      <c r="D146" s="2619"/>
      <c r="I146" s="2681"/>
      <c r="K146" s="289" t="s">
        <v>6487</v>
      </c>
      <c r="O146" s="3279"/>
      <c r="P146" s="3280"/>
      <c r="Z146" s="1773">
        <v>146</v>
      </c>
    </row>
    <row r="147" spans="1:26" s="289" customFormat="1" ht="12" customHeight="1">
      <c r="A147" s="1711"/>
      <c r="B147" s="1711"/>
      <c r="C147" s="2622" t="s">
        <v>2311</v>
      </c>
      <c r="D147" s="2622"/>
      <c r="E147" s="1298"/>
      <c r="F147" s="2630"/>
      <c r="I147" s="2702"/>
      <c r="K147" s="267" t="s">
        <v>2144</v>
      </c>
      <c r="O147" s="3159" t="s">
        <v>464</v>
      </c>
      <c r="P147" s="3161"/>
      <c r="Z147" s="1773">
        <v>147</v>
      </c>
    </row>
    <row r="148" spans="1:26" s="289" customFormat="1" ht="12" customHeight="1">
      <c r="A148" s="1711"/>
      <c r="B148" s="1711"/>
      <c r="C148" s="2622" t="s">
        <v>2309</v>
      </c>
      <c r="F148" s="2630" t="s">
        <v>6400</v>
      </c>
      <c r="G148" s="3283"/>
      <c r="H148" s="3284"/>
      <c r="I148" s="2703"/>
      <c r="K148" s="267" t="s">
        <v>2145</v>
      </c>
      <c r="O148" s="3171" t="s">
        <v>464</v>
      </c>
      <c r="P148" s="3150"/>
      <c r="Z148" s="1773">
        <v>148</v>
      </c>
    </row>
    <row r="149" spans="1:26" s="289" customFormat="1" ht="12" customHeight="1">
      <c r="A149" s="1711"/>
      <c r="B149" s="1711"/>
      <c r="C149" s="2622" t="s">
        <v>2072</v>
      </c>
      <c r="D149" s="2622"/>
      <c r="E149" s="2622"/>
      <c r="F149" s="2630"/>
      <c r="I149" s="3348"/>
      <c r="J149" s="3349"/>
      <c r="N149" s="2628"/>
      <c r="O149" s="2628"/>
      <c r="P149" s="298"/>
      <c r="Z149" s="1773">
        <v>149</v>
      </c>
    </row>
    <row r="150" spans="1:26" s="289" customFormat="1" ht="6" customHeight="1">
      <c r="A150" s="1711"/>
      <c r="B150" s="1711"/>
      <c r="C150" s="2622"/>
      <c r="D150" s="2622"/>
      <c r="E150" s="2622"/>
      <c r="F150" s="2630"/>
      <c r="G150" s="2630"/>
      <c r="M150" s="2630"/>
      <c r="N150" s="2628"/>
      <c r="O150" s="2628"/>
      <c r="P150" s="298"/>
      <c r="Z150" s="1773">
        <v>150</v>
      </c>
    </row>
    <row r="151" spans="1:26" s="289" customFormat="1" ht="12" customHeight="1">
      <c r="A151" s="1711"/>
      <c r="B151" s="1711" t="s">
        <v>1896</v>
      </c>
      <c r="C151" s="294" t="s">
        <v>6485</v>
      </c>
      <c r="I151" s="2692"/>
      <c r="K151" s="289" t="s">
        <v>6484</v>
      </c>
      <c r="M151" s="2630"/>
      <c r="N151" s="2628"/>
      <c r="O151" s="3275"/>
      <c r="P151" s="3276"/>
      <c r="Z151" s="1773">
        <v>151</v>
      </c>
    </row>
    <row r="152" spans="1:26" s="289" customFormat="1" ht="12" customHeight="1">
      <c r="A152" s="1711"/>
      <c r="B152" s="1711"/>
      <c r="C152" s="2622" t="s">
        <v>6401</v>
      </c>
      <c r="D152" s="2622"/>
      <c r="E152" s="2622"/>
      <c r="F152" s="2630"/>
      <c r="I152" s="2702"/>
      <c r="K152" s="289" t="s">
        <v>6486</v>
      </c>
      <c r="N152" s="2628"/>
      <c r="O152" s="3277"/>
      <c r="P152" s="3278"/>
      <c r="Z152" s="1773">
        <v>152</v>
      </c>
    </row>
    <row r="153" spans="1:26" s="289" customFormat="1" ht="12" customHeight="1">
      <c r="A153" s="1711"/>
      <c r="B153" s="1711"/>
      <c r="C153" s="320" t="s">
        <v>1636</v>
      </c>
      <c r="D153" s="2619"/>
      <c r="I153" s="2681"/>
      <c r="K153" s="289" t="s">
        <v>6487</v>
      </c>
      <c r="O153" s="3279"/>
      <c r="P153" s="3280"/>
      <c r="Z153" s="1773">
        <v>153</v>
      </c>
    </row>
    <row r="154" spans="1:26" s="289" customFormat="1" ht="12" customHeight="1">
      <c r="A154" s="1711"/>
      <c r="B154" s="1711"/>
      <c r="C154" s="2622" t="s">
        <v>2311</v>
      </c>
      <c r="D154" s="2622"/>
      <c r="E154" s="1298"/>
      <c r="F154" s="2630"/>
      <c r="I154" s="2702"/>
      <c r="K154" s="267" t="s">
        <v>2144</v>
      </c>
      <c r="O154" s="3159" t="s">
        <v>464</v>
      </c>
      <c r="P154" s="3161"/>
      <c r="Z154" s="1773">
        <v>154</v>
      </c>
    </row>
    <row r="155" spans="1:26" s="289" customFormat="1" ht="12" customHeight="1">
      <c r="A155" s="1711"/>
      <c r="B155" s="1711"/>
      <c r="C155" s="2622" t="s">
        <v>2309</v>
      </c>
      <c r="F155" s="2630" t="s">
        <v>6400</v>
      </c>
      <c r="G155" s="3283"/>
      <c r="H155" s="3284"/>
      <c r="I155" s="2703"/>
      <c r="K155" s="267" t="s">
        <v>2145</v>
      </c>
      <c r="O155" s="3171" t="s">
        <v>464</v>
      </c>
      <c r="P155" s="3150"/>
      <c r="Z155" s="1773">
        <v>155</v>
      </c>
    </row>
    <row r="156" spans="1:26" s="289" customFormat="1" ht="12" customHeight="1">
      <c r="A156" s="1711"/>
      <c r="B156" s="1711"/>
      <c r="C156" s="2622" t="s">
        <v>2072</v>
      </c>
      <c r="D156" s="2622"/>
      <c r="E156" s="2622"/>
      <c r="F156" s="2630"/>
      <c r="I156" s="3348"/>
      <c r="J156" s="3349"/>
      <c r="N156" s="2628"/>
      <c r="O156" s="2628"/>
      <c r="P156" s="298"/>
      <c r="Z156" s="1773">
        <v>156</v>
      </c>
    </row>
    <row r="157" spans="1:26" s="289" customFormat="1" ht="6" customHeight="1">
      <c r="A157" s="1711"/>
      <c r="B157" s="1711"/>
      <c r="C157" s="2622"/>
      <c r="D157" s="2622"/>
      <c r="E157" s="2622"/>
      <c r="F157" s="2630"/>
      <c r="G157" s="2630"/>
      <c r="M157" s="2630"/>
      <c r="N157" s="2628"/>
      <c r="O157" s="2628"/>
      <c r="P157" s="298"/>
      <c r="Z157" s="1773">
        <v>157</v>
      </c>
    </row>
    <row r="158" spans="1:26" s="289" customFormat="1" ht="12" customHeight="1">
      <c r="A158" s="1711"/>
      <c r="B158" s="1711" t="s">
        <v>719</v>
      </c>
      <c r="C158" s="1327" t="s">
        <v>2551</v>
      </c>
      <c r="D158" s="2622"/>
      <c r="E158" s="312" t="s">
        <v>4088</v>
      </c>
      <c r="F158" s="312"/>
      <c r="G158" s="312"/>
      <c r="I158" s="2704" t="s">
        <v>2773</v>
      </c>
      <c r="K158" s="312" t="s">
        <v>4090</v>
      </c>
      <c r="L158" s="312"/>
      <c r="M158" s="312"/>
      <c r="O158" s="2705"/>
      <c r="P158" s="298"/>
      <c r="Z158" s="1773">
        <v>158</v>
      </c>
    </row>
    <row r="159" spans="1:26" s="289" customFormat="1" ht="12" customHeight="1">
      <c r="A159" s="1711"/>
      <c r="C159" s="1298"/>
      <c r="D159" s="2622"/>
      <c r="E159" s="312" t="s">
        <v>4089</v>
      </c>
      <c r="F159" s="312"/>
      <c r="G159" s="312"/>
      <c r="I159" s="2706" t="s">
        <v>2773</v>
      </c>
      <c r="K159" s="312"/>
      <c r="L159" s="312"/>
      <c r="M159" s="312"/>
      <c r="P159" s="298"/>
      <c r="Z159" s="1773">
        <v>159</v>
      </c>
    </row>
    <row r="160" spans="1:26" s="289" customFormat="1" ht="6" customHeight="1">
      <c r="A160" s="1711"/>
      <c r="B160" s="1711"/>
      <c r="C160" s="2622"/>
      <c r="D160" s="2622"/>
      <c r="E160" s="2622"/>
      <c r="F160" s="2630"/>
      <c r="N160" s="2628"/>
      <c r="O160" s="2628"/>
      <c r="P160" s="298"/>
      <c r="Z160" s="1773">
        <v>160</v>
      </c>
    </row>
    <row r="161" spans="1:26" s="289" customFormat="1" ht="12" customHeight="1">
      <c r="A161" s="1711"/>
      <c r="B161" s="1711" t="s">
        <v>2022</v>
      </c>
      <c r="C161" s="1298" t="s">
        <v>4087</v>
      </c>
      <c r="D161" s="2622"/>
      <c r="E161" s="2622"/>
      <c r="F161" s="2630"/>
      <c r="I161" s="2696" t="s">
        <v>2773</v>
      </c>
      <c r="N161" s="2628"/>
      <c r="O161" s="2628"/>
      <c r="P161" s="298"/>
      <c r="Z161" s="1773">
        <v>161</v>
      </c>
    </row>
    <row r="162" spans="1:26" s="289" customFormat="1" ht="9" customHeight="1">
      <c r="A162" s="1711"/>
      <c r="B162" s="1711"/>
      <c r="C162" s="2622"/>
      <c r="D162" s="2622"/>
      <c r="E162" s="2622"/>
      <c r="F162" s="2630"/>
      <c r="G162" s="2630"/>
      <c r="H162" s="2630"/>
      <c r="I162" s="2630"/>
      <c r="J162" s="305"/>
      <c r="K162" s="2630"/>
      <c r="L162" s="2630"/>
      <c r="N162" s="2628"/>
      <c r="O162" s="2628"/>
      <c r="Z162" s="1773">
        <v>162</v>
      </c>
    </row>
    <row r="163" spans="1:26" s="289" customFormat="1" ht="13.35" customHeight="1">
      <c r="A163" s="315" t="s">
        <v>1648</v>
      </c>
      <c r="B163" s="313" t="s">
        <v>1145</v>
      </c>
      <c r="D163" s="313"/>
      <c r="E163" s="313"/>
      <c r="F163" s="313"/>
      <c r="G163" s="2630"/>
      <c r="H163" s="2630"/>
      <c r="I163" s="2630"/>
      <c r="J163" s="305"/>
      <c r="K163" s="2630"/>
      <c r="L163" s="2630"/>
      <c r="N163" s="2628"/>
      <c r="O163" s="2628"/>
      <c r="P163" s="3324" t="s">
        <v>1714</v>
      </c>
      <c r="Z163" s="1773">
        <v>163</v>
      </c>
    </row>
    <row r="164" spans="1:26" s="289" customFormat="1" ht="6" customHeight="1">
      <c r="A164" s="315"/>
      <c r="B164" s="1711"/>
      <c r="C164" s="1298"/>
      <c r="D164" s="1298"/>
      <c r="E164" s="1298"/>
      <c r="F164" s="1298"/>
      <c r="G164" s="2630"/>
      <c r="H164" s="2630"/>
      <c r="I164" s="2630"/>
      <c r="J164" s="305"/>
      <c r="K164" s="2630"/>
      <c r="L164" s="2630"/>
      <c r="N164" s="2628"/>
      <c r="O164" s="2628"/>
      <c r="P164" s="3324"/>
      <c r="Z164" s="1773">
        <v>164</v>
      </c>
    </row>
    <row r="165" spans="1:26" s="289" customFormat="1" ht="13.35" customHeight="1">
      <c r="A165" s="1711"/>
      <c r="B165" s="1711" t="s">
        <v>1894</v>
      </c>
      <c r="C165" s="304" t="s">
        <v>1737</v>
      </c>
      <c r="F165" s="2630"/>
      <c r="G165" s="2630"/>
      <c r="H165" s="2630"/>
      <c r="I165" s="2630"/>
      <c r="J165" s="305"/>
      <c r="K165" s="2630"/>
      <c r="L165" s="2630"/>
      <c r="N165" s="2628"/>
      <c r="O165" s="2628"/>
      <c r="P165" s="3324"/>
      <c r="Z165" s="1773">
        <v>165</v>
      </c>
    </row>
    <row r="166" spans="1:26" s="289" customFormat="1" ht="12.6" customHeight="1">
      <c r="A166" s="1711"/>
      <c r="B166" s="1711"/>
      <c r="C166" s="312" t="s">
        <v>1466</v>
      </c>
      <c r="D166" s="305"/>
      <c r="E166" s="305"/>
      <c r="F166" s="2630"/>
      <c r="G166" s="2630"/>
      <c r="H166" s="2630"/>
      <c r="I166" s="2705" t="s">
        <v>2773</v>
      </c>
      <c r="N166" s="2628"/>
      <c r="O166" s="2628"/>
      <c r="P166" s="3325"/>
      <c r="Z166" s="1773">
        <v>166</v>
      </c>
    </row>
    <row r="167" spans="1:26" s="289" customFormat="1" ht="12.6" customHeight="1">
      <c r="A167" s="1711"/>
      <c r="B167" s="1711"/>
      <c r="C167" s="469" t="s">
        <v>6306</v>
      </c>
      <c r="D167" s="842"/>
      <c r="E167" s="842"/>
      <c r="F167" s="842"/>
      <c r="I167" s="289" t="s">
        <v>3965</v>
      </c>
      <c r="K167" s="469"/>
      <c r="L167" s="469"/>
      <c r="N167" s="2689"/>
      <c r="P167" s="1257">
        <f>IF('Part VI-Revenues &amp; Expenses'!$P$65=0,0,N167/'Part VI-Revenues &amp; Expenses'!$P$65)</f>
        <v>0</v>
      </c>
      <c r="Z167" s="1773">
        <v>167</v>
      </c>
    </row>
    <row r="168" spans="1:26" s="289" customFormat="1" ht="12.6" customHeight="1">
      <c r="A168" s="1711"/>
      <c r="B168" s="1711"/>
      <c r="D168" s="842"/>
      <c r="E168" s="842"/>
      <c r="F168" s="842"/>
      <c r="I168" s="289" t="s">
        <v>3964</v>
      </c>
      <c r="K168" s="469"/>
      <c r="L168" s="469"/>
      <c r="N168" s="2707"/>
      <c r="P168" s="1258">
        <f>IF('Part VI-Revenues &amp; Expenses'!$P$65=0,0,N168/'Part VI-Revenues &amp; Expenses'!$P$65)</f>
        <v>0</v>
      </c>
      <c r="Z168" s="1773">
        <v>168</v>
      </c>
    </row>
    <row r="169" spans="1:26" s="289" customFormat="1" ht="12" customHeight="1">
      <c r="A169" s="1711"/>
      <c r="B169" s="1711"/>
      <c r="C169" s="312" t="s">
        <v>6307</v>
      </c>
      <c r="D169" s="305"/>
      <c r="E169" s="305"/>
      <c r="F169" s="2630"/>
      <c r="G169" s="2630"/>
      <c r="H169" s="2630"/>
      <c r="I169" s="2705" t="s">
        <v>2773</v>
      </c>
      <c r="J169" s="2619" t="s">
        <v>6308</v>
      </c>
      <c r="N169" s="2688"/>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59"/>
      <c r="E171" s="3160"/>
      <c r="F171" s="3160"/>
      <c r="G171" s="3160"/>
      <c r="H171" s="3161"/>
      <c r="I171" s="2619" t="s">
        <v>3930</v>
      </c>
      <c r="N171" s="3362"/>
      <c r="O171" s="3363"/>
      <c r="P171" s="3181"/>
      <c r="Z171" s="1773">
        <v>171</v>
      </c>
    </row>
    <row r="172" spans="1:26" s="289" customFormat="1" ht="12.6" customHeight="1">
      <c r="A172" s="1711"/>
      <c r="B172" s="1711"/>
      <c r="C172" s="2619" t="s">
        <v>3931</v>
      </c>
      <c r="D172" s="3168"/>
      <c r="E172" s="3169"/>
      <c r="F172" s="3147"/>
      <c r="G172" s="3169"/>
      <c r="H172" s="3170"/>
      <c r="I172" s="2627" t="s">
        <v>1716</v>
      </c>
      <c r="J172" s="3159"/>
      <c r="K172" s="3160"/>
      <c r="L172" s="3161"/>
      <c r="M172" s="1247" t="s">
        <v>1891</v>
      </c>
      <c r="N172" s="3168"/>
      <c r="O172" s="3169"/>
      <c r="P172" s="3170"/>
      <c r="Z172" s="1773">
        <v>172</v>
      </c>
    </row>
    <row r="173" spans="1:26" s="289" customFormat="1" ht="12.6" customHeight="1">
      <c r="A173" s="1711"/>
      <c r="B173" s="1711"/>
      <c r="C173" s="2619" t="s">
        <v>588</v>
      </c>
      <c r="D173" s="3168"/>
      <c r="E173" s="3170"/>
      <c r="F173" s="1245" t="s">
        <v>2129</v>
      </c>
      <c r="G173" s="3367"/>
      <c r="H173" s="3368"/>
      <c r="I173" s="321" t="s">
        <v>1719</v>
      </c>
      <c r="J173" s="3364"/>
      <c r="K173" s="3365"/>
      <c r="L173" s="3366"/>
      <c r="M173" s="1246" t="s">
        <v>1890</v>
      </c>
      <c r="N173" s="3364"/>
      <c r="O173" s="3365"/>
      <c r="P173" s="3366"/>
      <c r="Z173" s="1773">
        <v>173</v>
      </c>
    </row>
    <row r="174" spans="1:26" s="289" customFormat="1" ht="12.6" customHeight="1">
      <c r="A174" s="1711"/>
      <c r="B174" s="1711"/>
      <c r="C174" s="289" t="s">
        <v>2554</v>
      </c>
      <c r="D174" s="3172"/>
      <c r="E174" s="3148"/>
      <c r="F174" s="3148"/>
      <c r="G174" s="3148"/>
      <c r="H174" s="3174"/>
      <c r="I174" s="321" t="s">
        <v>1718</v>
      </c>
      <c r="J174" s="3371"/>
      <c r="K174" s="3264"/>
      <c r="L174" s="3264"/>
      <c r="M174" s="3264"/>
      <c r="N174" s="3264"/>
      <c r="O174" s="3264"/>
      <c r="P174" s="3265"/>
      <c r="Z174" s="1773">
        <v>174</v>
      </c>
    </row>
    <row r="175" spans="1:26" s="289" customFormat="1" ht="12" customHeight="1">
      <c r="A175" s="1711"/>
      <c r="B175" s="1711"/>
      <c r="C175" s="289" t="s">
        <v>3966</v>
      </c>
      <c r="E175" s="322"/>
      <c r="F175" s="322"/>
      <c r="G175" s="322"/>
      <c r="H175" s="2630"/>
      <c r="I175" s="2705" t="s">
        <v>2773</v>
      </c>
      <c r="J175" s="3369" t="s">
        <v>731</v>
      </c>
      <c r="K175" s="3351"/>
      <c r="L175" s="2696"/>
      <c r="M175" s="322"/>
      <c r="N175" s="2630"/>
      <c r="O175" s="322"/>
      <c r="P175" s="322"/>
      <c r="Z175" s="1773">
        <v>175</v>
      </c>
    </row>
    <row r="176" spans="1:26" s="289" customFormat="1" ht="12" customHeight="1">
      <c r="A176" s="1711"/>
      <c r="B176" s="1711"/>
      <c r="C176" s="3370" t="s">
        <v>6526</v>
      </c>
      <c r="D176" s="3370"/>
      <c r="E176" s="3370"/>
      <c r="F176" s="3370"/>
      <c r="G176" s="3370"/>
      <c r="H176" s="3370"/>
      <c r="I176" s="3370"/>
      <c r="J176" s="3370"/>
      <c r="K176" s="842"/>
      <c r="M176" s="842"/>
      <c r="Z176" s="1773">
        <v>176</v>
      </c>
    </row>
    <row r="177" spans="1:26" s="289" customFormat="1" ht="12" customHeight="1">
      <c r="A177" s="1711"/>
      <c r="B177" s="1711"/>
      <c r="C177" s="3370"/>
      <c r="D177" s="3370"/>
      <c r="E177" s="3370"/>
      <c r="F177" s="3370"/>
      <c r="G177" s="3370"/>
      <c r="H177" s="3370"/>
      <c r="I177" s="3370"/>
      <c r="J177" s="3370"/>
      <c r="K177" s="842"/>
      <c r="L177" s="2705" t="s">
        <v>2773</v>
      </c>
      <c r="M177" s="842"/>
      <c r="N177" s="3350" t="s">
        <v>731</v>
      </c>
      <c r="O177" s="3351"/>
      <c r="P177" s="2696"/>
      <c r="Z177" s="1773">
        <v>177</v>
      </c>
    </row>
    <row r="178" spans="1:26" s="289" customFormat="1" ht="6" customHeight="1">
      <c r="A178" s="1711"/>
      <c r="B178" s="1711"/>
      <c r="Z178" s="1773">
        <v>178</v>
      </c>
    </row>
    <row r="179" spans="1:26" s="289" customFormat="1" ht="12.6" customHeight="1">
      <c r="A179" s="1711"/>
      <c r="B179" s="1711" t="s">
        <v>1896</v>
      </c>
      <c r="C179" s="1662" t="s">
        <v>2552</v>
      </c>
      <c r="D179" s="1662"/>
      <c r="E179" s="1662"/>
      <c r="F179" s="1662"/>
      <c r="G179" s="1662"/>
      <c r="I179" s="2693" t="s">
        <v>2773</v>
      </c>
      <c r="J179" s="3355" t="s">
        <v>731</v>
      </c>
      <c r="K179" s="3356"/>
      <c r="L179" s="2693"/>
      <c r="M179" s="3352" t="s">
        <v>2223</v>
      </c>
      <c r="N179" s="3353"/>
      <c r="O179" s="3354"/>
      <c r="P179" s="2708"/>
      <c r="Z179" s="1773">
        <v>179</v>
      </c>
    </row>
    <row r="180" spans="1:26" s="289" customFormat="1" ht="12.6" customHeight="1">
      <c r="A180" s="1711"/>
      <c r="B180" s="1711"/>
      <c r="C180" s="1662" t="s">
        <v>2553</v>
      </c>
      <c r="D180" s="1662"/>
      <c r="E180" s="1662"/>
      <c r="F180" s="1662"/>
      <c r="G180" s="1662"/>
      <c r="I180" s="2694" t="s">
        <v>2770</v>
      </c>
      <c r="J180" s="3355" t="s">
        <v>731</v>
      </c>
      <c r="K180" s="3356"/>
      <c r="L180" s="2694">
        <v>2043</v>
      </c>
      <c r="M180" s="3352" t="s">
        <v>2223</v>
      </c>
      <c r="N180" s="3353"/>
      <c r="O180" s="3354"/>
      <c r="P180" s="2709">
        <v>5</v>
      </c>
      <c r="Z180" s="1773">
        <v>180</v>
      </c>
    </row>
    <row r="181" spans="1:26" s="289" customFormat="1" ht="6" customHeight="1">
      <c r="A181" s="1711"/>
      <c r="B181" s="1711"/>
      <c r="C181" s="1662"/>
      <c r="D181" s="1662"/>
      <c r="E181" s="291"/>
      <c r="F181" s="1662"/>
      <c r="G181" s="1662"/>
      <c r="J181" s="2628"/>
      <c r="K181" s="361"/>
      <c r="M181" s="2628"/>
      <c r="O181" s="2630"/>
      <c r="P181" s="298"/>
      <c r="Z181" s="1773">
        <v>181</v>
      </c>
    </row>
    <row r="182" spans="1:26" s="289" customFormat="1" ht="12.6" customHeight="1">
      <c r="A182" s="1711"/>
      <c r="B182" s="1711" t="s">
        <v>719</v>
      </c>
      <c r="C182" s="1662" t="s">
        <v>1677</v>
      </c>
      <c r="D182" s="1662"/>
      <c r="E182" s="1662"/>
      <c r="F182" s="1662"/>
      <c r="G182" s="1662"/>
      <c r="I182" s="2685" t="s">
        <v>2773</v>
      </c>
      <c r="L182" s="166"/>
      <c r="M182" s="166"/>
      <c r="P182" s="298"/>
      <c r="Z182" s="1773">
        <v>182</v>
      </c>
    </row>
    <row r="183" spans="1:26" s="289" customFormat="1" ht="1.5" customHeight="1">
      <c r="A183" s="1711"/>
      <c r="B183" s="1711"/>
      <c r="C183" s="2619"/>
      <c r="E183" s="322"/>
      <c r="F183" s="322"/>
      <c r="G183" s="322"/>
      <c r="I183" s="322"/>
      <c r="J183" s="322"/>
      <c r="K183" s="2630"/>
      <c r="L183" s="322"/>
      <c r="M183" s="322"/>
      <c r="N183" s="2630"/>
      <c r="O183" s="322"/>
      <c r="P183" s="322"/>
      <c r="Z183" s="1773">
        <v>183</v>
      </c>
    </row>
    <row r="184" spans="1:26" s="27" customFormat="1" ht="13.5">
      <c r="B184" s="1711" t="s">
        <v>2022</v>
      </c>
      <c r="C184" s="2710" t="s">
        <v>6802</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1" t="s">
        <v>1897</v>
      </c>
      <c r="D185" s="267" t="s">
        <v>6491</v>
      </c>
      <c r="E185" s="307"/>
      <c r="F185" s="1613"/>
      <c r="G185" s="1613"/>
      <c r="H185" s="1613"/>
      <c r="I185" s="481"/>
      <c r="J185" s="481"/>
      <c r="K185" s="481"/>
      <c r="L185" s="2712" t="s">
        <v>2773</v>
      </c>
      <c r="M185" s="267" t="s">
        <v>6492</v>
      </c>
      <c r="N185" s="1613"/>
      <c r="O185" s="3344"/>
      <c r="P185" s="3345"/>
      <c r="Z185" s="1773">
        <v>185</v>
      </c>
    </row>
    <row r="186" spans="1:26" s="27" customFormat="1" ht="12" customHeight="1">
      <c r="B186" s="325"/>
      <c r="C186" s="2711" t="s">
        <v>1899</v>
      </c>
      <c r="D186" s="267" t="s">
        <v>6620</v>
      </c>
      <c r="E186" s="307"/>
      <c r="F186" s="1613"/>
      <c r="G186" s="1613"/>
      <c r="H186" s="1613"/>
      <c r="I186" s="481"/>
      <c r="J186" s="481"/>
      <c r="K186" s="481"/>
      <c r="L186" s="2713" t="s">
        <v>2773</v>
      </c>
      <c r="M186" s="267" t="s">
        <v>6492</v>
      </c>
      <c r="N186" s="1613"/>
      <c r="O186" s="3346"/>
      <c r="P186" s="3347"/>
      <c r="Z186" s="1773">
        <v>186</v>
      </c>
    </row>
    <row r="187" spans="1:26" s="27" customFormat="1" ht="12" customHeight="1">
      <c r="B187" s="325"/>
      <c r="C187" s="2711" t="s">
        <v>2417</v>
      </c>
      <c r="D187" s="267" t="s">
        <v>6493</v>
      </c>
      <c r="E187" s="307"/>
      <c r="F187" s="1613"/>
      <c r="G187" s="1613"/>
      <c r="H187" s="1613"/>
      <c r="I187" s="481"/>
      <c r="J187" s="481"/>
      <c r="K187" s="481"/>
      <c r="L187" s="2714" t="s">
        <v>2773</v>
      </c>
      <c r="M187" s="267" t="s">
        <v>6492</v>
      </c>
      <c r="N187" s="1613"/>
      <c r="O187" s="3285"/>
      <c r="P187" s="3286"/>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10" t="s">
        <v>6805</v>
      </c>
      <c r="D189" s="1613"/>
      <c r="E189" s="1613"/>
      <c r="F189" s="1613"/>
      <c r="G189" s="1613"/>
      <c r="H189" s="3287" t="str">
        <f>IF(AND(O185="",O186="",O187=""),"",MIN(O185:P187))</f>
        <v/>
      </c>
      <c r="I189" s="3288"/>
      <c r="J189" s="307"/>
      <c r="K189" s="1613"/>
      <c r="L189" s="307"/>
      <c r="M189" s="307"/>
      <c r="N189" s="307"/>
      <c r="O189" s="307"/>
      <c r="P189" s="307"/>
      <c r="Z189" s="1773">
        <v>189</v>
      </c>
    </row>
    <row r="190" spans="1:26" s="27" customFormat="1" ht="3.75" customHeight="1">
      <c r="A190" s="2715"/>
      <c r="B190" s="267"/>
      <c r="C190" s="267"/>
      <c r="D190" s="267"/>
      <c r="E190" s="267"/>
      <c r="F190" s="267"/>
      <c r="G190" s="267"/>
      <c r="H190" s="267"/>
      <c r="I190" s="267"/>
      <c r="J190" s="267"/>
      <c r="K190" s="267"/>
      <c r="L190" s="267"/>
      <c r="M190" s="267"/>
      <c r="N190" s="2716"/>
      <c r="O190" s="2716"/>
      <c r="P190" s="2717"/>
      <c r="Z190" s="1773">
        <v>190</v>
      </c>
    </row>
    <row r="191" spans="1:26" s="27" customFormat="1" ht="12.75" customHeight="1">
      <c r="A191" s="2718"/>
      <c r="B191" s="2719"/>
      <c r="C191" s="2720" t="s">
        <v>6793</v>
      </c>
      <c r="D191" s="2721"/>
      <c r="E191" s="2721"/>
      <c r="F191" s="2721"/>
      <c r="G191" s="307"/>
      <c r="H191" s="3317" t="s">
        <v>6807</v>
      </c>
      <c r="I191" s="3318"/>
      <c r="J191" s="3305" t="s">
        <v>6792</v>
      </c>
      <c r="K191" s="3306"/>
      <c r="L191" s="3298" t="s">
        <v>6791</v>
      </c>
      <c r="M191" s="3298"/>
      <c r="N191" s="3298"/>
      <c r="O191" s="3298"/>
      <c r="P191" s="3298"/>
      <c r="Z191" s="1773">
        <v>191</v>
      </c>
    </row>
    <row r="192" spans="1:26" s="27" customFormat="1">
      <c r="A192" s="2718"/>
      <c r="B192" s="166"/>
      <c r="C192" s="2722" t="s">
        <v>6803</v>
      </c>
      <c r="D192" s="2723"/>
      <c r="E192" s="2723"/>
      <c r="F192" s="2724" t="s">
        <v>6785</v>
      </c>
      <c r="G192" s="2724" t="s">
        <v>6786</v>
      </c>
      <c r="H192" s="2725" t="str">
        <f>IF($H$189="","",$H$189)</f>
        <v/>
      </c>
      <c r="I192" s="2726" t="s">
        <v>6787</v>
      </c>
      <c r="J192" s="3307"/>
      <c r="K192" s="3308"/>
      <c r="L192" s="3299"/>
      <c r="M192" s="3299"/>
      <c r="N192" s="3299"/>
      <c r="O192" s="3299"/>
      <c r="P192" s="3299"/>
      <c r="R192" s="307"/>
      <c r="S192" s="307"/>
      <c r="T192" s="307"/>
      <c r="U192" s="307"/>
      <c r="V192" s="307"/>
      <c r="Z192" s="1773">
        <v>192</v>
      </c>
    </row>
    <row r="193" spans="1:26" s="27" customFormat="1" ht="12" customHeight="1">
      <c r="A193" s="2727"/>
      <c r="B193" s="325"/>
      <c r="C193" s="166" t="s">
        <v>6788</v>
      </c>
      <c r="D193" s="359"/>
      <c r="E193" s="2629"/>
      <c r="F193" s="2728"/>
      <c r="G193" s="2728"/>
      <c r="H193" s="2729"/>
      <c r="I193" s="2729"/>
      <c r="J193" s="3312"/>
      <c r="K193" s="3313"/>
      <c r="L193" s="3314"/>
      <c r="M193" s="3315"/>
      <c r="N193" s="3315"/>
      <c r="O193" s="3315"/>
      <c r="P193" s="3316"/>
      <c r="R193" s="307"/>
      <c r="S193" s="307"/>
      <c r="T193" s="307"/>
      <c r="U193" s="307"/>
      <c r="V193" s="307"/>
      <c r="Z193" s="1773">
        <v>193</v>
      </c>
    </row>
    <row r="194" spans="1:26" s="27" customFormat="1" ht="12" customHeight="1">
      <c r="A194" s="2730"/>
      <c r="B194" s="325"/>
      <c r="C194" s="166" t="s">
        <v>6789</v>
      </c>
      <c r="D194" s="359"/>
      <c r="E194" s="2629"/>
      <c r="F194" s="2731"/>
      <c r="G194" s="2731"/>
      <c r="H194" s="2732"/>
      <c r="I194" s="2732"/>
      <c r="J194" s="3303"/>
      <c r="K194" s="3304"/>
      <c r="L194" s="3300"/>
      <c r="M194" s="3301"/>
      <c r="N194" s="3301"/>
      <c r="O194" s="3301"/>
      <c r="P194" s="3302"/>
      <c r="R194" s="307"/>
      <c r="S194" s="307"/>
      <c r="T194" s="307"/>
      <c r="U194" s="307"/>
      <c r="V194" s="307"/>
      <c r="Z194" s="1773">
        <v>194</v>
      </c>
    </row>
    <row r="195" spans="1:26" s="27" customFormat="1" ht="12" customHeight="1">
      <c r="A195" s="2730"/>
      <c r="B195" s="325"/>
      <c r="C195" s="166" t="s">
        <v>6494</v>
      </c>
      <c r="D195" s="166"/>
      <c r="E195" s="289"/>
      <c r="F195" s="2731"/>
      <c r="G195" s="2731"/>
      <c r="H195" s="2732"/>
      <c r="I195" s="2732"/>
      <c r="J195" s="3303"/>
      <c r="K195" s="3304"/>
      <c r="L195" s="3300"/>
      <c r="M195" s="3301"/>
      <c r="N195" s="3301"/>
      <c r="O195" s="3301"/>
      <c r="P195" s="3302"/>
      <c r="R195" s="307"/>
      <c r="S195" s="307"/>
      <c r="T195" s="307"/>
      <c r="U195" s="307"/>
      <c r="V195" s="307"/>
      <c r="Z195" s="1773">
        <v>195</v>
      </c>
    </row>
    <row r="196" spans="1:26" s="27" customFormat="1" ht="12" customHeight="1">
      <c r="A196" s="2730"/>
      <c r="B196" s="325"/>
      <c r="C196" s="166" t="s">
        <v>6790</v>
      </c>
      <c r="D196" s="166"/>
      <c r="E196" s="289"/>
      <c r="F196" s="2731"/>
      <c r="G196" s="2731"/>
      <c r="H196" s="2732"/>
      <c r="I196" s="2732"/>
      <c r="J196" s="3303"/>
      <c r="K196" s="3304"/>
      <c r="L196" s="3300"/>
      <c r="M196" s="3301"/>
      <c r="N196" s="3301"/>
      <c r="O196" s="3301"/>
      <c r="P196" s="3302"/>
      <c r="R196" s="307"/>
      <c r="S196" s="307"/>
      <c r="T196" s="307"/>
      <c r="U196" s="307"/>
      <c r="V196" s="307"/>
      <c r="Z196" s="1773">
        <v>196</v>
      </c>
    </row>
    <row r="197" spans="1:26" s="27" customFormat="1" ht="12" customHeight="1">
      <c r="A197" s="2733"/>
      <c r="B197" s="325"/>
      <c r="C197" s="3309" t="s">
        <v>6804</v>
      </c>
      <c r="D197" s="3310"/>
      <c r="E197" s="3311"/>
      <c r="F197" s="2734"/>
      <c r="G197" s="2734"/>
      <c r="H197" s="2735"/>
      <c r="I197" s="2735"/>
      <c r="J197" s="3319"/>
      <c r="K197" s="3320"/>
      <c r="L197" s="3321"/>
      <c r="M197" s="3322"/>
      <c r="N197" s="3322"/>
      <c r="O197" s="3322"/>
      <c r="P197" s="3323"/>
      <c r="R197" s="307"/>
      <c r="S197" s="307"/>
      <c r="T197" s="307"/>
      <c r="U197" s="307"/>
      <c r="V197" s="307"/>
      <c r="Z197" s="1773">
        <v>197</v>
      </c>
    </row>
    <row r="198" spans="1:26" s="27" customFormat="1" ht="13.5" customHeight="1">
      <c r="A198" s="2733"/>
      <c r="B198" s="489" t="s">
        <v>6806</v>
      </c>
      <c r="C198" s="287"/>
      <c r="D198" s="287"/>
      <c r="E198" s="2736"/>
      <c r="F198" s="2737"/>
      <c r="G198" s="2738"/>
      <c r="H198" s="2739"/>
      <c r="I198" s="2740"/>
      <c r="J198" s="2741"/>
      <c r="K198" s="2741"/>
      <c r="L198" s="2741"/>
      <c r="M198" s="2741"/>
      <c r="N198" s="2742"/>
      <c r="O198" s="2742"/>
      <c r="P198" s="2743"/>
      <c r="Z198" s="1773">
        <v>198</v>
      </c>
    </row>
    <row r="199" spans="1:26" s="27" customFormat="1" ht="22.5" customHeight="1">
      <c r="A199" s="2733"/>
      <c r="B199" s="3289"/>
      <c r="C199" s="3290"/>
      <c r="D199" s="3290"/>
      <c r="E199" s="3290"/>
      <c r="F199" s="3290"/>
      <c r="G199" s="3290"/>
      <c r="H199" s="3290"/>
      <c r="I199" s="3290"/>
      <c r="J199" s="3290"/>
      <c r="K199" s="3290"/>
      <c r="L199" s="3290"/>
      <c r="M199" s="3290"/>
      <c r="N199" s="3290"/>
      <c r="O199" s="3290"/>
      <c r="P199" s="3291"/>
      <c r="Z199" s="1773">
        <v>199</v>
      </c>
    </row>
    <row r="200" spans="1:26" s="27" customFormat="1" ht="22.5" customHeight="1">
      <c r="A200" s="2733"/>
      <c r="B200" s="3292"/>
      <c r="C200" s="3293"/>
      <c r="D200" s="3293"/>
      <c r="E200" s="3293"/>
      <c r="F200" s="3293"/>
      <c r="G200" s="3293"/>
      <c r="H200" s="3293"/>
      <c r="I200" s="3293"/>
      <c r="J200" s="3293"/>
      <c r="K200" s="3293"/>
      <c r="L200" s="3293"/>
      <c r="M200" s="3293"/>
      <c r="N200" s="3293"/>
      <c r="O200" s="3293"/>
      <c r="P200" s="3294"/>
      <c r="Z200" s="1773">
        <v>200</v>
      </c>
    </row>
    <row r="201" spans="1:26" s="27" customFormat="1" ht="22.5" customHeight="1">
      <c r="A201" s="2744"/>
      <c r="B201" s="3295"/>
      <c r="C201" s="3296"/>
      <c r="D201" s="3296"/>
      <c r="E201" s="3296"/>
      <c r="F201" s="3296"/>
      <c r="G201" s="3296"/>
      <c r="H201" s="3296"/>
      <c r="I201" s="3296"/>
      <c r="J201" s="3296"/>
      <c r="K201" s="3296"/>
      <c r="L201" s="3296"/>
      <c r="M201" s="3296"/>
      <c r="N201" s="3296"/>
      <c r="O201" s="3296"/>
      <c r="P201" s="3297"/>
      <c r="Z201" s="1773">
        <v>201</v>
      </c>
    </row>
    <row r="202" spans="1:26" s="289" customFormat="1" ht="6" customHeight="1">
      <c r="A202" s="1711"/>
      <c r="B202" s="1711"/>
      <c r="M202" s="2621"/>
      <c r="N202" s="1298"/>
      <c r="O202" s="1298"/>
      <c r="P202" s="1628"/>
      <c r="Z202" s="1773">
        <v>202</v>
      </c>
    </row>
    <row r="203" spans="1:26" s="289" customFormat="1" ht="13.35" customHeight="1">
      <c r="A203" s="1711"/>
      <c r="B203" s="1711" t="s">
        <v>1656</v>
      </c>
      <c r="C203" s="1662" t="s">
        <v>1543</v>
      </c>
      <c r="D203" s="2622"/>
      <c r="E203" s="2622"/>
      <c r="F203" s="2622"/>
      <c r="G203" s="2622"/>
      <c r="H203" s="2630"/>
      <c r="J203" s="297"/>
      <c r="K203" s="305"/>
      <c r="M203" s="2628"/>
      <c r="O203" s="2630"/>
      <c r="P203" s="298"/>
      <c r="Z203" s="1773">
        <v>203</v>
      </c>
    </row>
    <row r="204" spans="1:26" s="289" customFormat="1" ht="12.6" customHeight="1">
      <c r="A204" s="1711"/>
      <c r="B204" s="1711"/>
      <c r="C204" s="2628" t="s">
        <v>2112</v>
      </c>
      <c r="D204" s="299"/>
      <c r="E204" s="2628"/>
      <c r="F204" s="2628"/>
      <c r="I204" s="2745" t="s">
        <v>2773</v>
      </c>
      <c r="L204" s="2628" t="s">
        <v>1544</v>
      </c>
      <c r="M204" s="2628"/>
      <c r="N204" s="2628"/>
      <c r="P204" s="2745" t="s">
        <v>2770</v>
      </c>
      <c r="Z204" s="1773">
        <v>204</v>
      </c>
    </row>
    <row r="205" spans="1:26" s="289" customFormat="1" ht="12.6" customHeight="1">
      <c r="A205" s="1711"/>
      <c r="B205" s="1711"/>
      <c r="C205" s="2628" t="s">
        <v>2113</v>
      </c>
      <c r="I205" s="2745" t="s">
        <v>2773</v>
      </c>
      <c r="L205" s="2628" t="s">
        <v>6548</v>
      </c>
      <c r="M205" s="2628"/>
      <c r="N205" s="2628"/>
      <c r="P205" s="2703" t="s">
        <v>2773</v>
      </c>
      <c r="Z205" s="1773">
        <v>205</v>
      </c>
    </row>
    <row r="206" spans="1:26" s="289" customFormat="1" ht="12.6" customHeight="1">
      <c r="A206" s="1711"/>
      <c r="C206" s="2628" t="s">
        <v>2568</v>
      </c>
      <c r="I206" s="2745" t="s">
        <v>2773</v>
      </c>
      <c r="L206" s="2628" t="s">
        <v>2542</v>
      </c>
      <c r="N206" s="3326"/>
      <c r="O206" s="3327"/>
      <c r="P206" s="2703" t="s">
        <v>2773</v>
      </c>
      <c r="Z206" s="1773">
        <v>206</v>
      </c>
    </row>
    <row r="207" spans="1:26" s="289" customFormat="1" ht="12.6" customHeight="1">
      <c r="A207" s="1711"/>
      <c r="B207" s="1711"/>
      <c r="C207" s="2628" t="s">
        <v>1237</v>
      </c>
      <c r="D207" s="324"/>
      <c r="I207" s="2745" t="s">
        <v>2773</v>
      </c>
      <c r="K207" s="299"/>
      <c r="L207" s="2628" t="s">
        <v>3208</v>
      </c>
      <c r="M207" s="2628"/>
      <c r="N207" s="2628"/>
      <c r="P207" s="2703" t="s">
        <v>2773</v>
      </c>
      <c r="Z207" s="1773">
        <v>207</v>
      </c>
    </row>
    <row r="208" spans="1:26" s="289" customFormat="1" ht="12.6" customHeight="1">
      <c r="A208" s="1711"/>
      <c r="B208" s="291"/>
      <c r="C208" s="2628" t="s">
        <v>4129</v>
      </c>
      <c r="I208" s="2745" t="s">
        <v>2773</v>
      </c>
      <c r="J208" s="323" t="s">
        <v>2586</v>
      </c>
      <c r="O208" s="3328"/>
      <c r="P208" s="3329"/>
      <c r="Z208" s="1773">
        <v>208</v>
      </c>
    </row>
    <row r="209" spans="1:26" s="289" customFormat="1" ht="12.6" customHeight="1">
      <c r="A209" s="1711"/>
      <c r="B209" s="291"/>
      <c r="C209" s="2628" t="s">
        <v>1723</v>
      </c>
      <c r="I209" s="2745" t="s">
        <v>2773</v>
      </c>
      <c r="J209" s="323" t="s">
        <v>2586</v>
      </c>
      <c r="O209" s="3342"/>
      <c r="P209" s="3343"/>
      <c r="Z209" s="1773">
        <v>209</v>
      </c>
    </row>
    <row r="210" spans="1:26" s="289" customFormat="1" ht="12.6" customHeight="1">
      <c r="A210" s="1711"/>
      <c r="B210" s="1711"/>
      <c r="C210" s="2628" t="s">
        <v>2691</v>
      </c>
      <c r="I210" s="2745" t="s">
        <v>2773</v>
      </c>
      <c r="J210" s="323" t="s">
        <v>2586</v>
      </c>
      <c r="O210" s="3330"/>
      <c r="P210" s="3331"/>
      <c r="Z210" s="1773">
        <v>210</v>
      </c>
    </row>
    <row r="211" spans="1:26" s="289" customFormat="1" ht="12.6" customHeight="1">
      <c r="A211" s="1711"/>
      <c r="B211" s="1711"/>
      <c r="C211" s="289" t="s">
        <v>6403</v>
      </c>
      <c r="I211" s="2745" t="s">
        <v>2773</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19" t="s">
        <v>609</v>
      </c>
      <c r="I213" s="3209"/>
      <c r="J213" s="3210"/>
      <c r="Z213" s="1773">
        <v>213</v>
      </c>
    </row>
    <row r="214" spans="1:26" s="289" customFormat="1" ht="12.6" customHeight="1">
      <c r="A214" s="1711"/>
      <c r="B214" s="1711"/>
      <c r="D214" s="2622"/>
      <c r="E214" s="2622"/>
      <c r="F214" s="2619" t="s">
        <v>265</v>
      </c>
      <c r="I214" s="3338"/>
      <c r="J214" s="3339"/>
      <c r="Z214" s="1773">
        <v>214</v>
      </c>
    </row>
    <row r="215" spans="1:26" s="289" customFormat="1" ht="12.6" customHeight="1">
      <c r="A215" s="1711"/>
      <c r="B215" s="1711"/>
      <c r="D215" s="2622"/>
      <c r="E215" s="2622"/>
      <c r="F215" s="2619" t="s">
        <v>2193</v>
      </c>
      <c r="I215" s="3340">
        <v>45291</v>
      </c>
      <c r="J215" s="3341"/>
      <c r="Z215" s="1773">
        <v>215</v>
      </c>
    </row>
    <row r="216" spans="1:26" s="289" customFormat="1" ht="2.25" customHeight="1">
      <c r="B216" s="291"/>
      <c r="C216" s="2628"/>
      <c r="H216" s="2628"/>
      <c r="L216" s="307"/>
      <c r="M216" s="307"/>
      <c r="N216" s="307"/>
      <c r="O216" s="307"/>
      <c r="P216" s="295"/>
      <c r="Z216" s="1773">
        <v>216</v>
      </c>
    </row>
    <row r="217" spans="1:26" ht="12" customHeight="1">
      <c r="A217" s="315" t="s">
        <v>2606</v>
      </c>
      <c r="C217" s="315" t="s">
        <v>543</v>
      </c>
      <c r="M217" s="315" t="s">
        <v>2150</v>
      </c>
      <c r="N217" s="315" t="s">
        <v>74</v>
      </c>
      <c r="Z217" s="1773">
        <v>217</v>
      </c>
    </row>
    <row r="218" spans="1:26" ht="103.5" customHeight="1">
      <c r="A218" s="3332" t="s">
        <v>6962</v>
      </c>
      <c r="B218" s="3333"/>
      <c r="C218" s="3333"/>
      <c r="D218" s="3333"/>
      <c r="E218" s="3333"/>
      <c r="F218" s="3333"/>
      <c r="G218" s="3333"/>
      <c r="H218" s="3333"/>
      <c r="I218" s="3333"/>
      <c r="J218" s="3333"/>
      <c r="K218" s="3333"/>
      <c r="L218" s="3334"/>
      <c r="M218" s="3335"/>
      <c r="N218" s="3336"/>
      <c r="O218" s="3336"/>
      <c r="P218" s="3337"/>
      <c r="Q218" s="3131" t="s">
        <v>2543</v>
      </c>
      <c r="R218" s="3131"/>
      <c r="S218" s="3131"/>
      <c r="T218" s="3131"/>
      <c r="U218" s="3131"/>
      <c r="Z218" s="1773">
        <v>218</v>
      </c>
    </row>
    <row r="219" spans="1:26" ht="12" customHeight="1">
      <c r="Q219" s="3131"/>
      <c r="R219" s="3131"/>
      <c r="S219" s="3131"/>
      <c r="T219" s="3131"/>
      <c r="U219" s="3131"/>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6"/>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6"/>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6"/>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6"/>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2676</v>
      </c>
      <c r="K239" s="307"/>
      <c r="L239" s="307"/>
      <c r="M239" s="307"/>
      <c r="N239" s="307"/>
      <c r="O239" s="307"/>
      <c r="P239" s="939"/>
      <c r="Q239" s="2746"/>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2677</v>
      </c>
      <c r="K240" s="307"/>
      <c r="L240" s="307"/>
      <c r="M240" s="307"/>
      <c r="N240" s="307"/>
      <c r="O240" s="307"/>
      <c r="P240" s="939"/>
      <c r="Q240" s="2746"/>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2678</v>
      </c>
      <c r="K241" s="307"/>
      <c r="L241" s="307"/>
      <c r="M241" s="307"/>
      <c r="N241" s="307"/>
      <c r="O241" s="307"/>
      <c r="P241" s="939"/>
      <c r="Q241" s="2746"/>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2679</v>
      </c>
      <c r="K242" s="307"/>
      <c r="L242" s="307"/>
      <c r="M242" s="307"/>
      <c r="N242" s="307"/>
      <c r="O242" s="307"/>
      <c r="P242" s="939"/>
      <c r="Q242" s="2746"/>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2680</v>
      </c>
      <c r="K243" s="307"/>
      <c r="L243" s="307"/>
      <c r="M243" s="307"/>
      <c r="N243" s="307"/>
      <c r="O243" s="307"/>
      <c r="P243" s="939"/>
      <c r="Q243" s="2746"/>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2681</v>
      </c>
      <c r="K244" s="307"/>
      <c r="L244" s="307"/>
      <c r="M244" s="307"/>
      <c r="N244" s="307"/>
      <c r="O244" s="307"/>
      <c r="P244" s="939"/>
      <c r="Q244" s="2746"/>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2682</v>
      </c>
      <c r="K245" s="307"/>
      <c r="L245" s="307"/>
      <c r="M245" s="307"/>
      <c r="N245" s="307"/>
      <c r="O245" s="307"/>
      <c r="P245" s="939"/>
      <c r="Q245" s="2746"/>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2683</v>
      </c>
      <c r="K246" s="307"/>
      <c r="L246" s="307"/>
      <c r="M246" s="307"/>
      <c r="N246" s="307"/>
      <c r="O246" s="307"/>
      <c r="P246" s="939"/>
      <c r="Q246" s="2746"/>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2684</v>
      </c>
      <c r="K247" s="307"/>
      <c r="L247" s="307"/>
      <c r="M247" s="307"/>
      <c r="N247" s="307"/>
      <c r="O247" s="307"/>
      <c r="P247" s="939"/>
      <c r="Q247" s="2746"/>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3431</v>
      </c>
      <c r="K248" s="307"/>
      <c r="L248" s="307"/>
      <c r="M248" s="307"/>
      <c r="N248" s="307"/>
      <c r="O248" s="307"/>
      <c r="P248" s="939"/>
      <c r="Q248" s="2746"/>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6"/>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6"/>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6"/>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6"/>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6"/>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7"/>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6"/>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6"/>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6"/>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7"/>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6"/>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6"/>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6"/>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6"/>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6"/>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6"/>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6"/>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6"/>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6"/>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6"/>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6"/>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6"/>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6"/>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8"/>
      <c r="Q272" s="2746"/>
      <c r="R272" s="939"/>
      <c r="S272" s="2749"/>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6"/>
      <c r="R273" s="939"/>
      <c r="S273" s="2749"/>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6"/>
      <c r="R274" s="939"/>
      <c r="S274" s="2749"/>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6"/>
      <c r="R275" s="939"/>
      <c r="S275" s="2749"/>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7"/>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6"/>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6"/>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8"/>
      <c r="Q280" s="2746"/>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6"/>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6"/>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6"/>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6"/>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6"/>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6"/>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6"/>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8"/>
      <c r="Q288" s="2746"/>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6"/>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6"/>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6"/>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6"/>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6"/>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6"/>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6"/>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6"/>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6"/>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6"/>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6"/>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6"/>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6"/>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6"/>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6"/>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6"/>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6"/>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6"/>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6"/>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6"/>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6"/>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6"/>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6"/>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6"/>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6"/>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6"/>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6"/>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6"/>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6"/>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6"/>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6"/>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6"/>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6"/>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6"/>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6"/>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6"/>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6"/>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6"/>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6"/>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6"/>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6"/>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8"/>
      <c r="Q330" s="2746"/>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6"/>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6"/>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6"/>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6"/>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6"/>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6"/>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6"/>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6"/>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6"/>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6"/>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6"/>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6"/>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6"/>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7"/>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6"/>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6"/>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6"/>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7"/>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6"/>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6"/>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8"/>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6"/>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6"/>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6"/>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7"/>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6"/>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8"/>
      <c r="Q359" s="2746"/>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6"/>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6"/>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6"/>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7"/>
      <c r="Q365" s="2746"/>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6"/>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6"/>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6"/>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6"/>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6"/>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6"/>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6"/>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6"/>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6"/>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6"/>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6"/>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6"/>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6"/>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6"/>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6"/>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6"/>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6"/>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8"/>
      <c r="Q383" s="2746"/>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6"/>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6"/>
      <c r="R385" s="939"/>
      <c r="S385" s="2749"/>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6"/>
      <c r="R386" s="939"/>
      <c r="S386" s="2749"/>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6"/>
      <c r="R387" s="939"/>
      <c r="S387" s="2749"/>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9"/>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8"/>
      <c r="Q389" s="937"/>
      <c r="R389" s="939"/>
      <c r="S389" s="2749"/>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9"/>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9"/>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8"/>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8"/>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8"/>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8"/>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8"/>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8"/>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8"/>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8"/>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50"/>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50"/>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50"/>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50"/>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50"/>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50"/>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9" t="s">
        <v>88</v>
      </c>
      <c r="S645" s="2749" t="s">
        <v>90</v>
      </c>
      <c r="T645" s="2749"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9" t="s">
        <v>2443</v>
      </c>
      <c r="S646" s="2749" t="s">
        <v>598</v>
      </c>
      <c r="T646" s="2751" t="s">
        <v>2048</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9" t="s">
        <v>2444</v>
      </c>
      <c r="S647" s="2749" t="s">
        <v>308</v>
      </c>
      <c r="T647" s="2751" t="s">
        <v>2048</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9" t="s">
        <v>2445</v>
      </c>
      <c r="S648" s="2749" t="s">
        <v>2372</v>
      </c>
      <c r="T648" s="2751" t="s">
        <v>2048</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9" t="s">
        <v>2446</v>
      </c>
      <c r="S649" s="2749"/>
      <c r="T649" s="2751" t="s">
        <v>2048</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9" t="s">
        <v>2447</v>
      </c>
      <c r="S650" s="2749" t="s">
        <v>1918</v>
      </c>
      <c r="T650" s="2751" t="s">
        <v>2048</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9" t="s">
        <v>2448</v>
      </c>
      <c r="S651" s="2749" t="s">
        <v>2372</v>
      </c>
      <c r="T651" s="2751" t="s">
        <v>2048</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9" t="s">
        <v>2449</v>
      </c>
      <c r="S652" s="2749" t="s">
        <v>1278</v>
      </c>
      <c r="T652" s="2751" t="s">
        <v>2048</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9" t="s">
        <v>2450</v>
      </c>
      <c r="S653" s="2749" t="s">
        <v>1920</v>
      </c>
      <c r="T653" s="2751" t="s">
        <v>2048</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9" t="s">
        <v>2451</v>
      </c>
      <c r="S654" s="2749" t="s">
        <v>636</v>
      </c>
      <c r="T654" s="2751" t="s">
        <v>2048</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9" t="s">
        <v>2452</v>
      </c>
      <c r="S655" s="2749" t="s">
        <v>598</v>
      </c>
      <c r="T655" s="2751" t="s">
        <v>2048</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9" t="s">
        <v>2453</v>
      </c>
      <c r="S656" s="2749" t="s">
        <v>2078</v>
      </c>
      <c r="T656" s="2751" t="s">
        <v>2048</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9" t="s">
        <v>2454</v>
      </c>
      <c r="S657" s="2749" t="s">
        <v>2414</v>
      </c>
      <c r="T657" s="2751" t="s">
        <v>2048</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9" t="s">
        <v>2143</v>
      </c>
      <c r="S658" s="2749" t="s">
        <v>2411</v>
      </c>
      <c r="T658" s="2751" t="s">
        <v>2048</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9" t="s">
        <v>2455</v>
      </c>
      <c r="S659" s="2749" t="s">
        <v>2078</v>
      </c>
      <c r="T659" s="2751" t="s">
        <v>2048</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9" t="s">
        <v>2456</v>
      </c>
      <c r="S660" s="2749" t="s">
        <v>2375</v>
      </c>
      <c r="T660" s="2751" t="s">
        <v>2048</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50"/>
      <c r="R661" s="2749" t="s">
        <v>2457</v>
      </c>
      <c r="S661" s="2749" t="s">
        <v>1918</v>
      </c>
      <c r="T661" s="2751" t="s">
        <v>2048</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9" t="s">
        <v>1005</v>
      </c>
      <c r="S662" s="2749" t="s">
        <v>1400</v>
      </c>
      <c r="T662" s="2751" t="s">
        <v>2048</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9" t="s">
        <v>870</v>
      </c>
      <c r="S663" s="2749" t="s">
        <v>1063</v>
      </c>
      <c r="T663" s="2751" t="s">
        <v>2048</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9" t="s">
        <v>1006</v>
      </c>
      <c r="S664" s="2749" t="s">
        <v>598</v>
      </c>
      <c r="T664" s="2751" t="s">
        <v>2048</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9" t="s">
        <v>1007</v>
      </c>
      <c r="S665" s="2749" t="s">
        <v>1823</v>
      </c>
      <c r="T665" s="2751" t="s">
        <v>2048</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9" t="s">
        <v>1008</v>
      </c>
      <c r="S666" s="2749" t="s">
        <v>1916</v>
      </c>
      <c r="T666" s="2751" t="s">
        <v>2048</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9" t="s">
        <v>1009</v>
      </c>
      <c r="S667" s="2749" t="s">
        <v>1056</v>
      </c>
      <c r="T667" s="2751" t="s">
        <v>2048</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2"/>
      <c r="R668" s="2749" t="s">
        <v>1010</v>
      </c>
      <c r="S668" s="2749" t="s">
        <v>1459</v>
      </c>
      <c r="T668" s="2751" t="s">
        <v>2048</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9" t="s">
        <v>1011</v>
      </c>
      <c r="S669" s="2749" t="s">
        <v>2372</v>
      </c>
      <c r="T669" s="2751" t="s">
        <v>2048</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9" t="s">
        <v>1012</v>
      </c>
      <c r="S670" s="2749" t="s">
        <v>151</v>
      </c>
      <c r="T670" s="2751" t="s">
        <v>2048</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9" t="s">
        <v>1013</v>
      </c>
      <c r="S671" s="2749" t="s">
        <v>1285</v>
      </c>
      <c r="T671" s="2751" t="s">
        <v>2048</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9" t="s">
        <v>1014</v>
      </c>
      <c r="S672" s="2749" t="s">
        <v>1459</v>
      </c>
      <c r="T672" s="2751" t="s">
        <v>2048</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9" t="s">
        <v>1015</v>
      </c>
      <c r="S673" s="2749" t="s">
        <v>1070</v>
      </c>
      <c r="T673" s="2751" t="s">
        <v>2048</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9" t="s">
        <v>1016</v>
      </c>
      <c r="S674" s="2749" t="s">
        <v>1916</v>
      </c>
      <c r="T674" s="2751" t="s">
        <v>2048</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1" t="s">
        <v>2048</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9" t="s">
        <v>1017</v>
      </c>
      <c r="S676" s="2749" t="s">
        <v>2375</v>
      </c>
      <c r="T676" s="2751" t="s">
        <v>2048</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9" t="s">
        <v>1541</v>
      </c>
      <c r="S677" s="2749" t="s">
        <v>2411</v>
      </c>
      <c r="T677" s="2751" t="s">
        <v>2048</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9" t="s">
        <v>1018</v>
      </c>
      <c r="S678" s="2749"/>
      <c r="T678" s="2751" t="s">
        <v>2048</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9" t="s">
        <v>176</v>
      </c>
      <c r="S679" s="2749" t="s">
        <v>151</v>
      </c>
      <c r="T679" s="2751" t="s">
        <v>2048</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9" t="s">
        <v>1019</v>
      </c>
      <c r="S680" s="2749" t="s">
        <v>167</v>
      </c>
      <c r="T680" s="2751" t="s">
        <v>2048</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9" t="s">
        <v>2183</v>
      </c>
      <c r="S681" s="2749" t="s">
        <v>1160</v>
      </c>
      <c r="T681" s="2751" t="s">
        <v>2048</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9" t="s">
        <v>1020</v>
      </c>
      <c r="S682" s="2749" t="s">
        <v>598</v>
      </c>
      <c r="T682" s="2751" t="s">
        <v>2048</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9" t="s">
        <v>1021</v>
      </c>
      <c r="S683" s="2749" t="s">
        <v>598</v>
      </c>
      <c r="T683" s="2751" t="s">
        <v>2048</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9" t="s">
        <v>1022</v>
      </c>
      <c r="S684" s="2749" t="s">
        <v>598</v>
      </c>
      <c r="T684" s="2751" t="s">
        <v>2048</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9" t="s">
        <v>1023</v>
      </c>
      <c r="S685" s="2749" t="s">
        <v>598</v>
      </c>
      <c r="T685" s="2751" t="s">
        <v>2048</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9" t="s">
        <v>1024</v>
      </c>
      <c r="S686" s="2749" t="s">
        <v>1595</v>
      </c>
      <c r="T686" s="2751" t="s">
        <v>2048</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9" t="s">
        <v>1025</v>
      </c>
      <c r="S687" s="2749" t="s">
        <v>919</v>
      </c>
      <c r="T687" s="2751" t="s">
        <v>2048</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9" t="s">
        <v>1026</v>
      </c>
      <c r="S688" s="2749" t="s">
        <v>115</v>
      </c>
      <c r="T688" s="2751" t="s">
        <v>2048</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9" t="s">
        <v>1027</v>
      </c>
      <c r="S689" s="2749" t="s">
        <v>598</v>
      </c>
      <c r="T689" s="2751" t="s">
        <v>2048</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9" t="s">
        <v>1028</v>
      </c>
      <c r="S690" s="2749" t="s">
        <v>305</v>
      </c>
      <c r="T690" s="2751" t="s">
        <v>2048</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9" t="s">
        <v>1029</v>
      </c>
      <c r="S691" s="2749" t="s">
        <v>309</v>
      </c>
      <c r="T691" s="2751" t="s">
        <v>2048</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9" t="s">
        <v>799</v>
      </c>
      <c r="S692" s="2749" t="s">
        <v>1264</v>
      </c>
      <c r="T692" s="2751" t="s">
        <v>2048</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9" t="s">
        <v>1030</v>
      </c>
      <c r="S693" s="2749" t="s">
        <v>636</v>
      </c>
      <c r="T693" s="2751" t="s">
        <v>2048</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9" t="s">
        <v>1031</v>
      </c>
      <c r="S694" s="2749" t="s">
        <v>1459</v>
      </c>
      <c r="T694" s="2751" t="s">
        <v>2048</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9" t="s">
        <v>1032</v>
      </c>
      <c r="S695" s="2749" t="s">
        <v>598</v>
      </c>
      <c r="T695" s="2751" t="s">
        <v>2048</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9" t="s">
        <v>1033</v>
      </c>
      <c r="S696" s="2749" t="s">
        <v>628</v>
      </c>
      <c r="T696" s="2751" t="s">
        <v>2048</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9" t="s">
        <v>1034</v>
      </c>
      <c r="S697" s="2749" t="s">
        <v>151</v>
      </c>
      <c r="T697" s="2751" t="s">
        <v>2048</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50"/>
      <c r="R698" s="2749" t="s">
        <v>1035</v>
      </c>
      <c r="S698" s="2749" t="s">
        <v>1823</v>
      </c>
      <c r="T698" s="2751" t="s">
        <v>2048</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9" t="s">
        <v>1036</v>
      </c>
      <c r="S699" s="2749" t="s">
        <v>1916</v>
      </c>
      <c r="T699" s="2751" t="s">
        <v>2048</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9" t="s">
        <v>1037</v>
      </c>
      <c r="S700" s="2749" t="s">
        <v>598</v>
      </c>
      <c r="T700" s="2751" t="s">
        <v>2048</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9" t="s">
        <v>1038</v>
      </c>
      <c r="S701" s="2749" t="s">
        <v>1595</v>
      </c>
      <c r="T701" s="2751" t="s">
        <v>2048</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9" t="s">
        <v>1039</v>
      </c>
      <c r="S702" s="2749" t="s">
        <v>2375</v>
      </c>
      <c r="T702" s="2751" t="s">
        <v>2048</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9" t="s">
        <v>1040</v>
      </c>
      <c r="S703" s="2749" t="s">
        <v>151</v>
      </c>
      <c r="T703" s="2751" t="s">
        <v>2048</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9" t="s">
        <v>1041</v>
      </c>
      <c r="S704" s="2749" t="s">
        <v>151</v>
      </c>
      <c r="T704" s="2751" t="s">
        <v>2048</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2"/>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50"/>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50"/>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50"/>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GoG9k/njlAoQ93/Tg5rMeErZ+B4+8mDeGkG+fQi5UIKzyJywtdpVDUvO0Fi17pxy6sOpjW5a41DOpfwuX9wbRg==" saltValue="VGGxI+oRVVPzhXvXhYXwCQ=="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80" t="str">
        <f>CONCATENATE('Sensitivity Analysis'!E8,"  ",'Sensitivity Analysis'!C8)</f>
        <v>2021-015  The Peaks at Turnberry</v>
      </c>
      <c r="B1" s="4480"/>
      <c r="C1" s="4480"/>
      <c r="D1" s="4480"/>
      <c r="E1" s="4480"/>
      <c r="F1" s="4480"/>
      <c r="G1" s="4480"/>
      <c r="H1" s="4480"/>
    </row>
    <row r="3" spans="1:13" ht="12" customHeight="1">
      <c r="A3" s="4481" t="s">
        <v>3226</v>
      </c>
      <c r="B3" s="4481"/>
      <c r="C3" s="4481"/>
      <c r="D3" s="4481"/>
      <c r="E3" s="4481"/>
      <c r="F3" s="4481"/>
      <c r="G3" s="4481"/>
      <c r="H3" s="4481"/>
      <c r="I3" s="1097"/>
      <c r="J3" s="4483" t="s">
        <v>3613</v>
      </c>
      <c r="K3" s="4483"/>
      <c r="L3" s="735"/>
      <c r="M3" s="735"/>
    </row>
    <row r="4" spans="1:13">
      <c r="J4" s="4483"/>
      <c r="K4" s="4483"/>
    </row>
    <row r="5" spans="1:13" ht="12" customHeight="1">
      <c r="A5" s="699">
        <v>1</v>
      </c>
      <c r="C5" s="699" t="s">
        <v>2860</v>
      </c>
      <c r="E5" s="717" t="str">
        <f>'Sensitivity Analysis'!H9</f>
        <v>The Peaks at Turnberry, LP</v>
      </c>
      <c r="J5" s="4483"/>
      <c r="K5" s="4483"/>
    </row>
    <row r="6" spans="1:13" ht="3" customHeight="1">
      <c r="H6" s="701"/>
      <c r="J6" s="4483"/>
      <c r="K6" s="4483"/>
    </row>
    <row r="7" spans="1:13" ht="12" customHeight="1">
      <c r="A7" s="699">
        <v>2</v>
      </c>
      <c r="C7" s="699" t="s">
        <v>2861</v>
      </c>
      <c r="E7" s="717" t="str">
        <f>'Part II-Development Team'!H7</f>
        <v>100 Towncenter Blvd. Suite 300</v>
      </c>
      <c r="J7" s="4483"/>
      <c r="K7" s="4483"/>
    </row>
    <row r="8" spans="1:13" ht="12" customHeight="1">
      <c r="E8" s="717" t="str">
        <f>+'Part II-Development Team'!H8&amp;","&amp;" "&amp;'Part II-Development Team'!H9&amp;" "&amp;LEFT('Part II-Development Team'!J9,5)</f>
        <v>Tuscaloosa, AL 35406</v>
      </c>
      <c r="J8" s="4483"/>
      <c r="K8" s="4483"/>
    </row>
    <row r="9" spans="1:13" ht="12" customHeight="1">
      <c r="C9" s="699" t="s">
        <v>2862</v>
      </c>
      <c r="E9" s="4482" t="str">
        <f>'Part II-Development Team'!L8</f>
        <v>To Be Applied For</v>
      </c>
      <c r="F9" s="4482"/>
      <c r="J9" s="4483"/>
      <c r="K9" s="4483"/>
    </row>
    <row r="10" spans="1:13" ht="12" customHeight="1">
      <c r="C10" s="699" t="s">
        <v>2863</v>
      </c>
      <c r="E10" s="717" t="str">
        <f>'Part II-Development Team'!Q6</f>
        <v>Mark E. English</v>
      </c>
    </row>
    <row r="11" spans="1:13" ht="12" customHeight="1">
      <c r="C11" s="699" t="s">
        <v>3618</v>
      </c>
      <c r="E11" s="717" t="str">
        <f>'Part II-Development Team'!L10</f>
        <v>mark@nahpa.org</v>
      </c>
    </row>
    <row r="12" spans="1:13" ht="12" customHeight="1">
      <c r="C12" s="699" t="s">
        <v>3614</v>
      </c>
      <c r="E12" s="1098">
        <f>'Part II-Development Team'!H10</f>
        <v>2057229331</v>
      </c>
    </row>
    <row r="13" spans="1:13" ht="12" customHeight="1">
      <c r="C13" s="699" t="s">
        <v>3617</v>
      </c>
      <c r="E13" s="1098">
        <f>'Part II-Development Team'!Q8</f>
        <v>2057229331</v>
      </c>
    </row>
    <row r="14" spans="1:13" ht="3" customHeight="1"/>
    <row r="15" spans="1:13" ht="12" customHeight="1">
      <c r="A15" s="699">
        <v>3</v>
      </c>
      <c r="C15" s="699" t="s">
        <v>2864</v>
      </c>
      <c r="E15" s="717" t="str">
        <f>'Sensitivity Analysis'!C8</f>
        <v>The Peaks at Turnberry</v>
      </c>
    </row>
    <row r="16" spans="1:13" ht="12" customHeight="1">
      <c r="C16" s="699" t="s">
        <v>2865</v>
      </c>
      <c r="E16" s="717" t="str">
        <f>'Part I-Project Information'!$F$36</f>
        <v xml:space="preserve">Off of GA-21 </v>
      </c>
    </row>
    <row r="17" spans="1:8" ht="12" customHeight="1">
      <c r="E17" s="717" t="str">
        <f>+'Part I-Project Information'!$F$39&amp;","&amp;" GA "&amp;LEFT('Part I-Project Information'!$J$39,5)</f>
        <v>Rincon, GA 31326</v>
      </c>
    </row>
    <row r="18" spans="1:8" ht="3" customHeight="1"/>
    <row r="19" spans="1:8" ht="12" customHeight="1">
      <c r="A19" s="699">
        <v>4</v>
      </c>
      <c r="C19" s="699" t="s">
        <v>2866</v>
      </c>
      <c r="E19" s="717" t="str">
        <f>'Part II-Development Team'!H93</f>
        <v>Vantage Management, LLC</v>
      </c>
    </row>
    <row r="20" spans="1:8" ht="12" customHeight="1">
      <c r="C20" s="699" t="s">
        <v>2867</v>
      </c>
      <c r="E20" s="717" t="str">
        <f>'Part II-Development Team'!H94</f>
        <v>1544 S. Main Street</v>
      </c>
    </row>
    <row r="21" spans="1:8" ht="12" customHeight="1">
      <c r="E21" s="717" t="str">
        <f>+'Part II-Development Team'!H95&amp;","&amp;" "&amp;'Part II-Development Team'!H96&amp;" "&amp;LEFT('Part II-Development Team'!L96,5)</f>
        <v>Fyffe, AL 35971</v>
      </c>
    </row>
    <row r="22" spans="1:8" ht="12" customHeight="1">
      <c r="C22" s="699" t="s">
        <v>3614</v>
      </c>
      <c r="E22" s="1098">
        <f>'Part II-Development Team'!H97</f>
        <v>2564174920</v>
      </c>
    </row>
    <row r="23" spans="1:8" ht="12" customHeight="1">
      <c r="C23" s="699" t="s">
        <v>3617</v>
      </c>
      <c r="E23" s="1098">
        <f>'Part II-Development Team'!Q95</f>
        <v>2569976659</v>
      </c>
    </row>
    <row r="24" spans="1:8" ht="12" customHeight="1">
      <c r="C24" s="699" t="s">
        <v>3618</v>
      </c>
      <c r="E24" s="1098" t="str">
        <f>'Part II-Development Team'!L97</f>
        <v>lbarron@thevantagegroup.biz</v>
      </c>
    </row>
    <row r="25" spans="1:8" ht="3" customHeight="1">
      <c r="E25" s="717"/>
    </row>
    <row r="26" spans="1:8" ht="12" customHeight="1">
      <c r="A26" s="699">
        <v>5</v>
      </c>
      <c r="C26" s="699" t="s">
        <v>2868</v>
      </c>
      <c r="E26" s="717" t="str">
        <f>'Sensitivity Analysis'!$H$7</f>
        <v>New Construction</v>
      </c>
    </row>
    <row r="27" spans="1:8" ht="12" customHeight="1">
      <c r="E27" s="1633" t="str">
        <f>'Part I-Project Information'!F12</f>
        <v>9% Credit Competitive Round only</v>
      </c>
    </row>
    <row r="28" spans="1:8" ht="12" customHeight="1">
      <c r="C28" s="699" t="s">
        <v>3225</v>
      </c>
      <c r="E28" s="699" t="str">
        <f>'Sensitivity Analysis'!$C$9</f>
        <v>&lt;&lt;Select&gt;&gt;</v>
      </c>
    </row>
    <row r="29" spans="1:8" ht="3" customHeight="1">
      <c r="H29" s="739"/>
    </row>
    <row r="30" spans="1:8" ht="12" customHeight="1">
      <c r="A30" s="699">
        <v>6</v>
      </c>
      <c r="C30" s="699" t="s">
        <v>2869</v>
      </c>
      <c r="E30" s="699" t="s">
        <v>2300</v>
      </c>
      <c r="F30" s="1099">
        <f>'Part III-Sources of Funds'!L22</f>
        <v>8687101</v>
      </c>
      <c r="G30" s="699" t="s">
        <v>2870</v>
      </c>
    </row>
    <row r="31" spans="1:8" ht="12" customHeight="1">
      <c r="F31" s="1099" t="s">
        <v>2871</v>
      </c>
      <c r="G31" s="699" t="s">
        <v>2872</v>
      </c>
    </row>
    <row r="32" spans="1:8" ht="3" customHeight="1">
      <c r="F32" s="708"/>
    </row>
    <row r="33" spans="1:7" ht="12" customHeight="1">
      <c r="A33" s="699">
        <v>7</v>
      </c>
      <c r="C33" s="699" t="s">
        <v>2873</v>
      </c>
      <c r="F33" s="1100">
        <v>0</v>
      </c>
    </row>
    <row r="34" spans="1:7" ht="3" customHeight="1">
      <c r="F34" s="708"/>
    </row>
    <row r="35" spans="1:7" ht="12" customHeight="1">
      <c r="A35" s="699">
        <v>8</v>
      </c>
      <c r="C35" s="699" t="s">
        <v>2874</v>
      </c>
      <c r="E35" s="699" t="s">
        <v>2300</v>
      </c>
      <c r="F35" s="1101">
        <v>0.01</v>
      </c>
    </row>
    <row r="36" spans="1:7" ht="3" customHeight="1">
      <c r="F36" s="1100"/>
    </row>
    <row r="37" spans="1:7" ht="12" customHeight="1">
      <c r="A37" s="699">
        <v>9</v>
      </c>
      <c r="C37" s="699" t="s">
        <v>2875</v>
      </c>
      <c r="F37" s="1102">
        <v>24</v>
      </c>
      <c r="G37" s="699" t="s">
        <v>2876</v>
      </c>
    </row>
    <row r="38" spans="1:7" ht="3" customHeight="1">
      <c r="F38" s="1100"/>
    </row>
    <row r="39" spans="1:7" ht="12" customHeight="1">
      <c r="A39" s="699">
        <v>10</v>
      </c>
      <c r="C39" s="699" t="s">
        <v>2877</v>
      </c>
      <c r="E39" s="699" t="s">
        <v>2300</v>
      </c>
      <c r="F39" s="708">
        <f>'Part III-Sources of Funds'!L40*12</f>
        <v>120</v>
      </c>
      <c r="G39" s="699" t="s">
        <v>2876</v>
      </c>
    </row>
    <row r="40" spans="1:7" ht="3" customHeight="1">
      <c r="F40" s="708"/>
    </row>
    <row r="41" spans="1:7" ht="12" customHeight="1">
      <c r="A41" s="699">
        <v>11</v>
      </c>
      <c r="C41" s="699" t="s">
        <v>2878</v>
      </c>
      <c r="F41" s="1103">
        <v>24</v>
      </c>
      <c r="G41" s="699" t="s">
        <v>2876</v>
      </c>
    </row>
    <row r="42" spans="1:7" ht="3" customHeight="1"/>
    <row r="43" spans="1:7" ht="12" customHeight="1">
      <c r="A43" s="699">
        <v>12</v>
      </c>
      <c r="C43" s="699" t="s">
        <v>2879</v>
      </c>
      <c r="F43" s="1104" t="s">
        <v>2880</v>
      </c>
    </row>
    <row r="44" spans="1:7" ht="3" customHeight="1"/>
    <row r="45" spans="1:7" ht="12" customHeight="1">
      <c r="A45" s="699">
        <v>13</v>
      </c>
      <c r="C45" s="699" t="s">
        <v>2881</v>
      </c>
      <c r="E45" s="699" t="s">
        <v>2300</v>
      </c>
      <c r="F45" s="717" t="s">
        <v>2882</v>
      </c>
    </row>
    <row r="46" spans="1:7" ht="3" customHeight="1">
      <c r="F46" s="701"/>
    </row>
    <row r="47" spans="1:7" ht="12" customHeight="1">
      <c r="A47" s="699">
        <v>14</v>
      </c>
      <c r="C47" s="699" t="s">
        <v>2883</v>
      </c>
      <c r="E47" s="717" t="str">
        <f>'Part II-Development Team'!H15</f>
        <v>NAHPA 2021 GA, Inc.</v>
      </c>
    </row>
    <row r="48" spans="1:7" ht="3" customHeight="1">
      <c r="E48" s="717"/>
    </row>
    <row r="49" spans="1:7" ht="12" customHeight="1">
      <c r="A49" s="699">
        <v>15</v>
      </c>
      <c r="C49" s="699" t="s">
        <v>3620</v>
      </c>
      <c r="E49" s="717" t="str">
        <f>'Part II-Development Team'!Q99</f>
        <v>Lee Johnsey</v>
      </c>
      <c r="G49" s="717" t="str">
        <f>'Part II-Development Team'!H99</f>
        <v>Balch &amp; Bingham, LLP</v>
      </c>
    </row>
    <row r="50" spans="1:7" ht="12" customHeight="1">
      <c r="C50" s="699" t="s">
        <v>2884</v>
      </c>
      <c r="E50" s="717">
        <f>'Part II-Development Team'!O103</f>
        <v>0</v>
      </c>
      <c r="F50" s="708"/>
    </row>
    <row r="51" spans="1:7" ht="3" customHeight="1">
      <c r="F51" s="708"/>
    </row>
    <row r="52" spans="1:7" ht="12" customHeight="1">
      <c r="A52" s="699">
        <v>16</v>
      </c>
      <c r="C52" s="699" t="s">
        <v>2885</v>
      </c>
      <c r="F52" s="1103">
        <f>'Sensitivity Analysis'!C13</f>
        <v>48</v>
      </c>
    </row>
    <row r="53" spans="1:7" ht="3" customHeight="1">
      <c r="F53" s="708"/>
    </row>
    <row r="54" spans="1:7" ht="12" customHeight="1">
      <c r="A54" s="735">
        <v>17</v>
      </c>
      <c r="B54" s="735"/>
      <c r="C54" s="735" t="s">
        <v>2886</v>
      </c>
      <c r="D54" s="735"/>
      <c r="E54" s="735"/>
      <c r="F54" s="1105" t="e">
        <f>ProrationMethodCostAllocatnDCA!$H$52</f>
        <v>#VALUE!</v>
      </c>
      <c r="G54" s="735"/>
    </row>
    <row r="55" spans="1:7" ht="3" customHeight="1">
      <c r="F55" s="708"/>
    </row>
    <row r="56" spans="1:7" ht="12" customHeight="1">
      <c r="A56" s="699">
        <v>18</v>
      </c>
      <c r="C56" s="699" t="s">
        <v>2887</v>
      </c>
      <c r="F56" s="1105">
        <f>'Part VI-Revenues &amp; Expenses'!P66</f>
        <v>0</v>
      </c>
      <c r="G56" s="699" t="s">
        <v>3619</v>
      </c>
    </row>
    <row r="57" spans="1:7" ht="3" customHeight="1">
      <c r="F57" s="708"/>
    </row>
    <row r="58" spans="1:7" ht="12" customHeight="1">
      <c r="A58" s="699">
        <v>19</v>
      </c>
      <c r="C58" s="699" t="s">
        <v>2888</v>
      </c>
      <c r="F58" s="1634">
        <f>'Part VIII-Threshold Criteria'!$P$83</f>
        <v>2</v>
      </c>
      <c r="G58" s="699" t="s">
        <v>3227</v>
      </c>
    </row>
    <row r="59" spans="1:7" ht="3" customHeight="1">
      <c r="F59" s="708"/>
    </row>
    <row r="60" spans="1:7" ht="12" customHeight="1">
      <c r="A60" s="699">
        <v>20</v>
      </c>
      <c r="C60" s="699" t="s">
        <v>2889</v>
      </c>
      <c r="F60" s="1106">
        <f>'Subsidy Layering Memo'!$L$70</f>
        <v>-3.6758606785352807E-8</v>
      </c>
      <c r="G60" s="735"/>
    </row>
    <row r="61" spans="1:7" ht="3" customHeight="1"/>
    <row r="62" spans="1:7" ht="12" customHeight="1">
      <c r="A62" s="699">
        <v>21</v>
      </c>
      <c r="C62" s="699" t="s">
        <v>3242</v>
      </c>
      <c r="E62" s="1107" t="s">
        <v>3228</v>
      </c>
      <c r="F62" s="1108" t="s">
        <v>3229</v>
      </c>
      <c r="G62" s="1107" t="s">
        <v>2890</v>
      </c>
    </row>
    <row r="63" spans="1:7" ht="12" customHeight="1">
      <c r="E63" s="1107" t="s">
        <v>3228</v>
      </c>
      <c r="F63" s="1108" t="s">
        <v>3229</v>
      </c>
      <c r="G63" s="1107" t="s">
        <v>6415</v>
      </c>
    </row>
    <row r="64" spans="1:7" ht="12" customHeight="1">
      <c r="E64" s="1107" t="s">
        <v>3228</v>
      </c>
      <c r="F64" s="1108" t="s">
        <v>3229</v>
      </c>
      <c r="G64" s="1107" t="s">
        <v>6416</v>
      </c>
    </row>
    <row r="65" spans="1:7" ht="12" customHeight="1">
      <c r="E65" s="1107" t="s">
        <v>3228</v>
      </c>
      <c r="F65" s="1108" t="s">
        <v>3229</v>
      </c>
      <c r="G65" s="1107" t="s">
        <v>6417</v>
      </c>
    </row>
    <row r="66" spans="1:7" ht="3" customHeight="1"/>
    <row r="67" spans="1:7" ht="12" customHeight="1">
      <c r="A67" s="699">
        <v>22</v>
      </c>
      <c r="C67" s="699" t="s">
        <v>2891</v>
      </c>
      <c r="E67" s="717" t="str">
        <f>'Sensitivity Analysis'!H9</f>
        <v>The Peaks at Turnberry, LP</v>
      </c>
    </row>
    <row r="68" spans="1:7" ht="3" customHeight="1"/>
    <row r="69" spans="1:7" ht="12" customHeight="1">
      <c r="A69" s="699">
        <v>23</v>
      </c>
      <c r="C69" s="699" t="s">
        <v>2892</v>
      </c>
      <c r="F69" s="708" t="s">
        <v>2893</v>
      </c>
    </row>
    <row r="70" spans="1:7" ht="3" customHeight="1"/>
    <row r="71" spans="1:7" ht="12" customHeight="1">
      <c r="A71" s="699">
        <v>24</v>
      </c>
      <c r="C71" s="699" t="s">
        <v>2894</v>
      </c>
      <c r="E71" s="699" t="s">
        <v>2300</v>
      </c>
      <c r="F71" s="708">
        <v>20</v>
      </c>
      <c r="G71" s="699" t="s">
        <v>2358</v>
      </c>
    </row>
    <row r="72" spans="1:7" ht="3" customHeight="1"/>
    <row r="73" spans="1:7" ht="12" customHeight="1">
      <c r="A73" s="699">
        <v>25</v>
      </c>
      <c r="C73" s="699" t="s">
        <v>2895</v>
      </c>
      <c r="F73" s="1109">
        <f>'Part IV-A-Uses of Funds'!$G$131</f>
        <v>146824</v>
      </c>
    </row>
    <row r="74" spans="1:7" ht="3" customHeight="1">
      <c r="F74" s="1109"/>
    </row>
    <row r="75" spans="1:7" ht="12" customHeight="1">
      <c r="A75" s="699">
        <v>26</v>
      </c>
      <c r="C75" s="699" t="s">
        <v>2896</v>
      </c>
      <c r="F75" s="1109">
        <f>'Part IV-A-Uses of Funds'!$G$132</f>
        <v>0</v>
      </c>
    </row>
    <row r="76" spans="1:7" ht="3" customHeight="1">
      <c r="F76" s="1109"/>
    </row>
    <row r="77" spans="1:7" ht="12" customHeight="1">
      <c r="A77" s="699">
        <v>27</v>
      </c>
      <c r="C77" s="699" t="s">
        <v>2897</v>
      </c>
      <c r="F77" s="1110">
        <f>'Part IV-A-Uses of Funds'!$G$130</f>
        <v>47731</v>
      </c>
    </row>
    <row r="78" spans="1:7" ht="3" customHeight="1">
      <c r="F78" s="1109"/>
    </row>
    <row r="79" spans="1:7" ht="12" customHeight="1">
      <c r="A79" s="699">
        <v>28</v>
      </c>
      <c r="C79" s="699" t="s">
        <v>2898</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87" t="s">
        <v>3081</v>
      </c>
      <c r="B1" s="4487"/>
      <c r="C1" s="4487"/>
      <c r="D1" s="4487"/>
      <c r="E1" s="4487"/>
      <c r="F1" s="4487"/>
      <c r="G1" s="4487"/>
      <c r="H1" s="4487"/>
      <c r="I1" s="4487"/>
      <c r="J1" s="4487"/>
    </row>
    <row r="2" spans="1:13" ht="15">
      <c r="A2" s="4487" t="str">
        <f>'Sensitivity Analysis'!E8&amp;"  "&amp;'Sensitivity Analysis'!C8</f>
        <v>2021-015  The Peaks at Turnberry</v>
      </c>
      <c r="B2" s="4487"/>
      <c r="C2" s="4487"/>
      <c r="D2" s="4487"/>
      <c r="E2" s="4487"/>
      <c r="F2" s="4487"/>
      <c r="G2" s="4487"/>
      <c r="H2" s="4487"/>
      <c r="I2" s="4487"/>
      <c r="J2" s="4487"/>
    </row>
    <row r="3" spans="1:13" ht="6" customHeight="1">
      <c r="K3" s="4483" t="s">
        <v>3613</v>
      </c>
      <c r="L3" s="4483"/>
      <c r="M3" s="4483"/>
    </row>
    <row r="4" spans="1:13" ht="12" customHeight="1">
      <c r="A4" s="704" t="s">
        <v>2899</v>
      </c>
      <c r="K4" s="4483"/>
      <c r="L4" s="4483"/>
      <c r="M4" s="4483"/>
    </row>
    <row r="5" spans="1:13" ht="12" customHeight="1">
      <c r="A5" s="699" t="s">
        <v>2900</v>
      </c>
      <c r="C5" s="705" t="str">
        <f>'Subsidy Layering Memo'!D6</f>
        <v>(Underwriter)</v>
      </c>
      <c r="I5" s="705"/>
      <c r="K5" s="4483"/>
      <c r="L5" s="4483"/>
      <c r="M5" s="4483"/>
    </row>
    <row r="6" spans="1:13" ht="6" customHeight="1">
      <c r="C6" s="636"/>
      <c r="D6" s="705"/>
      <c r="I6" s="705"/>
      <c r="K6" s="4483"/>
      <c r="L6" s="4483"/>
      <c r="M6" s="4483"/>
    </row>
    <row r="7" spans="1:13" ht="12" customHeight="1">
      <c r="A7" s="704" t="s">
        <v>2901</v>
      </c>
      <c r="C7" s="636"/>
      <c r="D7" s="705"/>
      <c r="I7" s="705"/>
      <c r="K7" s="4483"/>
      <c r="L7" s="4483"/>
      <c r="M7" s="4483"/>
    </row>
    <row r="8" spans="1:13" ht="12" customHeight="1">
      <c r="A8" s="699" t="s">
        <v>2902</v>
      </c>
      <c r="C8" s="705" t="str">
        <f>'Sensitivity Analysis'!$H$9</f>
        <v>The Peaks at Turnberry, LP</v>
      </c>
      <c r="I8" s="705"/>
      <c r="K8" s="4483"/>
      <c r="L8" s="4483"/>
      <c r="M8" s="4483"/>
    </row>
    <row r="9" spans="1:13" ht="3" customHeight="1">
      <c r="C9" s="636"/>
      <c r="D9" s="705"/>
      <c r="I9" s="705"/>
    </row>
    <row r="10" spans="1:13" ht="12" customHeight="1">
      <c r="A10" s="699" t="s">
        <v>2903</v>
      </c>
      <c r="C10" s="1055" t="s">
        <v>1691</v>
      </c>
      <c r="I10" s="705"/>
    </row>
    <row r="11" spans="1:13" ht="12" customHeight="1">
      <c r="C11" s="1055" t="s">
        <v>1691</v>
      </c>
      <c r="I11" s="705"/>
    </row>
    <row r="12" spans="1:13" ht="12" customHeight="1">
      <c r="C12" s="705" t="s">
        <v>2534</v>
      </c>
      <c r="D12" s="725" t="s">
        <v>1691</v>
      </c>
      <c r="I12" s="705"/>
    </row>
    <row r="13" spans="1:13" ht="12" customHeight="1">
      <c r="C13" s="705" t="s">
        <v>2904</v>
      </c>
      <c r="D13" s="4486"/>
      <c r="E13" s="4486"/>
      <c r="F13" s="4486"/>
      <c r="G13" s="4486"/>
      <c r="H13" s="4486"/>
      <c r="I13" s="4486"/>
      <c r="J13" s="4486"/>
    </row>
    <row r="14" spans="1:13" ht="3" customHeight="1">
      <c r="G14" s="636"/>
      <c r="H14" s="705"/>
      <c r="I14" s="705"/>
    </row>
    <row r="15" spans="1:13" ht="12" customHeight="1">
      <c r="A15" s="699" t="s">
        <v>2905</v>
      </c>
      <c r="C15" s="707" t="str">
        <f>'Preview term'!E10</f>
        <v>Mark E. English</v>
      </c>
      <c r="G15" s="636"/>
      <c r="I15" s="705"/>
    </row>
    <row r="16" spans="1:13" ht="12" customHeight="1">
      <c r="A16" s="717" t="s">
        <v>3817</v>
      </c>
      <c r="C16" s="707" t="str">
        <f>'Part II-Development Team'!Q7</f>
        <v>President of GP</v>
      </c>
      <c r="G16" s="636"/>
      <c r="I16" s="705"/>
    </row>
    <row r="17" spans="1:9" ht="3" customHeight="1">
      <c r="G17" s="636"/>
      <c r="H17" s="705"/>
      <c r="I17" s="705"/>
    </row>
    <row r="18" spans="1:9" ht="12" customHeight="1">
      <c r="A18" s="699" t="s">
        <v>2906</v>
      </c>
      <c r="C18" s="707" t="str">
        <f>'Preview term'!$E$7</f>
        <v>100 Towncenter Blvd. Suite 300</v>
      </c>
      <c r="G18" s="636"/>
      <c r="I18" s="705"/>
    </row>
    <row r="19" spans="1:9" ht="12" customHeight="1">
      <c r="C19" s="707" t="str">
        <f>'Preview term'!$E$8</f>
        <v>Tuscaloosa, AL 35406</v>
      </c>
      <c r="G19" s="636"/>
      <c r="I19" s="705"/>
    </row>
    <row r="20" spans="1:9" ht="3" customHeight="1">
      <c r="G20" s="636"/>
      <c r="H20" s="705"/>
      <c r="I20" s="705"/>
    </row>
    <row r="21" spans="1:9" ht="12" customHeight="1">
      <c r="A21" s="699" t="s">
        <v>2907</v>
      </c>
      <c r="C21" s="707" t="str">
        <f>CONCATENATE('Preview term'!E49," of  ",'Preview term'!G49)</f>
        <v>Lee Johnsey of  Balch &amp; Bingham, LLP</v>
      </c>
      <c r="G21" s="636"/>
      <c r="I21" s="705"/>
    </row>
    <row r="22" spans="1:9" ht="3" customHeight="1">
      <c r="C22" s="707"/>
      <c r="G22" s="636"/>
      <c r="I22" s="705"/>
    </row>
    <row r="23" spans="1:9" ht="12" customHeight="1">
      <c r="A23" s="699" t="s">
        <v>2908</v>
      </c>
      <c r="C23" s="707">
        <f>'Preview term'!E12</f>
        <v>2057229331</v>
      </c>
      <c r="G23" s="636"/>
      <c r="I23" s="705"/>
    </row>
    <row r="24" spans="1:9" ht="3" customHeight="1">
      <c r="C24" s="707"/>
      <c r="G24" s="636"/>
      <c r="I24" s="705"/>
    </row>
    <row r="25" spans="1:9" ht="12" customHeight="1">
      <c r="A25" s="699" t="s">
        <v>2909</v>
      </c>
      <c r="C25" s="1057" t="str">
        <f>'Preview term'!E11</f>
        <v>mark@nahpa.org</v>
      </c>
      <c r="G25" s="636"/>
    </row>
    <row r="26" spans="1:9" ht="6" customHeight="1">
      <c r="G26" s="636"/>
      <c r="H26" s="705"/>
      <c r="I26" s="705"/>
    </row>
    <row r="27" spans="1:9" ht="12" customHeight="1">
      <c r="A27" s="704" t="s">
        <v>2910</v>
      </c>
      <c r="G27" s="636"/>
      <c r="H27" s="705"/>
      <c r="I27" s="705"/>
    </row>
    <row r="28" spans="1:9" ht="12" customHeight="1">
      <c r="A28" s="699" t="s">
        <v>2911</v>
      </c>
      <c r="C28" s="707" t="str">
        <f>'Sensitivity Analysis'!$C$8</f>
        <v>The Peaks at Turnberry</v>
      </c>
      <c r="I28" s="705"/>
    </row>
    <row r="29" spans="1:9" ht="3" customHeight="1">
      <c r="C29" s="707"/>
      <c r="I29" s="705"/>
    </row>
    <row r="30" spans="1:9" ht="12" customHeight="1">
      <c r="A30" s="699" t="s">
        <v>2912</v>
      </c>
      <c r="C30" s="707" t="str">
        <f>'Preview term'!E16</f>
        <v xml:space="preserve">Off of GA-21 </v>
      </c>
      <c r="I30" s="705"/>
    </row>
    <row r="31" spans="1:9">
      <c r="C31" s="705" t="str">
        <f>'Preview term'!E17</f>
        <v>Rincon, GA 31326</v>
      </c>
      <c r="I31" s="705"/>
    </row>
    <row r="32" spans="1:9" ht="3" customHeight="1">
      <c r="C32" s="636"/>
      <c r="D32" s="636"/>
      <c r="I32" s="636"/>
    </row>
    <row r="33" spans="1:10" ht="12" customHeight="1">
      <c r="A33" s="699" t="s">
        <v>2913</v>
      </c>
      <c r="C33" s="636" t="s">
        <v>2914</v>
      </c>
      <c r="D33" s="1056" t="e">
        <f>'Preview term'!F54</f>
        <v>#VALUE!</v>
      </c>
      <c r="I33" s="636"/>
    </row>
    <row r="34" spans="1:10" ht="12" customHeight="1">
      <c r="C34" s="636" t="s">
        <v>2915</v>
      </c>
      <c r="D34" s="709" t="e">
        <f>#REF!-#REF!</f>
        <v>#REF!</v>
      </c>
      <c r="I34" s="636"/>
    </row>
    <row r="35" spans="1:10" ht="12" customHeight="1">
      <c r="C35" s="636" t="s">
        <v>2916</v>
      </c>
      <c r="D35" s="710" t="e">
        <f>SUM(D33:D34)</f>
        <v>#VALUE!</v>
      </c>
      <c r="I35" s="636"/>
    </row>
    <row r="36" spans="1:10" ht="3" customHeight="1">
      <c r="C36" s="636"/>
      <c r="D36" s="636"/>
      <c r="I36" s="636"/>
    </row>
    <row r="37" spans="1:10" ht="12" customHeight="1">
      <c r="A37" s="699" t="s">
        <v>2917</v>
      </c>
      <c r="C37" s="1107" t="s">
        <v>1691</v>
      </c>
      <c r="D37" s="1054">
        <f>'Preview term'!F56</f>
        <v>0</v>
      </c>
      <c r="E37" s="636" t="s">
        <v>2918</v>
      </c>
      <c r="I37" s="636"/>
    </row>
    <row r="38" spans="1:10" ht="3" customHeight="1">
      <c r="G38" s="711"/>
      <c r="H38" s="636"/>
      <c r="I38" s="636"/>
    </row>
    <row r="39" spans="1:10" ht="25.5" customHeight="1">
      <c r="A39" s="712" t="s">
        <v>6418</v>
      </c>
      <c r="C39" s="4488" t="str">
        <f>_xlfn.CONCAT('Part VIII-Threshold Criteria'!K224," and ",'Part VIII-Threshold Criteria'!K225)</f>
        <v>Building and Gazebo</v>
      </c>
      <c r="D39" s="4488"/>
      <c r="E39" s="4488"/>
      <c r="F39" s="4488"/>
      <c r="G39" s="4488"/>
      <c r="H39" s="4488"/>
      <c r="I39" s="4488"/>
      <c r="J39" s="4488"/>
    </row>
    <row r="40" spans="1:10" ht="25.5" customHeight="1">
      <c r="A40" s="712" t="s">
        <v>6419</v>
      </c>
      <c r="C40" s="4488"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Furnished Exercise /Fitness Center, (Select an amenity from options provided here), (Select an amenity from options provided here),   , ,   , and  </v>
      </c>
      <c r="D40" s="4488"/>
      <c r="E40" s="4488"/>
      <c r="F40" s="4488"/>
      <c r="G40" s="4488"/>
      <c r="H40" s="4488"/>
      <c r="I40" s="4488"/>
      <c r="J40" s="4488"/>
    </row>
    <row r="41" spans="1:10" ht="3" customHeight="1">
      <c r="G41" s="636"/>
      <c r="H41" s="636"/>
      <c r="I41" s="636"/>
    </row>
    <row r="42" spans="1:10" ht="25.5" customHeight="1">
      <c r="A42" s="712" t="s">
        <v>2919</v>
      </c>
      <c r="C42" s="4489" t="s">
        <v>3230</v>
      </c>
      <c r="D42" s="4489"/>
      <c r="E42" s="4489"/>
      <c r="F42" s="4489"/>
      <c r="G42" s="4489"/>
      <c r="H42" s="4489"/>
      <c r="I42" s="4489"/>
      <c r="J42" s="4489"/>
    </row>
    <row r="43" spans="1:10" ht="3" customHeight="1">
      <c r="C43" s="510"/>
      <c r="D43" s="510"/>
      <c r="E43" s="510"/>
      <c r="F43" s="510"/>
      <c r="G43" s="510"/>
      <c r="H43" s="511"/>
      <c r="I43" s="512"/>
      <c r="J43" s="511"/>
    </row>
    <row r="44" spans="1:10" ht="12" customHeight="1">
      <c r="A44" s="699" t="s">
        <v>2920</v>
      </c>
      <c r="C44" s="574" t="str">
        <f>'Part I-Project Information'!J40</f>
        <v>Effingham</v>
      </c>
      <c r="D44" s="510"/>
      <c r="F44" s="511"/>
      <c r="I44" s="512"/>
      <c r="J44" s="511"/>
    </row>
    <row r="45" spans="1:10" ht="3" customHeight="1">
      <c r="C45" s="510"/>
      <c r="D45" s="510"/>
      <c r="E45" s="510"/>
      <c r="F45" s="511"/>
      <c r="I45" s="512"/>
      <c r="J45" s="511"/>
    </row>
    <row r="46" spans="1:10" ht="12" customHeight="1">
      <c r="A46" s="699" t="s">
        <v>2921</v>
      </c>
      <c r="C46" s="725" t="s">
        <v>1691</v>
      </c>
      <c r="I46" s="512"/>
      <c r="J46" s="511"/>
    </row>
    <row r="47" spans="1:10" ht="3" customHeight="1">
      <c r="C47" s="636"/>
      <c r="D47" s="713"/>
      <c r="I47" s="636"/>
    </row>
    <row r="48" spans="1:10" ht="12" customHeight="1">
      <c r="A48" s="699" t="s">
        <v>2922</v>
      </c>
      <c r="C48" s="1635">
        <f>'Preview term'!F58</f>
        <v>2</v>
      </c>
      <c r="I48" s="714"/>
      <c r="J48" s="714"/>
    </row>
    <row r="49" spans="1:10" ht="3" customHeight="1">
      <c r="D49" s="714"/>
      <c r="E49" s="714"/>
      <c r="F49" s="714"/>
      <c r="G49" s="715"/>
      <c r="H49" s="636"/>
      <c r="I49" s="714"/>
      <c r="J49" s="714"/>
    </row>
    <row r="50" spans="1:10" ht="12" customHeight="1">
      <c r="A50" s="636"/>
      <c r="B50" s="699" t="s">
        <v>2923</v>
      </c>
      <c r="C50" s="4489" t="s">
        <v>546</v>
      </c>
      <c r="D50" s="4489"/>
      <c r="E50" s="4489"/>
      <c r="F50" s="4489"/>
      <c r="G50" s="4489"/>
      <c r="H50" s="4489"/>
      <c r="I50" s="4489"/>
      <c r="J50" s="4489"/>
    </row>
    <row r="51" spans="1:10" ht="12" customHeight="1">
      <c r="C51" s="4492" t="s">
        <v>1724</v>
      </c>
      <c r="D51" s="4492"/>
      <c r="E51" s="4492"/>
      <c r="F51" s="4492"/>
      <c r="G51" s="4492"/>
      <c r="H51" s="4492"/>
      <c r="I51" s="4492"/>
      <c r="J51" s="4492"/>
    </row>
    <row r="52" spans="1:10" ht="3" customHeight="1">
      <c r="D52" s="714"/>
      <c r="E52" s="714"/>
      <c r="F52" s="714"/>
      <c r="G52" s="715"/>
      <c r="H52" s="636"/>
      <c r="I52" s="714"/>
      <c r="J52" s="714"/>
    </row>
    <row r="53" spans="1:10" ht="12" customHeight="1">
      <c r="A53" s="712" t="s">
        <v>2924</v>
      </c>
      <c r="B53" s="712"/>
      <c r="C53" s="716" t="s">
        <v>2925</v>
      </c>
      <c r="D53" s="716" t="s">
        <v>3231</v>
      </c>
      <c r="E53" s="4493"/>
      <c r="F53" s="4493"/>
      <c r="G53" s="4493"/>
      <c r="H53" s="4493"/>
      <c r="I53" s="4493"/>
      <c r="J53" s="4493"/>
    </row>
    <row r="54" spans="1:10" ht="12" customHeight="1">
      <c r="A54" s="712"/>
      <c r="B54" s="712"/>
      <c r="C54" s="712"/>
      <c r="D54" s="716" t="s">
        <v>3232</v>
      </c>
      <c r="E54" s="4494"/>
      <c r="F54" s="4494"/>
      <c r="G54" s="4494"/>
      <c r="H54" s="4494"/>
      <c r="I54" s="4494"/>
      <c r="J54" s="4494"/>
    </row>
    <row r="55" spans="1:10" ht="12" customHeight="1">
      <c r="A55" s="704" t="s">
        <v>2926</v>
      </c>
      <c r="G55" s="636"/>
      <c r="H55" s="636"/>
      <c r="I55" s="636"/>
    </row>
    <row r="56" spans="1:10" ht="18" customHeight="1">
      <c r="A56" s="699" t="s">
        <v>2927</v>
      </c>
      <c r="C56" s="706" t="str">
        <f>'Sensitivity Analysis'!C10</f>
        <v>NAHPA 2021 GA, Inc.</v>
      </c>
      <c r="G56" s="636"/>
      <c r="I56" s="636"/>
    </row>
    <row r="57" spans="1:10" ht="3" customHeight="1">
      <c r="C57" s="706"/>
      <c r="G57" s="636"/>
      <c r="I57" s="636"/>
    </row>
    <row r="58" spans="1:10" ht="12" customHeight="1">
      <c r="A58" s="699" t="s">
        <v>2928</v>
      </c>
      <c r="C58" s="706" t="str">
        <f>'Sensitivity Analysis'!C11</f>
        <v/>
      </c>
      <c r="E58" s="706" t="str">
        <f>'Sensitivity Analysis'!E11</f>
        <v/>
      </c>
      <c r="G58" s="636"/>
      <c r="I58" s="636"/>
    </row>
    <row r="59" spans="1:10" ht="3" customHeight="1">
      <c r="C59" s="706"/>
      <c r="G59" s="636"/>
      <c r="I59" s="636"/>
    </row>
    <row r="60" spans="1:10" ht="12" customHeight="1">
      <c r="A60" s="699" t="s">
        <v>2929</v>
      </c>
      <c r="C60" s="706" t="s">
        <v>2626</v>
      </c>
      <c r="G60" s="636"/>
      <c r="I60" s="636"/>
    </row>
    <row r="61" spans="1:10" ht="6" customHeight="1">
      <c r="G61" s="636"/>
      <c r="H61" s="636"/>
      <c r="I61" s="636"/>
    </row>
    <row r="62" spans="1:10" ht="12" customHeight="1">
      <c r="A62" s="704" t="s">
        <v>2930</v>
      </c>
      <c r="G62" s="636"/>
      <c r="H62" s="636"/>
      <c r="I62" s="636"/>
    </row>
    <row r="63" spans="1:10" ht="12" customHeight="1">
      <c r="A63" s="699" t="s">
        <v>2931</v>
      </c>
      <c r="C63" s="699" t="s">
        <v>2932</v>
      </c>
      <c r="D63" s="1058">
        <f>'Preview term'!F30</f>
        <v>8687101</v>
      </c>
      <c r="G63" s="636"/>
      <c r="I63" s="636"/>
    </row>
    <row r="64" spans="1:10" ht="3" customHeight="1">
      <c r="D64" s="717"/>
      <c r="G64" s="636"/>
      <c r="H64" s="718"/>
      <c r="I64" s="636"/>
    </row>
    <row r="65" spans="1:10" ht="12" customHeight="1">
      <c r="A65" s="699" t="s">
        <v>2933</v>
      </c>
      <c r="C65" s="699" t="s">
        <v>2935</v>
      </c>
      <c r="D65" s="706" t="s">
        <v>931</v>
      </c>
      <c r="G65" s="636"/>
      <c r="I65" s="636"/>
    </row>
    <row r="66" spans="1:10" ht="3" customHeight="1">
      <c r="D66" s="717"/>
      <c r="G66" s="636"/>
      <c r="H66" s="636"/>
      <c r="I66" s="636"/>
    </row>
    <row r="67" spans="1:10" ht="12" customHeight="1">
      <c r="A67" s="699" t="s">
        <v>2936</v>
      </c>
      <c r="C67" s="1059" t="s">
        <v>1691</v>
      </c>
      <c r="D67" s="731"/>
      <c r="I67" s="636"/>
    </row>
    <row r="68" spans="1:10" ht="12" customHeight="1">
      <c r="C68" s="699" t="s">
        <v>2937</v>
      </c>
      <c r="D68" s="1096" t="s">
        <v>1691</v>
      </c>
      <c r="I68" s="636"/>
    </row>
    <row r="69" spans="1:10" ht="12" customHeight="1">
      <c r="C69" s="699" t="s">
        <v>2904</v>
      </c>
      <c r="D69" s="4486"/>
      <c r="E69" s="4486"/>
      <c r="F69" s="4486"/>
      <c r="G69" s="4486"/>
      <c r="H69" s="4486"/>
      <c r="I69" s="4486"/>
      <c r="J69" s="4486"/>
    </row>
    <row r="70" spans="1:10" ht="3" customHeight="1">
      <c r="D70" s="717"/>
      <c r="E70" s="636"/>
      <c r="F70" s="636"/>
      <c r="I70" s="636"/>
    </row>
    <row r="71" spans="1:10" ht="12" customHeight="1">
      <c r="A71" s="699" t="s">
        <v>2938</v>
      </c>
      <c r="C71" s="699" t="s">
        <v>2300</v>
      </c>
      <c r="D71" s="725" t="s">
        <v>1691</v>
      </c>
      <c r="I71" s="636"/>
    </row>
    <row r="72" spans="1:10" ht="3" customHeight="1">
      <c r="D72" s="636"/>
      <c r="E72" s="636"/>
      <c r="I72" s="636"/>
    </row>
    <row r="73" spans="1:10" ht="12" customHeight="1">
      <c r="A73" s="699" t="s">
        <v>2939</v>
      </c>
      <c r="C73" s="1059" t="s">
        <v>1691</v>
      </c>
      <c r="I73" s="636"/>
    </row>
    <row r="74" spans="1:10" ht="3" customHeight="1">
      <c r="C74" s="717"/>
      <c r="G74" s="719"/>
      <c r="H74" s="636"/>
      <c r="I74" s="636"/>
    </row>
    <row r="75" spans="1:10" ht="12" customHeight="1">
      <c r="A75" s="699" t="s">
        <v>2940</v>
      </c>
      <c r="C75" s="717" t="s">
        <v>2941</v>
      </c>
      <c r="D75" s="1061">
        <v>0</v>
      </c>
      <c r="J75" s="636"/>
    </row>
    <row r="76" spans="1:10" ht="12" customHeight="1">
      <c r="C76" s="720" t="s">
        <v>3093</v>
      </c>
      <c r="D76" s="1062">
        <v>0.01</v>
      </c>
      <c r="J76" s="636"/>
    </row>
    <row r="77" spans="1:10" ht="3" customHeight="1">
      <c r="C77" s="717"/>
      <c r="D77" s="717"/>
      <c r="G77" s="636"/>
      <c r="H77" s="636"/>
      <c r="I77" s="636"/>
    </row>
    <row r="78" spans="1:10" ht="12" customHeight="1">
      <c r="A78" s="699" t="s">
        <v>2942</v>
      </c>
      <c r="C78" s="717" t="s">
        <v>3254</v>
      </c>
      <c r="D78" s="722">
        <v>24</v>
      </c>
      <c r="I78" s="636"/>
    </row>
    <row r="79" spans="1:10" ht="3" customHeight="1">
      <c r="D79" s="717"/>
      <c r="E79" s="636"/>
      <c r="F79" s="636"/>
      <c r="I79" s="636"/>
    </row>
    <row r="80" spans="1:10" ht="12" customHeight="1">
      <c r="A80" s="699" t="s">
        <v>2943</v>
      </c>
      <c r="C80" s="699" t="s">
        <v>2300</v>
      </c>
      <c r="D80" s="723">
        <f>'Preview term'!F39</f>
        <v>120</v>
      </c>
      <c r="E80" s="636" t="s">
        <v>3235</v>
      </c>
      <c r="I80" s="636"/>
    </row>
    <row r="81" spans="1:9" ht="3" customHeight="1">
      <c r="D81" s="717"/>
      <c r="G81" s="636"/>
      <c r="H81" s="636"/>
      <c r="I81" s="636"/>
    </row>
    <row r="82" spans="1:9" ht="12" customHeight="1">
      <c r="A82" s="699" t="s">
        <v>2944</v>
      </c>
      <c r="D82" s="1060">
        <v>0</v>
      </c>
      <c r="E82" s="724">
        <f>D82*12</f>
        <v>0</v>
      </c>
      <c r="F82" s="636" t="s">
        <v>3255</v>
      </c>
    </row>
    <row r="83" spans="1:9" ht="3" customHeight="1">
      <c r="D83" s="706"/>
      <c r="E83" s="636"/>
      <c r="G83" s="636"/>
    </row>
    <row r="84" spans="1:9" ht="12" customHeight="1">
      <c r="A84" s="699" t="s">
        <v>2945</v>
      </c>
      <c r="D84" s="1096" t="s">
        <v>931</v>
      </c>
      <c r="E84" s="636" t="s">
        <v>6420</v>
      </c>
      <c r="G84" s="636"/>
    </row>
    <row r="85" spans="1:9" ht="3" customHeight="1">
      <c r="G85" s="636"/>
      <c r="H85" s="636"/>
      <c r="I85" s="636"/>
    </row>
    <row r="86" spans="1:9" ht="12" customHeight="1">
      <c r="A86" s="699" t="s">
        <v>2946</v>
      </c>
      <c r="C86" s="1636">
        <f>'Subsidy Layering Memo'!L70</f>
        <v>-3.6758606785352807E-8</v>
      </c>
      <c r="D86" s="726" t="s">
        <v>3233</v>
      </c>
      <c r="I86" s="636"/>
    </row>
    <row r="87" spans="1:9" ht="3" customHeight="1">
      <c r="C87" s="636" t="s">
        <v>1691</v>
      </c>
      <c r="D87" s="636"/>
      <c r="E87" s="636"/>
      <c r="I87" s="636"/>
    </row>
    <row r="88" spans="1:9" ht="12" customHeight="1">
      <c r="A88" s="699" t="s">
        <v>2947</v>
      </c>
      <c r="B88" s="727"/>
      <c r="C88" s="1059" t="s">
        <v>1691</v>
      </c>
      <c r="D88" s="1064"/>
      <c r="I88" s="636"/>
    </row>
    <row r="89" spans="1:9" ht="3" customHeight="1">
      <c r="G89" s="636"/>
      <c r="H89" s="636"/>
      <c r="I89" s="636"/>
    </row>
    <row r="90" spans="1:9" ht="12" customHeight="1">
      <c r="A90" s="699" t="s">
        <v>2948</v>
      </c>
      <c r="C90" s="717" t="s">
        <v>2949</v>
      </c>
      <c r="D90" s="706" t="s">
        <v>2880</v>
      </c>
      <c r="I90" s="636"/>
    </row>
    <row r="91" spans="1:9" ht="12" customHeight="1">
      <c r="C91" s="717" t="s">
        <v>2950</v>
      </c>
      <c r="D91" s="706" t="s">
        <v>931</v>
      </c>
      <c r="I91" s="636"/>
    </row>
    <row r="92" spans="1:9" ht="3" customHeight="1">
      <c r="G92" s="636"/>
      <c r="H92" s="636"/>
      <c r="I92" s="636"/>
    </row>
    <row r="93" spans="1:9" ht="12" customHeight="1">
      <c r="A93" s="699" t="s">
        <v>2951</v>
      </c>
      <c r="C93" s="717" t="s">
        <v>2941</v>
      </c>
      <c r="D93" s="636" t="s">
        <v>2952</v>
      </c>
      <c r="E93" s="717" t="str">
        <f>'Part III-Sources of Funds'!H22</f>
        <v>TBD - Synovus</v>
      </c>
      <c r="I93" s="636"/>
    </row>
    <row r="94" spans="1:9" ht="12" customHeight="1">
      <c r="C94" s="731"/>
      <c r="D94" s="636"/>
      <c r="E94" s="717" t="s">
        <v>1716</v>
      </c>
      <c r="F94" s="4495"/>
      <c r="G94" s="4495"/>
      <c r="H94" s="4495"/>
      <c r="I94" s="636"/>
    </row>
    <row r="95" spans="1:9" ht="12" customHeight="1">
      <c r="C95" s="717"/>
      <c r="D95" s="636"/>
      <c r="E95" s="717" t="s">
        <v>1893</v>
      </c>
      <c r="F95" s="4496"/>
      <c r="G95" s="4496"/>
      <c r="H95" s="4496"/>
      <c r="I95" s="636"/>
    </row>
    <row r="96" spans="1:9" ht="12" customHeight="1">
      <c r="C96" s="717"/>
      <c r="D96" s="636"/>
      <c r="E96" s="717" t="s">
        <v>1718</v>
      </c>
      <c r="F96" s="4491"/>
      <c r="G96" s="4491"/>
      <c r="H96" s="4491"/>
      <c r="I96" s="636"/>
    </row>
    <row r="97" spans="1:10" ht="12" customHeight="1">
      <c r="B97" s="708"/>
      <c r="C97" s="720" t="s">
        <v>3093</v>
      </c>
      <c r="D97" s="636" t="s">
        <v>2952</v>
      </c>
      <c r="E97" s="717" t="str">
        <f>'Part III-Sources of Funds'!E40</f>
        <v>TBD - Synovous</v>
      </c>
      <c r="I97" s="636"/>
    </row>
    <row r="98" spans="1:10" ht="12" customHeight="1">
      <c r="C98" s="717"/>
      <c r="D98" s="636"/>
      <c r="E98" s="717" t="s">
        <v>1716</v>
      </c>
      <c r="F98" s="4495"/>
      <c r="G98" s="4495"/>
      <c r="H98" s="4495"/>
      <c r="I98" s="636"/>
    </row>
    <row r="99" spans="1:10" ht="12" customHeight="1">
      <c r="C99" s="717"/>
      <c r="D99" s="636"/>
      <c r="E99" s="717" t="s">
        <v>1893</v>
      </c>
      <c r="F99" s="4496"/>
      <c r="G99" s="4496"/>
      <c r="H99" s="4496"/>
      <c r="I99" s="636"/>
    </row>
    <row r="100" spans="1:10" ht="12" customHeight="1">
      <c r="C100" s="717"/>
      <c r="D100" s="636"/>
      <c r="E100" s="717" t="s">
        <v>1718</v>
      </c>
      <c r="F100" s="4491"/>
      <c r="G100" s="4491"/>
      <c r="H100" s="4491"/>
      <c r="I100" s="636"/>
    </row>
    <row r="101" spans="1:10" ht="3" customHeight="1">
      <c r="D101" s="728"/>
      <c r="G101" s="636"/>
      <c r="H101" s="636"/>
      <c r="I101" s="636"/>
    </row>
    <row r="102" spans="1:10" ht="12" customHeight="1">
      <c r="A102" s="699" t="s">
        <v>2953</v>
      </c>
      <c r="D102" s="1096" t="str">
        <f>'Part IX Scoring Criteria'!O260</f>
        <v>N/a</v>
      </c>
      <c r="E102" s="636" t="s">
        <v>2934</v>
      </c>
      <c r="G102" s="699">
        <f>'Part IX Scoring Criteria'!O256</f>
        <v>4</v>
      </c>
      <c r="H102" s="699" t="s">
        <v>3234</v>
      </c>
      <c r="I102" s="636"/>
    </row>
    <row r="103" spans="1:10" ht="3" customHeight="1">
      <c r="E103" s="636"/>
      <c r="F103" s="636"/>
      <c r="I103" s="636"/>
    </row>
    <row r="104" spans="1:10" ht="12" customHeight="1">
      <c r="A104" s="636" t="s">
        <v>3094</v>
      </c>
      <c r="D104" s="699" t="s">
        <v>931</v>
      </c>
      <c r="E104" s="636"/>
      <c r="I104" s="636"/>
    </row>
    <row r="105" spans="1:10" ht="6" customHeight="1">
      <c r="G105" s="636"/>
      <c r="H105" s="636"/>
      <c r="I105" s="636"/>
    </row>
    <row r="106" spans="1:10" ht="12" customHeight="1">
      <c r="A106" s="704" t="s">
        <v>3095</v>
      </c>
      <c r="I106" s="636"/>
    </row>
    <row r="107" spans="1:10" ht="12" customHeight="1">
      <c r="A107" s="699" t="s">
        <v>2954</v>
      </c>
      <c r="C107" s="1063" t="s">
        <v>1691</v>
      </c>
      <c r="D107" s="4497"/>
      <c r="E107" s="4497"/>
      <c r="F107" s="4497"/>
      <c r="G107" s="4497"/>
      <c r="H107" s="4497"/>
      <c r="I107" s="4497"/>
      <c r="J107" s="4498"/>
    </row>
    <row r="108" spans="1:10" ht="3" customHeight="1">
      <c r="C108" s="717"/>
      <c r="D108" s="636"/>
      <c r="I108" s="636"/>
    </row>
    <row r="109" spans="1:10" ht="12" customHeight="1">
      <c r="A109" s="699" t="s">
        <v>2955</v>
      </c>
      <c r="C109" s="1096" t="s">
        <v>1691</v>
      </c>
    </row>
    <row r="110" spans="1:10" ht="3" customHeight="1">
      <c r="C110" s="717"/>
      <c r="E110" s="636"/>
      <c r="F110" s="636"/>
      <c r="I110" s="636"/>
    </row>
    <row r="111" spans="1:10" ht="12" customHeight="1">
      <c r="A111" s="699" t="s">
        <v>2956</v>
      </c>
      <c r="C111" s="1096" t="s">
        <v>1691</v>
      </c>
      <c r="I111" s="636"/>
    </row>
    <row r="112" spans="1:10" ht="3" customHeight="1">
      <c r="D112" s="711"/>
      <c r="I112" s="636"/>
    </row>
    <row r="113" spans="1:10" ht="12" customHeight="1">
      <c r="A113" s="699" t="s">
        <v>2957</v>
      </c>
      <c r="D113" s="723">
        <v>24</v>
      </c>
      <c r="E113" s="636" t="s">
        <v>2958</v>
      </c>
      <c r="I113" s="636"/>
    </row>
    <row r="114" spans="1:10" ht="12" customHeight="1">
      <c r="C114" s="706" t="s">
        <v>6421</v>
      </c>
      <c r="I114" s="636"/>
    </row>
    <row r="115" spans="1:10" ht="12" customHeight="1">
      <c r="C115" s="706" t="s">
        <v>6422</v>
      </c>
      <c r="G115" s="636"/>
      <c r="I115" s="636"/>
    </row>
    <row r="116" spans="1:10" ht="3" customHeight="1">
      <c r="G116" s="636"/>
      <c r="H116" s="636"/>
      <c r="I116" s="636"/>
    </row>
    <row r="117" spans="1:10" ht="12" customHeight="1">
      <c r="A117" s="699" t="s">
        <v>2959</v>
      </c>
      <c r="D117" s="729">
        <v>0</v>
      </c>
      <c r="E117" s="730" t="s">
        <v>2960</v>
      </c>
      <c r="I117" s="636"/>
    </row>
    <row r="118" spans="1:10" ht="3" customHeight="1">
      <c r="D118" s="717"/>
      <c r="E118" s="636"/>
      <c r="F118" s="636"/>
      <c r="I118" s="636"/>
    </row>
    <row r="119" spans="1:10" ht="12" customHeight="1">
      <c r="A119" s="699" t="s">
        <v>2961</v>
      </c>
      <c r="C119" s="1059" t="s">
        <v>1691</v>
      </c>
      <c r="D119" s="731"/>
      <c r="I119" s="636"/>
    </row>
    <row r="120" spans="1:10" ht="12" customHeight="1">
      <c r="C120" s="636" t="s">
        <v>2962</v>
      </c>
      <c r="D120" s="721"/>
      <c r="E120" s="4485" t="s">
        <v>6423</v>
      </c>
      <c r="F120" s="4485"/>
      <c r="G120" s="4485"/>
      <c r="H120" s="4485"/>
      <c r="I120" s="4485"/>
      <c r="J120" s="4485"/>
    </row>
    <row r="121" spans="1:10" ht="12" customHeight="1">
      <c r="C121" s="636" t="s">
        <v>2963</v>
      </c>
      <c r="D121" s="1065"/>
      <c r="E121" s="4485"/>
      <c r="F121" s="4485"/>
      <c r="G121" s="4485"/>
      <c r="H121" s="4485"/>
      <c r="I121" s="4485"/>
      <c r="J121" s="4485"/>
    </row>
    <row r="122" spans="1:10" ht="12" customHeight="1">
      <c r="C122" s="636" t="s">
        <v>2964</v>
      </c>
      <c r="D122" s="1065"/>
      <c r="E122" s="4485"/>
      <c r="F122" s="4485"/>
      <c r="G122" s="4485"/>
      <c r="H122" s="4485"/>
      <c r="I122" s="4485"/>
      <c r="J122" s="4485"/>
    </row>
    <row r="123" spans="1:10" ht="12" customHeight="1">
      <c r="C123" s="636" t="s">
        <v>2964</v>
      </c>
      <c r="D123" s="1065"/>
      <c r="E123" s="4485"/>
      <c r="F123" s="4485"/>
      <c r="G123" s="4485"/>
      <c r="H123" s="4485"/>
      <c r="I123" s="4485"/>
      <c r="J123" s="4485"/>
    </row>
    <row r="124" spans="1:10" ht="3" customHeight="1">
      <c r="E124" s="636"/>
      <c r="F124" s="636"/>
      <c r="I124" s="636"/>
    </row>
    <row r="125" spans="1:10" ht="12" customHeight="1">
      <c r="A125" s="699" t="s">
        <v>2965</v>
      </c>
      <c r="D125" s="732" t="s">
        <v>2934</v>
      </c>
      <c r="I125" s="636"/>
    </row>
    <row r="126" spans="1:10" ht="3" customHeight="1">
      <c r="D126" s="636"/>
      <c r="I126" s="636"/>
    </row>
    <row r="127" spans="1:10" ht="12" customHeight="1">
      <c r="A127" s="699" t="s">
        <v>2966</v>
      </c>
      <c r="D127" s="636" t="s">
        <v>2934</v>
      </c>
      <c r="I127" s="636"/>
    </row>
    <row r="128" spans="1:10" ht="3" customHeight="1">
      <c r="G128" s="636"/>
      <c r="H128" s="636"/>
      <c r="I128" s="636"/>
    </row>
    <row r="129" spans="1:10" ht="12" customHeight="1">
      <c r="A129" s="699" t="s">
        <v>2967</v>
      </c>
      <c r="D129" s="636" t="s">
        <v>2968</v>
      </c>
      <c r="G129" s="636"/>
      <c r="I129" s="636"/>
    </row>
    <row r="130" spans="1:10" ht="7.5" customHeight="1">
      <c r="G130" s="636"/>
      <c r="H130" s="636"/>
      <c r="I130" s="636"/>
    </row>
    <row r="131" spans="1:10" ht="12" customHeight="1">
      <c r="A131" s="704" t="s">
        <v>2969</v>
      </c>
      <c r="G131" s="636"/>
      <c r="H131" s="636"/>
      <c r="I131" s="636"/>
    </row>
    <row r="132" spans="1:10" ht="12" customHeight="1">
      <c r="A132" s="699" t="s">
        <v>2970</v>
      </c>
      <c r="C132" s="706" t="str">
        <f>'Sensitivity Analysis'!H11</f>
        <v>NAHPA Development, LLC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2971</v>
      </c>
      <c r="C135" s="733">
        <f>('Part IV-A-Uses of Funds'!G127-'Part III-Sources of Funds'!I45)/2</f>
        <v>598057.5</v>
      </c>
      <c r="G135" s="636"/>
      <c r="I135" s="636"/>
    </row>
    <row r="136" spans="1:10" ht="3" customHeight="1">
      <c r="C136" s="636"/>
      <c r="G136" s="636"/>
      <c r="I136" s="636"/>
    </row>
    <row r="137" spans="1:10" ht="12" customHeight="1">
      <c r="A137" s="699" t="s">
        <v>2972</v>
      </c>
      <c r="C137" s="1096" t="s">
        <v>2973</v>
      </c>
      <c r="G137" s="636"/>
      <c r="I137" s="636"/>
    </row>
    <row r="138" spans="1:10" ht="3" customHeight="1">
      <c r="C138" s="706"/>
      <c r="G138" s="636"/>
      <c r="I138" s="636"/>
    </row>
    <row r="139" spans="1:10" ht="12" customHeight="1">
      <c r="A139" s="699" t="s">
        <v>2974</v>
      </c>
      <c r="C139" s="706" t="str">
        <f>'Preview term'!E19</f>
        <v>Vantage Management, LLC</v>
      </c>
      <c r="G139" s="636"/>
      <c r="I139" s="636"/>
      <c r="J139" s="734"/>
    </row>
    <row r="140" spans="1:10" ht="3" customHeight="1">
      <c r="C140" s="706"/>
      <c r="G140" s="636"/>
      <c r="I140" s="636"/>
    </row>
    <row r="141" spans="1:10" ht="12" customHeight="1">
      <c r="A141" s="699" t="s">
        <v>2975</v>
      </c>
      <c r="C141" s="707" t="str">
        <f>C8</f>
        <v>The Peaks at Turnberry, LP</v>
      </c>
      <c r="G141" s="636"/>
      <c r="I141" s="705"/>
      <c r="J141" s="735"/>
    </row>
    <row r="142" spans="1:10" ht="3" customHeight="1">
      <c r="C142" s="707"/>
      <c r="G142" s="636"/>
      <c r="I142" s="705"/>
      <c r="J142" s="735"/>
    </row>
    <row r="143" spans="1:10" ht="12" customHeight="1">
      <c r="A143" s="699" t="s">
        <v>2976</v>
      </c>
      <c r="C143" s="707" t="str">
        <f>C18</f>
        <v>100 Towncenter Blvd. Suite 300</v>
      </c>
      <c r="G143" s="636"/>
      <c r="I143" s="705"/>
      <c r="J143" s="735"/>
    </row>
    <row r="144" spans="1:10">
      <c r="C144" s="707" t="str">
        <f>C19</f>
        <v>Tuscaloosa, AL 35406</v>
      </c>
      <c r="G144" s="636"/>
      <c r="I144" s="705"/>
      <c r="J144" s="735"/>
    </row>
    <row r="145" spans="1:10" ht="3" customHeight="1">
      <c r="C145" s="736"/>
      <c r="G145" s="636"/>
      <c r="I145" s="705"/>
      <c r="J145" s="735"/>
    </row>
    <row r="146" spans="1:10" ht="12" customHeight="1">
      <c r="A146" s="699" t="s">
        <v>2977</v>
      </c>
      <c r="C146" s="707" t="str">
        <f>'Sensitivity Analysis'!H10</f>
        <v>To Be Determined - Synovus</v>
      </c>
      <c r="G146" s="636"/>
      <c r="I146" s="705"/>
      <c r="J146" s="734"/>
    </row>
    <row r="147" spans="1:10" ht="3" customHeight="1">
      <c r="C147" s="707"/>
      <c r="G147" s="636"/>
      <c r="I147" s="705"/>
      <c r="J147" s="735"/>
    </row>
    <row r="148" spans="1:10" ht="12" customHeight="1">
      <c r="A148" s="699" t="s">
        <v>2978</v>
      </c>
      <c r="C148" s="707" t="str">
        <f>'Sensitivity Analysis'!K10</f>
        <v>To Be Determined - Sugar Creek Capital</v>
      </c>
      <c r="G148" s="636"/>
      <c r="I148" s="705"/>
      <c r="J148" s="734"/>
    </row>
    <row r="149" spans="1:10" ht="3" customHeight="1">
      <c r="C149" s="736"/>
      <c r="G149" s="636"/>
      <c r="I149" s="705"/>
      <c r="J149" s="735"/>
    </row>
    <row r="150" spans="1:10" ht="12" customHeight="1">
      <c r="A150" s="699" t="s">
        <v>2979</v>
      </c>
      <c r="C150" s="737" t="s">
        <v>2934</v>
      </c>
      <c r="G150" s="636"/>
      <c r="I150" s="636"/>
    </row>
    <row r="151" spans="1:10" ht="3" customHeight="1">
      <c r="C151" s="737"/>
      <c r="G151" s="636"/>
      <c r="I151" s="636"/>
    </row>
    <row r="152" spans="1:10" ht="12" customHeight="1">
      <c r="A152" s="699" t="s">
        <v>2980</v>
      </c>
      <c r="C152" s="737" t="s">
        <v>2934</v>
      </c>
      <c r="G152" s="636"/>
      <c r="I152" s="636"/>
    </row>
    <row r="153" spans="1:10" ht="7.5" customHeight="1">
      <c r="G153" s="636"/>
      <c r="H153" s="636"/>
      <c r="I153" s="636"/>
    </row>
    <row r="154" spans="1:10" ht="12" customHeight="1">
      <c r="A154" s="704" t="s">
        <v>2981</v>
      </c>
      <c r="G154" s="636"/>
      <c r="H154" s="636"/>
      <c r="I154" s="636"/>
    </row>
    <row r="155" spans="1:10" ht="3" customHeight="1">
      <c r="D155" s="636"/>
      <c r="E155" s="636"/>
      <c r="G155" s="636"/>
    </row>
    <row r="156" spans="1:10" ht="12" customHeight="1">
      <c r="A156" s="699" t="s">
        <v>2982</v>
      </c>
      <c r="C156" s="636" t="s">
        <v>3236</v>
      </c>
      <c r="D156" s="636"/>
      <c r="G156" s="636"/>
      <c r="H156" s="636"/>
      <c r="I156" s="636"/>
    </row>
    <row r="157" spans="1:10" ht="3" customHeight="1">
      <c r="D157" s="636"/>
      <c r="E157" s="636"/>
      <c r="G157" s="636"/>
    </row>
    <row r="158" spans="1:10" ht="12" customHeight="1">
      <c r="A158" s="699" t="s">
        <v>2983</v>
      </c>
      <c r="D158" s="1096">
        <v>20</v>
      </c>
      <c r="E158" s="636" t="s">
        <v>2300</v>
      </c>
    </row>
    <row r="159" spans="1:10" ht="3" customHeight="1">
      <c r="D159" s="636"/>
      <c r="E159" s="636"/>
      <c r="G159" s="636"/>
    </row>
    <row r="160" spans="1:10" ht="12" customHeight="1">
      <c r="A160" s="699" t="s">
        <v>2984</v>
      </c>
      <c r="C160" s="1059" t="str">
        <f>'Part VI-Revenues &amp; Expenses'!$G$6</f>
        <v>&lt;Select&gt;</v>
      </c>
      <c r="D160" s="636" t="s">
        <v>3256</v>
      </c>
      <c r="G160" s="636"/>
    </row>
    <row r="161" spans="1:13" ht="3" customHeight="1">
      <c r="G161" s="636"/>
      <c r="H161" s="636"/>
      <c r="I161" s="636"/>
    </row>
    <row r="162" spans="1:13" ht="12" customHeight="1">
      <c r="A162" s="699" t="s">
        <v>2985</v>
      </c>
      <c r="G162" s="636"/>
      <c r="H162" s="636"/>
      <c r="I162" s="636"/>
    </row>
    <row r="163" spans="1:13" ht="7.5" customHeight="1">
      <c r="G163" s="636"/>
      <c r="H163" s="636"/>
      <c r="I163" s="636"/>
    </row>
    <row r="164" spans="1:13" ht="12" customHeight="1">
      <c r="A164" s="704" t="s">
        <v>2986</v>
      </c>
      <c r="G164" s="636"/>
      <c r="H164" s="636"/>
      <c r="I164" s="636"/>
    </row>
    <row r="165" spans="1:13" ht="12" customHeight="1">
      <c r="A165" s="699" t="s">
        <v>3085</v>
      </c>
      <c r="C165" s="699" t="s">
        <v>3086</v>
      </c>
      <c r="E165" s="725">
        <f>'Preview term'!F79</f>
        <v>0</v>
      </c>
      <c r="G165" s="636"/>
      <c r="I165" s="636"/>
    </row>
    <row r="166" spans="1:13" ht="12" customHeight="1">
      <c r="C166" s="699" t="s">
        <v>3237</v>
      </c>
      <c r="E166" s="4486"/>
      <c r="F166" s="4486"/>
      <c r="G166" s="4486"/>
      <c r="I166" s="636"/>
    </row>
    <row r="167" spans="1:13" ht="3" customHeight="1">
      <c r="E167" s="636"/>
      <c r="G167" s="636"/>
      <c r="I167" s="636"/>
    </row>
    <row r="168" spans="1:13" ht="12" customHeight="1">
      <c r="A168" s="699" t="s">
        <v>2987</v>
      </c>
      <c r="C168" s="699" t="s">
        <v>2988</v>
      </c>
      <c r="E168" s="738">
        <f>'Preview term'!F73</f>
        <v>146824</v>
      </c>
      <c r="G168" s="636"/>
      <c r="I168" s="636"/>
    </row>
    <row r="169" spans="1:13" ht="12" customHeight="1">
      <c r="C169" s="699" t="s">
        <v>3237</v>
      </c>
      <c r="E169" s="4486"/>
      <c r="F169" s="4486"/>
      <c r="G169" s="4486"/>
      <c r="I169" s="636"/>
    </row>
    <row r="170" spans="1:13" ht="12" customHeight="1">
      <c r="C170" s="699" t="s">
        <v>2989</v>
      </c>
      <c r="E170" s="706" t="s">
        <v>2626</v>
      </c>
      <c r="G170" s="636"/>
      <c r="I170" s="636"/>
    </row>
    <row r="171" spans="1:13" ht="3" customHeight="1">
      <c r="E171" s="706"/>
      <c r="G171" s="636"/>
      <c r="I171" s="636"/>
    </row>
    <row r="172" spans="1:13" ht="12" customHeight="1">
      <c r="A172" s="699" t="s">
        <v>3087</v>
      </c>
      <c r="C172" s="699" t="s">
        <v>3088</v>
      </c>
      <c r="E172" s="738">
        <f>'Preview term'!F75</f>
        <v>0</v>
      </c>
      <c r="G172" s="636"/>
      <c r="I172" s="636"/>
    </row>
    <row r="173" spans="1:13" ht="12" customHeight="1">
      <c r="C173" s="699" t="s">
        <v>2990</v>
      </c>
      <c r="E173" s="738">
        <f>'Preview term'!F75</f>
        <v>0</v>
      </c>
      <c r="G173" s="636"/>
      <c r="I173" s="705"/>
      <c r="J173" s="735"/>
      <c r="K173" s="735"/>
      <c r="L173" s="735"/>
      <c r="M173" s="735"/>
    </row>
    <row r="174" spans="1:13" ht="12" customHeight="1">
      <c r="C174" s="699" t="s">
        <v>2991</v>
      </c>
      <c r="E174" s="733">
        <f>'Part VI-Revenues &amp; Expenses'!Q231</f>
        <v>12000</v>
      </c>
      <c r="F174" s="705" t="s">
        <v>2992</v>
      </c>
      <c r="J174" s="735"/>
      <c r="K174" s="735"/>
      <c r="L174" s="735"/>
      <c r="M174" s="735"/>
    </row>
    <row r="175" spans="1:13">
      <c r="E175" s="738">
        <f>E174/12</f>
        <v>1000</v>
      </c>
      <c r="F175" s="636" t="s">
        <v>2857</v>
      </c>
    </row>
    <row r="176" spans="1:13" ht="12" customHeight="1">
      <c r="C176" s="699" t="s">
        <v>3238</v>
      </c>
      <c r="E176" s="4486"/>
      <c r="F176" s="4486"/>
      <c r="G176" s="4486"/>
      <c r="I176" s="636"/>
    </row>
    <row r="177" spans="1:10" ht="12" customHeight="1">
      <c r="C177" s="699" t="s">
        <v>2993</v>
      </c>
      <c r="E177" s="636" t="s">
        <v>2770</v>
      </c>
      <c r="I177" s="636"/>
    </row>
    <row r="178" spans="1:10" ht="12" customHeight="1">
      <c r="C178" s="699" t="s">
        <v>2994</v>
      </c>
      <c r="E178" s="636" t="s">
        <v>2626</v>
      </c>
      <c r="I178" s="636"/>
    </row>
    <row r="179" spans="1:10" ht="3" customHeight="1">
      <c r="E179" s="636"/>
      <c r="F179" s="636"/>
      <c r="I179" s="636"/>
    </row>
    <row r="180" spans="1:10" ht="12" customHeight="1">
      <c r="A180" s="699" t="s">
        <v>3083</v>
      </c>
      <c r="C180" s="699" t="s">
        <v>3084</v>
      </c>
      <c r="E180" s="725" t="s">
        <v>1691</v>
      </c>
      <c r="F180" s="739"/>
      <c r="I180" s="636"/>
    </row>
    <row r="181" spans="1:10" ht="12" customHeight="1">
      <c r="C181" s="699" t="s">
        <v>2995</v>
      </c>
      <c r="E181" s="725" t="s">
        <v>1691</v>
      </c>
      <c r="F181" s="4486"/>
      <c r="G181" s="4486"/>
      <c r="H181" s="4486"/>
      <c r="I181" s="4486"/>
      <c r="J181" s="4486"/>
    </row>
    <row r="182" spans="1:10" ht="12" customHeight="1">
      <c r="C182" s="699" t="s">
        <v>3239</v>
      </c>
      <c r="E182" s="636" t="s">
        <v>2934</v>
      </c>
      <c r="I182" s="636"/>
    </row>
    <row r="183" spans="1:10" ht="12" customHeight="1">
      <c r="C183" s="699" t="s">
        <v>2996</v>
      </c>
      <c r="E183" s="636" t="s">
        <v>2626</v>
      </c>
      <c r="I183" s="636"/>
    </row>
    <row r="184" spans="1:10" ht="3" customHeight="1">
      <c r="G184" s="636"/>
      <c r="H184" s="636"/>
      <c r="I184" s="636"/>
    </row>
    <row r="185" spans="1:10" ht="12" customHeight="1">
      <c r="A185" s="699" t="s">
        <v>3089</v>
      </c>
      <c r="C185" s="699" t="s">
        <v>3090</v>
      </c>
      <c r="E185" s="738">
        <f>'Preview term'!F77</f>
        <v>47731</v>
      </c>
      <c r="G185" s="636"/>
      <c r="I185" s="636"/>
    </row>
    <row r="186" spans="1:10" ht="12" customHeight="1">
      <c r="C186" s="699" t="s">
        <v>3237</v>
      </c>
      <c r="E186" s="706">
        <f>E169</f>
        <v>0</v>
      </c>
      <c r="G186" s="636"/>
      <c r="I186" s="636"/>
    </row>
    <row r="187" spans="1:10" ht="12" customHeight="1">
      <c r="C187" s="699" t="s">
        <v>2997</v>
      </c>
      <c r="E187" s="706" t="s">
        <v>2934</v>
      </c>
      <c r="G187" s="636"/>
      <c r="I187" s="636"/>
    </row>
    <row r="188" spans="1:10" ht="3" customHeight="1">
      <c r="E188" s="706"/>
      <c r="G188" s="636"/>
      <c r="I188" s="636"/>
    </row>
    <row r="189" spans="1:10" ht="12" customHeight="1">
      <c r="A189" s="699" t="s">
        <v>3091</v>
      </c>
      <c r="C189" s="699" t="s">
        <v>3092</v>
      </c>
      <c r="E189" s="706" t="s">
        <v>2934</v>
      </c>
      <c r="G189" s="636"/>
      <c r="I189" s="636"/>
    </row>
    <row r="190" spans="1:10" ht="12" customHeight="1">
      <c r="C190" s="699" t="s">
        <v>2988</v>
      </c>
      <c r="E190" s="717"/>
      <c r="G190" s="636"/>
      <c r="H190" s="724"/>
      <c r="I190" s="636"/>
    </row>
    <row r="191" spans="1:10" ht="12" customHeight="1">
      <c r="C191" s="699" t="s">
        <v>3237</v>
      </c>
      <c r="E191" s="717"/>
      <c r="I191" s="706"/>
    </row>
    <row r="192" spans="1:10" ht="12" customHeight="1">
      <c r="C192" s="699" t="s">
        <v>2989</v>
      </c>
      <c r="E192" s="717"/>
      <c r="G192" s="636"/>
      <c r="H192" s="636"/>
      <c r="I192" s="636"/>
    </row>
    <row r="193" spans="1:10" ht="9" customHeight="1">
      <c r="G193" s="636"/>
      <c r="H193" s="636"/>
      <c r="I193" s="636"/>
    </row>
    <row r="194" spans="1:10" ht="12" customHeight="1">
      <c r="A194" s="704" t="s">
        <v>2998</v>
      </c>
      <c r="C194" s="636" t="s">
        <v>2999</v>
      </c>
      <c r="E194" s="636"/>
      <c r="I194" s="636"/>
    </row>
    <row r="195" spans="1:10" ht="9" customHeight="1">
      <c r="E195" s="636"/>
      <c r="F195" s="636"/>
      <c r="I195" s="636"/>
    </row>
    <row r="196" spans="1:10" ht="12" customHeight="1">
      <c r="A196" s="704" t="s">
        <v>3000</v>
      </c>
      <c r="E196" s="636"/>
      <c r="F196" s="636"/>
      <c r="I196" s="636"/>
    </row>
    <row r="197" spans="1:10" ht="12" customHeight="1">
      <c r="A197" s="699" t="s">
        <v>3001</v>
      </c>
      <c r="C197" s="1055" t="s">
        <v>1691</v>
      </c>
      <c r="E197" s="636"/>
      <c r="F197" s="636"/>
      <c r="I197" s="636"/>
    </row>
    <row r="198" spans="1:10" ht="3" customHeight="1">
      <c r="G198" s="636"/>
      <c r="H198" s="636"/>
      <c r="I198" s="636"/>
    </row>
    <row r="199" spans="1:10">
      <c r="A199" s="712" t="s">
        <v>3241</v>
      </c>
      <c r="B199" s="712"/>
      <c r="C199" s="712"/>
      <c r="D199" s="712"/>
      <c r="E199" s="716" t="s">
        <v>3240</v>
      </c>
      <c r="F199" s="4484">
        <f>'Part VIII-Threshold Criteria'!E397</f>
        <v>0</v>
      </c>
      <c r="G199" s="4484"/>
      <c r="H199" s="4484"/>
      <c r="I199" s="4484"/>
      <c r="J199" s="4484"/>
    </row>
    <row r="200" spans="1:10" ht="9" customHeight="1">
      <c r="G200" s="636"/>
      <c r="H200" s="636"/>
      <c r="I200" s="636"/>
    </row>
    <row r="201" spans="1:10" ht="12" customHeight="1">
      <c r="A201" s="740" t="s">
        <v>3082</v>
      </c>
      <c r="G201" s="636"/>
      <c r="H201" s="636"/>
      <c r="I201" s="724"/>
    </row>
    <row r="202" spans="1:10" ht="25.5" hidden="1" customHeight="1">
      <c r="A202" s="4490" t="str">
        <f>'Subsidy Layering Memo'!A105</f>
        <v>Include any reserve requirements; explain any reserves far in excess of 6 month ODR, 3 mo lease up, 1 year RR, 6 mo T&amp;I standards.</v>
      </c>
      <c r="B202" s="4490"/>
      <c r="C202" s="4490"/>
      <c r="D202" s="4490"/>
      <c r="E202" s="4490"/>
      <c r="F202" s="4490"/>
      <c r="G202" s="4490"/>
      <c r="H202" s="4490"/>
      <c r="I202" s="4490"/>
      <c r="J202" s="4490"/>
    </row>
    <row r="203" spans="1:10">
      <c r="A203" s="636"/>
      <c r="G203" s="636"/>
      <c r="H203" s="636"/>
      <c r="I203" s="636"/>
    </row>
    <row r="204" spans="1:10" s="588" customFormat="1" ht="15">
      <c r="A204" s="594" t="s">
        <v>6407</v>
      </c>
    </row>
    <row r="205" spans="1:10" s="588" customFormat="1" ht="14.25" customHeight="1">
      <c r="A205" s="44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51"/>
      <c r="C205" s="4451"/>
      <c r="D205" s="4451"/>
      <c r="E205" s="4451"/>
      <c r="F205" s="4451"/>
      <c r="G205" s="4451"/>
      <c r="H205" s="4451"/>
      <c r="I205" s="4451"/>
      <c r="J205" s="4451"/>
    </row>
    <row r="206" spans="1:10" s="588" customFormat="1" ht="14.25" customHeight="1">
      <c r="A206" s="4451"/>
      <c r="B206" s="4451"/>
      <c r="C206" s="4451"/>
      <c r="D206" s="4451"/>
      <c r="E206" s="4451"/>
      <c r="F206" s="4451"/>
      <c r="G206" s="4451"/>
      <c r="H206" s="4451"/>
      <c r="I206" s="4451"/>
      <c r="J206" s="4451"/>
    </row>
    <row r="207" spans="1:10" s="588" customFormat="1" ht="6.75" customHeight="1">
      <c r="A207" s="4451"/>
      <c r="B207" s="4451"/>
      <c r="C207" s="4451"/>
      <c r="D207" s="4451"/>
      <c r="E207" s="4451"/>
      <c r="F207" s="4451"/>
      <c r="G207" s="4451"/>
      <c r="H207" s="4451"/>
      <c r="I207" s="4451"/>
      <c r="J207" s="4451"/>
    </row>
    <row r="208" spans="1:10" s="588" customFormat="1" ht="21.75" customHeight="1">
      <c r="A208" s="4451"/>
      <c r="B208" s="4451"/>
      <c r="C208" s="4451"/>
      <c r="D208" s="4451"/>
      <c r="E208" s="4451"/>
      <c r="F208" s="4451"/>
      <c r="G208" s="4451"/>
      <c r="H208" s="4451"/>
      <c r="I208" s="4451"/>
      <c r="J208" s="4451"/>
    </row>
    <row r="209" spans="1:10" s="588" customFormat="1" ht="20.25" customHeight="1">
      <c r="A209" s="4451"/>
      <c r="B209" s="4451"/>
      <c r="C209" s="4451"/>
      <c r="D209" s="4451"/>
      <c r="E209" s="4451"/>
      <c r="F209" s="4451"/>
      <c r="G209" s="4451"/>
      <c r="H209" s="4451"/>
      <c r="I209" s="4451"/>
      <c r="J209" s="4451"/>
    </row>
    <row r="210" spans="1:10" s="588" customFormat="1" ht="54.75" customHeight="1">
      <c r="A210" s="4451"/>
      <c r="B210" s="4451"/>
      <c r="C210" s="4451"/>
      <c r="D210" s="4451"/>
      <c r="E210" s="4451"/>
      <c r="F210" s="4451"/>
      <c r="G210" s="4451"/>
      <c r="H210" s="4451"/>
      <c r="I210" s="4451"/>
      <c r="J210" s="4451"/>
    </row>
    <row r="211" spans="1:10" s="588" customFormat="1" ht="0.75" hidden="1" customHeight="1">
      <c r="A211" s="4451"/>
      <c r="B211" s="4451"/>
      <c r="C211" s="4451"/>
      <c r="D211" s="4451"/>
      <c r="E211" s="4451"/>
      <c r="F211" s="4451"/>
      <c r="G211" s="4451"/>
      <c r="H211" s="4451"/>
      <c r="I211" s="4451"/>
      <c r="J211" s="4451"/>
    </row>
    <row r="212" spans="1:10" s="588" customFormat="1" ht="3.75" hidden="1" customHeight="1">
      <c r="A212" s="4451"/>
      <c r="B212" s="4451"/>
      <c r="C212" s="4451"/>
      <c r="D212" s="4451"/>
      <c r="E212" s="4451"/>
      <c r="F212" s="4451"/>
      <c r="G212" s="4451"/>
      <c r="H212" s="4451"/>
      <c r="I212" s="4451"/>
      <c r="J212" s="4451"/>
    </row>
    <row r="213" spans="1:10" s="588" customFormat="1" ht="5.25" customHeight="1">
      <c r="A213" s="1630"/>
      <c r="B213" s="1630"/>
      <c r="C213" s="1630"/>
      <c r="D213" s="1630"/>
      <c r="E213" s="1630"/>
      <c r="F213" s="1630"/>
      <c r="G213" s="1630"/>
      <c r="H213" s="1630"/>
      <c r="I213" s="1630"/>
      <c r="J213" s="1630"/>
    </row>
    <row r="214" spans="1:10" s="588" customFormat="1" ht="19.5" customHeight="1">
      <c r="A214" s="4450" t="s">
        <v>6410</v>
      </c>
      <c r="B214" s="4450"/>
      <c r="C214" s="4450"/>
      <c r="D214" s="1629"/>
      <c r="E214" s="1629"/>
      <c r="F214" s="1629"/>
      <c r="G214" s="1629"/>
      <c r="H214" s="1629"/>
      <c r="I214" s="1629"/>
      <c r="J214" s="1629"/>
    </row>
    <row r="215" spans="1:10" s="588" customFormat="1" ht="22.5" customHeight="1">
      <c r="A215" s="4447" t="str">
        <f>'Subsidy Layering Memo'!A37</f>
        <v>1)</v>
      </c>
      <c r="B215" s="4447"/>
      <c r="C215" s="4447"/>
      <c r="D215" s="4447"/>
      <c r="E215" s="4447"/>
      <c r="F215" s="4447"/>
      <c r="G215" s="4447"/>
      <c r="H215" s="4447"/>
      <c r="I215" s="4447"/>
      <c r="J215" s="4447"/>
    </row>
    <row r="216" spans="1:10" s="588" customFormat="1" ht="22.5" customHeight="1">
      <c r="A216" s="4447" t="str">
        <f>'Subsidy Layering Memo'!A38</f>
        <v>2)</v>
      </c>
      <c r="B216" s="4447"/>
      <c r="C216" s="4447"/>
      <c r="D216" s="4447"/>
      <c r="E216" s="4447"/>
      <c r="F216" s="4447"/>
      <c r="G216" s="4447"/>
      <c r="H216" s="4447"/>
      <c r="I216" s="4447"/>
      <c r="J216" s="4447"/>
    </row>
    <row r="217" spans="1:10" s="588" customFormat="1" ht="22.5" customHeight="1">
      <c r="A217" s="4447" t="str">
        <f>'Subsidy Layering Memo'!A39</f>
        <v>3)</v>
      </c>
      <c r="B217" s="4447"/>
      <c r="C217" s="4447"/>
      <c r="D217" s="4447"/>
      <c r="E217" s="4447"/>
      <c r="F217" s="4447"/>
      <c r="G217" s="4447"/>
      <c r="H217" s="4447"/>
      <c r="I217" s="4447"/>
      <c r="J217" s="4447"/>
    </row>
    <row r="218" spans="1:10" s="588" customFormat="1" ht="22.5" customHeight="1">
      <c r="A218" s="4447" t="str">
        <f>'Subsidy Layering Memo'!A40</f>
        <v>4)</v>
      </c>
      <c r="B218" s="4447"/>
      <c r="C218" s="4447"/>
      <c r="D218" s="4447"/>
      <c r="E218" s="4447"/>
      <c r="F218" s="4447"/>
      <c r="G218" s="4447"/>
      <c r="H218" s="4447"/>
      <c r="I218" s="4447"/>
      <c r="J218" s="4447"/>
    </row>
    <row r="219" spans="1:10" s="588" customFormat="1" ht="22.5" customHeight="1">
      <c r="A219" s="4447" t="str">
        <f>'Subsidy Layering Memo'!A41</f>
        <v>5)</v>
      </c>
      <c r="B219" s="4447"/>
      <c r="C219" s="4447"/>
      <c r="D219" s="4447"/>
      <c r="E219" s="4447"/>
      <c r="F219" s="4447"/>
      <c r="G219" s="4447"/>
      <c r="H219" s="4447"/>
      <c r="I219" s="4447"/>
      <c r="J219" s="4447"/>
    </row>
    <row r="220" spans="1:10" s="588" customFormat="1" ht="22.5" customHeight="1">
      <c r="A220" s="4447" t="str">
        <f>'Subsidy Layering Memo'!A42</f>
        <v>6)</v>
      </c>
      <c r="B220" s="4447"/>
      <c r="C220" s="4447"/>
      <c r="D220" s="4447"/>
      <c r="E220" s="4447"/>
      <c r="F220" s="4447"/>
      <c r="G220" s="4447"/>
      <c r="H220" s="4447"/>
      <c r="I220" s="4447"/>
      <c r="J220" s="4447"/>
    </row>
    <row r="221" spans="1:10" s="588" customFormat="1" ht="22.5" customHeight="1">
      <c r="A221" s="4447" t="str">
        <f>'Subsidy Layering Memo'!A43</f>
        <v>7)</v>
      </c>
      <c r="B221" s="4447"/>
      <c r="C221" s="4447"/>
      <c r="D221" s="4447"/>
      <c r="E221" s="4447"/>
      <c r="F221" s="4447"/>
      <c r="G221" s="4447"/>
      <c r="H221" s="4447"/>
      <c r="I221" s="4447"/>
      <c r="J221" s="4447"/>
    </row>
    <row r="222" spans="1:10" s="588" customFormat="1" ht="22.5" customHeight="1">
      <c r="A222" s="4447" t="str">
        <f>'Subsidy Layering Memo'!A44</f>
        <v>8)</v>
      </c>
      <c r="B222" s="4447"/>
      <c r="C222" s="4447"/>
      <c r="D222" s="4447"/>
      <c r="E222" s="4447"/>
      <c r="F222" s="4447"/>
      <c r="G222" s="4447"/>
      <c r="H222" s="4447"/>
      <c r="I222" s="4447"/>
      <c r="J222" s="4447"/>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3" customWidth="1"/>
    <col min="2" max="2" width="6.28515625" style="3023" customWidth="1"/>
    <col min="3" max="3" width="9.85546875" style="3023" customWidth="1"/>
    <col min="4" max="4" width="10.42578125" style="3023" customWidth="1"/>
    <col min="5" max="5" width="7.7109375" style="3119" customWidth="1"/>
    <col min="6" max="6" width="8" style="3023" customWidth="1"/>
    <col min="7" max="7" width="8.7109375" style="3023" customWidth="1"/>
    <col min="8" max="8" width="10.28515625" style="3023" customWidth="1"/>
    <col min="9" max="9" width="10.7109375" style="3023" customWidth="1"/>
    <col min="10" max="10" width="11.7109375" style="3023" customWidth="1"/>
    <col min="11" max="11" width="11.85546875" style="3023" customWidth="1"/>
    <col min="12" max="16384" width="9.140625" style="3023"/>
  </cols>
  <sheetData>
    <row r="1" spans="1:11" ht="18.75">
      <c r="A1" s="3022" t="s">
        <v>4170</v>
      </c>
      <c r="B1" s="3022"/>
      <c r="C1" s="3022"/>
      <c r="D1" s="3022"/>
      <c r="E1" s="3022"/>
      <c r="F1" s="3022"/>
      <c r="G1" s="3022"/>
      <c r="H1" s="3022"/>
    </row>
    <row r="2" spans="1:11" ht="19.5" thickBot="1">
      <c r="A2" s="3022" t="s">
        <v>4171</v>
      </c>
      <c r="B2" s="3022"/>
      <c r="C2" s="3022"/>
      <c r="D2" s="3022"/>
      <c r="E2" s="3022"/>
      <c r="F2" s="3022"/>
      <c r="G2" s="3022"/>
      <c r="H2" s="3022"/>
    </row>
    <row r="3" spans="1:11" ht="15" customHeight="1" thickBot="1">
      <c r="A3" s="3024" t="s">
        <v>4172</v>
      </c>
      <c r="B3" s="3025"/>
      <c r="C3" s="3026"/>
      <c r="D3" s="4558" t="str">
        <f>'Part I-Project Information'!F35</f>
        <v>The Peaks at Turnberry</v>
      </c>
      <c r="E3" s="4559"/>
      <c r="F3" s="4559"/>
      <c r="G3" s="4559"/>
      <c r="H3" s="4559"/>
      <c r="I3" s="4559"/>
      <c r="J3" s="4560" t="s">
        <v>6424</v>
      </c>
      <c r="K3" s="4561"/>
    </row>
    <row r="4" spans="1:11" ht="15" customHeight="1">
      <c r="A4" s="3027" t="s">
        <v>4173</v>
      </c>
      <c r="B4" s="3028"/>
      <c r="C4" s="3029"/>
      <c r="D4" s="4562" t="str">
        <f>CONCATENATE('Part I-Project Information'!F36,", ",'Part I-Project Information'!F39,", GA ",'Part I-Project Information'!J39," (",'Part I-Project Information'!J40," Co.)",)</f>
        <v>Off of GA-21 , Rincon, GA 313265469 (Effingham Co.)</v>
      </c>
      <c r="E4" s="4563"/>
      <c r="F4" s="4563"/>
      <c r="G4" s="4563"/>
      <c r="H4" s="4563"/>
      <c r="I4" s="4563"/>
      <c r="J4" s="4564" t="s">
        <v>4214</v>
      </c>
      <c r="K4" s="4565"/>
    </row>
    <row r="5" spans="1:11" ht="15" customHeight="1" thickBot="1">
      <c r="A5" s="3030" t="s">
        <v>4174</v>
      </c>
      <c r="B5" s="3031"/>
      <c r="C5" s="3032"/>
      <c r="D5" s="4568"/>
      <c r="E5" s="4569"/>
      <c r="F5" s="4569"/>
      <c r="G5" s="4569"/>
      <c r="H5" s="4569"/>
      <c r="I5" s="4569"/>
      <c r="J5" s="4566"/>
      <c r="K5" s="4567"/>
    </row>
    <row r="6" spans="1:11" ht="9" customHeight="1" thickBot="1">
      <c r="E6" s="3023"/>
    </row>
    <row r="7" spans="1:11">
      <c r="A7" s="4576" t="s">
        <v>4176</v>
      </c>
      <c r="B7" s="4577"/>
      <c r="C7" s="4577"/>
      <c r="D7" s="4577"/>
      <c r="E7" s="4577"/>
      <c r="F7" s="4577"/>
      <c r="G7" s="4577"/>
      <c r="H7" s="4577"/>
      <c r="I7" s="4577"/>
      <c r="J7" s="4577"/>
      <c r="K7" s="4578"/>
    </row>
    <row r="8" spans="1:11" ht="14.25" customHeight="1">
      <c r="A8" s="3033"/>
      <c r="B8" s="3033"/>
      <c r="C8" s="3034">
        <v>1</v>
      </c>
      <c r="D8" s="3035" t="s">
        <v>4177</v>
      </c>
      <c r="E8" s="3035"/>
      <c r="F8" s="3035"/>
      <c r="G8" s="3035"/>
      <c r="H8" s="3035"/>
      <c r="I8" s="3035"/>
      <c r="J8" s="4574"/>
      <c r="K8" s="4575"/>
    </row>
    <row r="9" spans="1:11" ht="7.15" customHeight="1">
      <c r="A9" s="4509"/>
      <c r="B9" s="4509"/>
      <c r="C9" s="4509"/>
      <c r="D9" s="4510"/>
      <c r="E9" s="4510"/>
      <c r="F9" s="4510"/>
      <c r="G9" s="4510"/>
      <c r="H9" s="4510"/>
      <c r="I9" s="4510"/>
      <c r="J9" s="4510"/>
      <c r="K9" s="3036"/>
    </row>
    <row r="10" spans="1:11">
      <c r="A10" s="4579" t="s">
        <v>4178</v>
      </c>
      <c r="B10" s="4580"/>
      <c r="C10" s="4580"/>
      <c r="D10" s="4580"/>
      <c r="E10" s="4580"/>
      <c r="F10" s="4580"/>
      <c r="G10" s="4580"/>
      <c r="H10" s="4580"/>
      <c r="I10" s="4580"/>
      <c r="J10" s="4580"/>
      <c r="K10" s="4581"/>
    </row>
    <row r="11" spans="1:11" ht="14.25" customHeight="1">
      <c r="A11" s="3033"/>
      <c r="B11" s="3033"/>
      <c r="C11" s="3034">
        <v>2</v>
      </c>
      <c r="D11" s="3035" t="s">
        <v>4179</v>
      </c>
      <c r="E11" s="3037"/>
      <c r="F11" s="3037"/>
      <c r="G11" s="3037"/>
      <c r="H11" s="3037"/>
      <c r="I11" s="3037"/>
      <c r="J11" s="4572"/>
      <c r="K11" s="4573"/>
    </row>
    <row r="12" spans="1:11" ht="7.15" customHeight="1">
      <c r="A12" s="4509"/>
      <c r="B12" s="4509"/>
      <c r="C12" s="4509"/>
      <c r="D12" s="4510"/>
      <c r="E12" s="4510"/>
      <c r="F12" s="4510"/>
      <c r="G12" s="4510"/>
      <c r="H12" s="4510"/>
      <c r="I12" s="4510"/>
      <c r="J12" s="4510"/>
      <c r="K12" s="3038"/>
    </row>
    <row r="13" spans="1:11">
      <c r="A13" s="4579" t="s">
        <v>4180</v>
      </c>
      <c r="B13" s="4580"/>
      <c r="C13" s="4580"/>
      <c r="D13" s="4580"/>
      <c r="E13" s="4580"/>
      <c r="F13" s="4580"/>
      <c r="G13" s="4580"/>
      <c r="H13" s="4580"/>
      <c r="I13" s="4580"/>
      <c r="J13" s="4580"/>
      <c r="K13" s="4581"/>
    </row>
    <row r="14" spans="1:11" ht="14.25" customHeight="1">
      <c r="A14" s="3028"/>
      <c r="B14" s="3028"/>
      <c r="C14" s="3039">
        <v>3</v>
      </c>
      <c r="D14" s="3040" t="s">
        <v>4181</v>
      </c>
      <c r="E14" s="3040"/>
      <c r="F14" s="3040"/>
      <c r="G14" s="3040"/>
      <c r="H14" s="3040"/>
      <c r="I14" s="3040"/>
      <c r="J14" s="4570"/>
      <c r="K14" s="4571"/>
    </row>
    <row r="15" spans="1:11" ht="14.25" customHeight="1">
      <c r="A15" s="3028"/>
      <c r="B15" s="3028"/>
      <c r="C15" s="3041">
        <v>4</v>
      </c>
      <c r="D15" s="3028" t="s">
        <v>4182</v>
      </c>
      <c r="E15" s="3028"/>
      <c r="F15" s="3028"/>
      <c r="G15" s="3028"/>
      <c r="H15" s="3028"/>
      <c r="I15" s="3028"/>
      <c r="J15" s="4507"/>
      <c r="K15" s="4508"/>
    </row>
    <row r="16" spans="1:11" ht="14.25" customHeight="1">
      <c r="A16" s="3028"/>
      <c r="B16" s="3028"/>
      <c r="C16" s="3041">
        <v>5</v>
      </c>
      <c r="D16" s="3028" t="s">
        <v>4183</v>
      </c>
      <c r="E16" s="3028"/>
      <c r="F16" s="3028"/>
      <c r="G16" s="3028"/>
      <c r="H16" s="3028"/>
      <c r="I16" s="3028"/>
      <c r="J16" s="4507"/>
      <c r="K16" s="4508"/>
    </row>
    <row r="17" spans="1:13" ht="14.25" customHeight="1">
      <c r="A17" s="3033"/>
      <c r="B17" s="3033"/>
      <c r="C17" s="3042">
        <v>6</v>
      </c>
      <c r="D17" s="3031" t="s">
        <v>4184</v>
      </c>
      <c r="E17" s="3031"/>
      <c r="F17" s="3031"/>
      <c r="G17" s="3031"/>
      <c r="H17" s="3031"/>
      <c r="I17" s="3031"/>
      <c r="J17" s="4505"/>
      <c r="K17" s="4506"/>
    </row>
    <row r="18" spans="1:13" ht="7.15" customHeight="1">
      <c r="A18" s="4509"/>
      <c r="B18" s="4509"/>
      <c r="C18" s="4509"/>
      <c r="D18" s="4510"/>
      <c r="E18" s="4510"/>
      <c r="F18" s="4510"/>
      <c r="G18" s="4510"/>
      <c r="H18" s="4510"/>
      <c r="I18" s="4510"/>
      <c r="J18" s="4510"/>
      <c r="K18" s="3038"/>
    </row>
    <row r="19" spans="1:13" ht="14.25" customHeight="1">
      <c r="A19" s="3028"/>
      <c r="B19" s="3028"/>
      <c r="C19" s="3039">
        <v>7</v>
      </c>
      <c r="D19" s="3040" t="s">
        <v>4185</v>
      </c>
      <c r="E19" s="3040"/>
      <c r="F19" s="3040"/>
      <c r="G19" s="3040"/>
      <c r="H19" s="3040"/>
      <c r="I19" s="3040"/>
      <c r="J19" s="4503" t="str">
        <f>IF(J17="No",J14-J15,IF(J17="Yes",J14-J15-J16,"Error"))</f>
        <v>Error</v>
      </c>
      <c r="K19" s="4504"/>
    </row>
    <row r="20" spans="1:13" ht="14.25" customHeight="1">
      <c r="A20" s="3033"/>
      <c r="B20" s="3033"/>
      <c r="C20" s="3042">
        <v>8</v>
      </c>
      <c r="D20" s="3031" t="s">
        <v>4186</v>
      </c>
      <c r="E20" s="3031"/>
      <c r="F20" s="3031"/>
      <c r="G20" s="3031"/>
      <c r="H20" s="3031"/>
      <c r="I20" s="3031"/>
      <c r="J20" s="4501" t="e">
        <f>ROUNDDOWN(J19/J8,2)</f>
        <v>#VALUE!</v>
      </c>
      <c r="K20" s="4502"/>
    </row>
    <row r="21" spans="1:13" ht="7.15" customHeight="1">
      <c r="A21" s="4509"/>
      <c r="B21" s="4509"/>
      <c r="C21" s="4509"/>
      <c r="D21" s="4510"/>
      <c r="E21" s="4510"/>
      <c r="F21" s="4510"/>
      <c r="G21" s="4510"/>
      <c r="H21" s="4510"/>
      <c r="I21" s="4510"/>
      <c r="J21" s="4510"/>
      <c r="K21" s="3038"/>
    </row>
    <row r="22" spans="1:13" ht="14.25" customHeight="1" thickBot="1">
      <c r="A22" s="3028"/>
      <c r="B22" s="3028"/>
      <c r="C22" s="3034">
        <v>9</v>
      </c>
      <c r="D22" s="3043" t="s">
        <v>4187</v>
      </c>
      <c r="E22" s="3043"/>
      <c r="F22" s="3043"/>
      <c r="G22" s="3043"/>
      <c r="H22" s="3043"/>
      <c r="I22" s="3043"/>
      <c r="J22" s="4499" t="e">
        <f>J11/J19</f>
        <v>#VALUE!</v>
      </c>
      <c r="K22" s="4500"/>
    </row>
    <row r="23" spans="1:13" ht="9" customHeight="1">
      <c r="A23" s="3044"/>
      <c r="C23" s="3045"/>
      <c r="D23" s="3045"/>
      <c r="E23" s="3045"/>
      <c r="F23" s="3045"/>
      <c r="G23" s="3045"/>
      <c r="H23" s="3045"/>
      <c r="I23" s="3045"/>
      <c r="J23" s="3045"/>
      <c r="K23" s="3046"/>
    </row>
    <row r="24" spans="1:13" ht="18.75">
      <c r="A24" s="3047" t="s">
        <v>4188</v>
      </c>
      <c r="C24" s="3045"/>
      <c r="D24" s="3045"/>
      <c r="E24" s="3045"/>
      <c r="F24" s="3045"/>
      <c r="G24" s="3045"/>
      <c r="H24" s="3045"/>
      <c r="I24" s="3045"/>
      <c r="J24" s="3045"/>
      <c r="K24" s="3046"/>
    </row>
    <row r="25" spans="1:13" ht="14.25" customHeight="1">
      <c r="A25" s="3048" t="s">
        <v>4219</v>
      </c>
      <c r="C25" s="3045"/>
      <c r="D25" s="3045"/>
      <c r="E25" s="3045"/>
      <c r="F25" s="3045"/>
      <c r="G25" s="3045"/>
      <c r="H25" s="3045"/>
      <c r="I25" s="3045"/>
      <c r="J25" s="3045"/>
      <c r="K25" s="3046"/>
    </row>
    <row r="26" spans="1:13" ht="14.25" customHeight="1">
      <c r="A26" s="3048" t="s">
        <v>4220</v>
      </c>
      <c r="C26" s="3045"/>
      <c r="D26" s="3045"/>
      <c r="E26" s="3045"/>
      <c r="F26" s="3045"/>
      <c r="G26" s="3045"/>
      <c r="H26" s="3045"/>
      <c r="I26" s="3045"/>
      <c r="J26" s="3045"/>
      <c r="K26" s="3046"/>
    </row>
    <row r="27" spans="1:13" ht="14.25" customHeight="1">
      <c r="A27" s="3048" t="s">
        <v>4221</v>
      </c>
      <c r="C27" s="3045"/>
      <c r="D27" s="3045"/>
      <c r="E27" s="3045"/>
      <c r="F27" s="3045"/>
      <c r="G27" s="3045"/>
      <c r="H27" s="3045"/>
      <c r="I27" s="3045"/>
      <c r="J27" s="3045"/>
      <c r="K27" s="3046"/>
    </row>
    <row r="28" spans="1:13" ht="14.25" customHeight="1">
      <c r="A28" s="3048" t="s">
        <v>4222</v>
      </c>
      <c r="C28" s="3045"/>
      <c r="D28" s="3045"/>
      <c r="E28" s="3045"/>
      <c r="F28" s="3045"/>
      <c r="G28" s="3045"/>
      <c r="H28" s="3045"/>
      <c r="I28" s="3045"/>
      <c r="J28" s="3045"/>
      <c r="K28" s="3046"/>
    </row>
    <row r="29" spans="1:13" ht="9" customHeight="1">
      <c r="A29" s="3045"/>
      <c r="C29" s="3045"/>
      <c r="D29" s="3045"/>
      <c r="E29" s="3045"/>
      <c r="F29" s="3045"/>
      <c r="G29" s="3045"/>
      <c r="H29" s="3045"/>
      <c r="I29" s="3045"/>
      <c r="J29" s="3045"/>
      <c r="K29" s="3046"/>
    </row>
    <row r="30" spans="1:13">
      <c r="A30" s="4546" t="s">
        <v>4218</v>
      </c>
      <c r="B30" s="4547"/>
      <c r="C30" s="4547"/>
      <c r="D30" s="4547"/>
      <c r="E30" s="4547"/>
      <c r="F30" s="4547"/>
      <c r="G30" s="4547"/>
      <c r="H30" s="4547"/>
      <c r="I30" s="4547"/>
      <c r="J30" s="4547"/>
      <c r="K30" s="4548"/>
    </row>
    <row r="31" spans="1:13">
      <c r="A31" s="3049"/>
      <c r="B31" s="4549" t="s">
        <v>6424</v>
      </c>
      <c r="C31" s="4549"/>
      <c r="D31" s="4549"/>
      <c r="E31" s="4549"/>
      <c r="F31" s="4549"/>
      <c r="G31" s="4550" t="s">
        <v>4189</v>
      </c>
      <c r="H31" s="4551"/>
      <c r="I31" s="4551"/>
      <c r="J31" s="4551"/>
      <c r="K31" s="4552"/>
    </row>
    <row r="32" spans="1:13" ht="56.25" customHeight="1">
      <c r="A32" s="3050"/>
      <c r="B32" s="3051" t="s">
        <v>4217</v>
      </c>
      <c r="C32" s="3052" t="s">
        <v>4213</v>
      </c>
      <c r="D32" s="3052" t="s">
        <v>4212</v>
      </c>
      <c r="E32" s="4553" t="s">
        <v>6316</v>
      </c>
      <c r="F32" s="4554"/>
      <c r="G32" s="3053" t="s">
        <v>4190</v>
      </c>
      <c r="H32" s="3053" t="s">
        <v>4191</v>
      </c>
      <c r="J32" s="3053" t="s">
        <v>4192</v>
      </c>
      <c r="K32" s="3053" t="s">
        <v>4193</v>
      </c>
      <c r="L32" s="4555" t="s">
        <v>4194</v>
      </c>
      <c r="M32" s="4555"/>
    </row>
    <row r="33" spans="2:14" ht="12.75" customHeight="1">
      <c r="B33" s="3054"/>
      <c r="C33" s="3055"/>
      <c r="D33" s="3056"/>
      <c r="E33" s="4556"/>
      <c r="F33" s="4557"/>
      <c r="G33" s="3057" t="e">
        <f t="shared" ref="G33:G51" si="0">$J$22*B33</f>
        <v>#VALUE!</v>
      </c>
      <c r="H33" s="3058" t="e">
        <f>ROUNDUP(G33,0)</f>
        <v>#VALUE!</v>
      </c>
      <c r="I33" s="3059"/>
      <c r="J33" s="3060" t="e">
        <f t="shared" ref="J33:J51" si="1">$J$20*E33</f>
        <v>#VALUE!</v>
      </c>
      <c r="K33" s="3060" t="e">
        <f t="shared" ref="K33:K51" si="2">ROUNDDOWN(J33*H33,0)</f>
        <v>#VALUE!</v>
      </c>
      <c r="L33" s="4555"/>
      <c r="M33" s="4555"/>
    </row>
    <row r="34" spans="2:14" ht="12.75" customHeight="1">
      <c r="B34" s="3061"/>
      <c r="C34" s="3062"/>
      <c r="D34" s="3063"/>
      <c r="E34" s="4537"/>
      <c r="F34" s="4538"/>
      <c r="G34" s="3064" t="e">
        <f t="shared" si="0"/>
        <v>#VALUE!</v>
      </c>
      <c r="H34" s="3065" t="e">
        <f t="shared" ref="H34:H51" si="3">ROUNDUP(G34,0)</f>
        <v>#VALUE!</v>
      </c>
      <c r="I34" s="3059"/>
      <c r="J34" s="3066" t="e">
        <f t="shared" si="1"/>
        <v>#VALUE!</v>
      </c>
      <c r="K34" s="3066" t="e">
        <f t="shared" si="2"/>
        <v>#VALUE!</v>
      </c>
      <c r="L34" s="4555"/>
      <c r="M34" s="4555"/>
    </row>
    <row r="35" spans="2:14" ht="12.75" customHeight="1">
      <c r="B35" s="3061"/>
      <c r="C35" s="3062"/>
      <c r="D35" s="3063"/>
      <c r="E35" s="4537"/>
      <c r="F35" s="4538"/>
      <c r="G35" s="3064" t="e">
        <f t="shared" si="0"/>
        <v>#VALUE!</v>
      </c>
      <c r="H35" s="3065" t="e">
        <f t="shared" si="3"/>
        <v>#VALUE!</v>
      </c>
      <c r="I35" s="3059"/>
      <c r="J35" s="3066" t="e">
        <f t="shared" si="1"/>
        <v>#VALUE!</v>
      </c>
      <c r="K35" s="3066" t="e">
        <f t="shared" si="2"/>
        <v>#VALUE!</v>
      </c>
      <c r="L35" s="4555"/>
      <c r="M35" s="4555"/>
    </row>
    <row r="36" spans="2:14" ht="12.75" customHeight="1">
      <c r="B36" s="3061"/>
      <c r="C36" s="3062"/>
      <c r="D36" s="3063"/>
      <c r="E36" s="4537"/>
      <c r="F36" s="4538"/>
      <c r="G36" s="3064" t="e">
        <f t="shared" si="0"/>
        <v>#VALUE!</v>
      </c>
      <c r="H36" s="3065" t="e">
        <f t="shared" si="3"/>
        <v>#VALUE!</v>
      </c>
      <c r="I36" s="3059"/>
      <c r="J36" s="3066" t="e">
        <f t="shared" si="1"/>
        <v>#VALUE!</v>
      </c>
      <c r="K36" s="3066" t="e">
        <f t="shared" si="2"/>
        <v>#VALUE!</v>
      </c>
      <c r="L36" s="4555"/>
      <c r="M36" s="4555"/>
      <c r="N36" s="3067"/>
    </row>
    <row r="37" spans="2:14" ht="12.75" customHeight="1">
      <c r="B37" s="3061"/>
      <c r="C37" s="3062"/>
      <c r="D37" s="3063"/>
      <c r="E37" s="4537"/>
      <c r="F37" s="4538"/>
      <c r="G37" s="3064" t="e">
        <f t="shared" si="0"/>
        <v>#VALUE!</v>
      </c>
      <c r="H37" s="3065" t="e">
        <f t="shared" si="3"/>
        <v>#VALUE!</v>
      </c>
      <c r="I37" s="3059"/>
      <c r="J37" s="3066" t="e">
        <f t="shared" si="1"/>
        <v>#VALUE!</v>
      </c>
      <c r="K37" s="3066" t="e">
        <f t="shared" si="2"/>
        <v>#VALUE!</v>
      </c>
      <c r="L37" s="4555"/>
      <c r="M37" s="4555"/>
    </row>
    <row r="38" spans="2:14" ht="12.75" customHeight="1">
      <c r="B38" s="3061"/>
      <c r="C38" s="3062"/>
      <c r="D38" s="3063"/>
      <c r="E38" s="4537"/>
      <c r="F38" s="4538"/>
      <c r="G38" s="3064" t="e">
        <f t="shared" si="0"/>
        <v>#VALUE!</v>
      </c>
      <c r="H38" s="3065" t="e">
        <f t="shared" si="3"/>
        <v>#VALUE!</v>
      </c>
      <c r="I38" s="3059"/>
      <c r="J38" s="3066" t="e">
        <f t="shared" si="1"/>
        <v>#VALUE!</v>
      </c>
      <c r="K38" s="3066" t="e">
        <f t="shared" si="2"/>
        <v>#VALUE!</v>
      </c>
      <c r="L38" s="4555"/>
      <c r="M38" s="4555"/>
    </row>
    <row r="39" spans="2:14" ht="12.75" customHeight="1">
      <c r="B39" s="3061"/>
      <c r="C39" s="3062"/>
      <c r="D39" s="3063"/>
      <c r="E39" s="4537"/>
      <c r="F39" s="4538"/>
      <c r="G39" s="3064" t="e">
        <f t="shared" si="0"/>
        <v>#VALUE!</v>
      </c>
      <c r="H39" s="3065" t="e">
        <f t="shared" si="3"/>
        <v>#VALUE!</v>
      </c>
      <c r="I39" s="3059"/>
      <c r="J39" s="3066" t="e">
        <f t="shared" si="1"/>
        <v>#VALUE!</v>
      </c>
      <c r="K39" s="3066" t="e">
        <f t="shared" si="2"/>
        <v>#VALUE!</v>
      </c>
      <c r="L39" s="4555"/>
      <c r="M39" s="4555"/>
    </row>
    <row r="40" spans="2:14" ht="12.75" customHeight="1">
      <c r="B40" s="3061"/>
      <c r="C40" s="3062"/>
      <c r="D40" s="3063"/>
      <c r="E40" s="4537"/>
      <c r="F40" s="4538"/>
      <c r="G40" s="3064" t="e">
        <f t="shared" si="0"/>
        <v>#VALUE!</v>
      </c>
      <c r="H40" s="3065" t="e">
        <f t="shared" si="3"/>
        <v>#VALUE!</v>
      </c>
      <c r="I40" s="3059"/>
      <c r="J40" s="3066" t="e">
        <f t="shared" si="1"/>
        <v>#VALUE!</v>
      </c>
      <c r="K40" s="3066" t="e">
        <f t="shared" si="2"/>
        <v>#VALUE!</v>
      </c>
      <c r="L40" s="4555"/>
      <c r="M40" s="4555"/>
    </row>
    <row r="41" spans="2:14" ht="12.75" customHeight="1">
      <c r="B41" s="3061"/>
      <c r="C41" s="3062"/>
      <c r="D41" s="3063"/>
      <c r="E41" s="4537"/>
      <c r="F41" s="4538"/>
      <c r="G41" s="3064" t="e">
        <f t="shared" si="0"/>
        <v>#VALUE!</v>
      </c>
      <c r="H41" s="3065" t="e">
        <f t="shared" si="3"/>
        <v>#VALUE!</v>
      </c>
      <c r="I41" s="3059"/>
      <c r="J41" s="3066" t="e">
        <f t="shared" si="1"/>
        <v>#VALUE!</v>
      </c>
      <c r="K41" s="3066" t="e">
        <f t="shared" si="2"/>
        <v>#VALUE!</v>
      </c>
      <c r="L41" s="4555"/>
      <c r="M41" s="4555"/>
    </row>
    <row r="42" spans="2:14" ht="12.75" customHeight="1">
      <c r="B42" s="3061"/>
      <c r="C42" s="3062"/>
      <c r="D42" s="3063"/>
      <c r="E42" s="4537"/>
      <c r="F42" s="4538"/>
      <c r="G42" s="3064" t="e">
        <f t="shared" si="0"/>
        <v>#VALUE!</v>
      </c>
      <c r="H42" s="3065" t="e">
        <f t="shared" si="3"/>
        <v>#VALUE!</v>
      </c>
      <c r="I42" s="3059"/>
      <c r="J42" s="3066" t="e">
        <f t="shared" si="1"/>
        <v>#VALUE!</v>
      </c>
      <c r="K42" s="3066" t="e">
        <f t="shared" si="2"/>
        <v>#VALUE!</v>
      </c>
      <c r="L42" s="4555"/>
      <c r="M42" s="4555"/>
    </row>
    <row r="43" spans="2:14" ht="12.75" customHeight="1">
      <c r="B43" s="3061"/>
      <c r="C43" s="3062"/>
      <c r="D43" s="3063"/>
      <c r="E43" s="4537"/>
      <c r="F43" s="4538"/>
      <c r="G43" s="3064" t="e">
        <f t="shared" si="0"/>
        <v>#VALUE!</v>
      </c>
      <c r="H43" s="3065" t="e">
        <f t="shared" si="3"/>
        <v>#VALUE!</v>
      </c>
      <c r="I43" s="3059"/>
      <c r="J43" s="3066" t="e">
        <f t="shared" si="1"/>
        <v>#VALUE!</v>
      </c>
      <c r="K43" s="3066" t="e">
        <f t="shared" si="2"/>
        <v>#VALUE!</v>
      </c>
      <c r="L43" s="4555"/>
      <c r="M43" s="4555"/>
    </row>
    <row r="44" spans="2:14" ht="12.75" customHeight="1">
      <c r="B44" s="3061"/>
      <c r="C44" s="3062"/>
      <c r="D44" s="3063"/>
      <c r="E44" s="4537"/>
      <c r="F44" s="4538"/>
      <c r="G44" s="3064" t="e">
        <f t="shared" si="0"/>
        <v>#VALUE!</v>
      </c>
      <c r="H44" s="3065" t="e">
        <f t="shared" si="3"/>
        <v>#VALUE!</v>
      </c>
      <c r="I44" s="3059"/>
      <c r="J44" s="3066" t="e">
        <f t="shared" si="1"/>
        <v>#VALUE!</v>
      </c>
      <c r="K44" s="3066" t="e">
        <f t="shared" si="2"/>
        <v>#VALUE!</v>
      </c>
      <c r="L44" s="4555"/>
      <c r="M44" s="4555"/>
    </row>
    <row r="45" spans="2:14" ht="12.75" customHeight="1">
      <c r="B45" s="3061"/>
      <c r="C45" s="3062"/>
      <c r="D45" s="3063"/>
      <c r="E45" s="4537"/>
      <c r="F45" s="4538"/>
      <c r="G45" s="3064" t="e">
        <f t="shared" si="0"/>
        <v>#VALUE!</v>
      </c>
      <c r="H45" s="3065" t="e">
        <f t="shared" si="3"/>
        <v>#VALUE!</v>
      </c>
      <c r="I45" s="3059"/>
      <c r="J45" s="3066" t="e">
        <f t="shared" si="1"/>
        <v>#VALUE!</v>
      </c>
      <c r="K45" s="3066" t="e">
        <f t="shared" si="2"/>
        <v>#VALUE!</v>
      </c>
      <c r="L45" s="4555"/>
      <c r="M45" s="4555"/>
    </row>
    <row r="46" spans="2:14" ht="12.75" customHeight="1">
      <c r="B46" s="3061"/>
      <c r="C46" s="3062"/>
      <c r="D46" s="3063"/>
      <c r="E46" s="4537"/>
      <c r="F46" s="4538"/>
      <c r="G46" s="3064" t="e">
        <f t="shared" si="0"/>
        <v>#VALUE!</v>
      </c>
      <c r="H46" s="3065" t="e">
        <f t="shared" si="3"/>
        <v>#VALUE!</v>
      </c>
      <c r="I46" s="3059"/>
      <c r="J46" s="3066" t="e">
        <f t="shared" si="1"/>
        <v>#VALUE!</v>
      </c>
      <c r="K46" s="3066" t="e">
        <f t="shared" si="2"/>
        <v>#VALUE!</v>
      </c>
      <c r="L46" s="4555"/>
      <c r="M46" s="4555"/>
    </row>
    <row r="47" spans="2:14" ht="12.75" customHeight="1">
      <c r="B47" s="3061"/>
      <c r="C47" s="3062"/>
      <c r="D47" s="3063"/>
      <c r="E47" s="4537"/>
      <c r="F47" s="4538"/>
      <c r="G47" s="3064" t="e">
        <f t="shared" si="0"/>
        <v>#VALUE!</v>
      </c>
      <c r="H47" s="3065" t="e">
        <f t="shared" si="3"/>
        <v>#VALUE!</v>
      </c>
      <c r="I47" s="3059"/>
      <c r="J47" s="3066" t="e">
        <f t="shared" si="1"/>
        <v>#VALUE!</v>
      </c>
      <c r="K47" s="3066" t="e">
        <f t="shared" si="2"/>
        <v>#VALUE!</v>
      </c>
      <c r="L47" s="4555"/>
      <c r="M47" s="4555"/>
    </row>
    <row r="48" spans="2:14" ht="12.75" customHeight="1">
      <c r="B48" s="3061"/>
      <c r="C48" s="3062"/>
      <c r="D48" s="3063"/>
      <c r="E48" s="4537"/>
      <c r="F48" s="4538"/>
      <c r="G48" s="3064" t="e">
        <f t="shared" si="0"/>
        <v>#VALUE!</v>
      </c>
      <c r="H48" s="3065" t="e">
        <f t="shared" si="3"/>
        <v>#VALUE!</v>
      </c>
      <c r="I48" s="3059"/>
      <c r="J48" s="3066" t="e">
        <f t="shared" si="1"/>
        <v>#VALUE!</v>
      </c>
      <c r="K48" s="3066" t="e">
        <f t="shared" si="2"/>
        <v>#VALUE!</v>
      </c>
      <c r="L48" s="4555"/>
      <c r="M48" s="4555"/>
    </row>
    <row r="49" spans="1:13" ht="12.75" customHeight="1">
      <c r="B49" s="3061"/>
      <c r="C49" s="3062"/>
      <c r="D49" s="3063"/>
      <c r="E49" s="4537"/>
      <c r="F49" s="4538"/>
      <c r="G49" s="3064" t="e">
        <f t="shared" si="0"/>
        <v>#VALUE!</v>
      </c>
      <c r="H49" s="3065" t="e">
        <f t="shared" si="3"/>
        <v>#VALUE!</v>
      </c>
      <c r="I49" s="3059"/>
      <c r="J49" s="3066" t="e">
        <f t="shared" si="1"/>
        <v>#VALUE!</v>
      </c>
      <c r="K49" s="3066" t="e">
        <f t="shared" si="2"/>
        <v>#VALUE!</v>
      </c>
      <c r="L49" s="4555"/>
      <c r="M49" s="4555"/>
    </row>
    <row r="50" spans="1:13" ht="12.75" customHeight="1">
      <c r="B50" s="3061"/>
      <c r="C50" s="3062"/>
      <c r="D50" s="3063"/>
      <c r="E50" s="4537"/>
      <c r="F50" s="4538"/>
      <c r="G50" s="3064" t="e">
        <f t="shared" si="0"/>
        <v>#VALUE!</v>
      </c>
      <c r="H50" s="3065" t="e">
        <f t="shared" si="3"/>
        <v>#VALUE!</v>
      </c>
      <c r="I50" s="3059"/>
      <c r="J50" s="3066" t="e">
        <f t="shared" si="1"/>
        <v>#VALUE!</v>
      </c>
      <c r="K50" s="3066" t="e">
        <f t="shared" si="2"/>
        <v>#VALUE!</v>
      </c>
      <c r="L50" s="4555"/>
      <c r="M50" s="4555"/>
    </row>
    <row r="51" spans="1:13" ht="12.75" customHeight="1" thickBot="1">
      <c r="B51" s="3068"/>
      <c r="C51" s="3069"/>
      <c r="D51" s="3070"/>
      <c r="E51" s="4539"/>
      <c r="F51" s="4540"/>
      <c r="G51" s="3071" t="e">
        <f t="shared" si="0"/>
        <v>#VALUE!</v>
      </c>
      <c r="H51" s="3072" t="e">
        <f t="shared" si="3"/>
        <v>#VALUE!</v>
      </c>
      <c r="I51" s="3059"/>
      <c r="J51" s="3073" t="e">
        <f t="shared" si="1"/>
        <v>#VALUE!</v>
      </c>
      <c r="K51" s="3073" t="e">
        <f t="shared" si="2"/>
        <v>#VALUE!</v>
      </c>
      <c r="L51" s="4555"/>
      <c r="M51" s="4555"/>
    </row>
    <row r="52" spans="1:13" ht="15" customHeight="1" thickBot="1">
      <c r="A52" s="3049"/>
      <c r="B52" s="3074"/>
      <c r="D52" s="3040"/>
      <c r="E52" s="3040"/>
      <c r="F52" s="3040"/>
      <c r="G52" s="3075" t="s">
        <v>4195</v>
      </c>
      <c r="H52" s="3076" t="e">
        <f>SUM(H33:H51)</f>
        <v>#VALUE!</v>
      </c>
      <c r="I52" s="3040"/>
      <c r="J52" s="3074" t="s">
        <v>4196</v>
      </c>
      <c r="K52" s="3077" t="e">
        <f>SUM(K33:K51)</f>
        <v>#VALUE!</v>
      </c>
      <c r="L52" s="4555"/>
      <c r="M52" s="4555"/>
    </row>
    <row r="53" spans="1:13" ht="15" customHeight="1">
      <c r="A53" s="3049"/>
      <c r="B53" s="3078"/>
      <c r="C53" s="4541" t="s">
        <v>4197</v>
      </c>
      <c r="D53" s="4541"/>
      <c r="E53" s="4541"/>
      <c r="F53" s="4541"/>
      <c r="G53" s="4541"/>
      <c r="H53" s="4541"/>
      <c r="I53" s="4541"/>
      <c r="J53" s="4542"/>
      <c r="K53" s="3079" t="str">
        <f>IF(J17="no",0,IF(J17="yes",J16,"Error"))</f>
        <v>Error</v>
      </c>
      <c r="L53" s="4555"/>
      <c r="M53" s="4555"/>
    </row>
    <row r="54" spans="1:13" ht="15" customHeight="1" thickBot="1">
      <c r="A54" s="3049"/>
      <c r="B54" s="3078"/>
      <c r="C54" s="4543" t="s">
        <v>4198</v>
      </c>
      <c r="D54" s="4543"/>
      <c r="E54" s="4543"/>
      <c r="F54" s="4543"/>
      <c r="G54" s="4543"/>
      <c r="H54" s="4543"/>
      <c r="I54" s="4543"/>
      <c r="J54" s="4544"/>
      <c r="K54" s="3080" t="e">
        <f>K52+K53</f>
        <v>#VALUE!</v>
      </c>
    </row>
    <row r="55" spans="1:13" ht="7.9" customHeight="1">
      <c r="A55" s="4545"/>
      <c r="B55" s="4511"/>
      <c r="C55" s="4511"/>
      <c r="D55" s="4511"/>
      <c r="E55" s="4511"/>
      <c r="F55" s="4511"/>
      <c r="G55" s="4511"/>
      <c r="H55" s="4511"/>
      <c r="I55" s="4511"/>
      <c r="J55" s="4511"/>
      <c r="K55" s="3081"/>
    </row>
    <row r="56" spans="1:13" ht="15" customHeight="1">
      <c r="A56" s="4512" t="s">
        <v>4199</v>
      </c>
      <c r="B56" s="4513"/>
      <c r="C56" s="4513"/>
      <c r="D56" s="4513"/>
      <c r="E56" s="4513"/>
      <c r="F56" s="4513"/>
      <c r="G56" s="4513"/>
      <c r="H56" s="4513"/>
      <c r="I56" s="4513"/>
      <c r="J56" s="4513"/>
      <c r="K56" s="4514"/>
    </row>
    <row r="57" spans="1:13" ht="48" customHeight="1">
      <c r="A57" s="3082"/>
      <c r="B57" s="3083"/>
      <c r="C57" s="3084" t="s">
        <v>4200</v>
      </c>
      <c r="D57" s="3085" t="s">
        <v>6276</v>
      </c>
      <c r="E57" s="4526" t="s">
        <v>4216</v>
      </c>
      <c r="F57" s="4527"/>
      <c r="G57" s="4528" t="s">
        <v>4201</v>
      </c>
      <c r="H57" s="4529"/>
      <c r="I57" s="4526" t="s">
        <v>4215</v>
      </c>
      <c r="J57" s="4527"/>
      <c r="K57" s="4530"/>
    </row>
    <row r="58" spans="1:13" ht="15" customHeight="1">
      <c r="A58" s="3086"/>
      <c r="B58" s="3087"/>
      <c r="C58" s="3088">
        <f>SUMIF(C33:C51, "0", H33:H51)</f>
        <v>0</v>
      </c>
      <c r="D58" s="3089">
        <f t="shared" ref="D58:D63" si="4">ROUNDUP(C58*1.1,0)</f>
        <v>0</v>
      </c>
      <c r="E58" s="4532" t="s">
        <v>4202</v>
      </c>
      <c r="F58" s="4533"/>
      <c r="G58" s="4534">
        <v>153314.4</v>
      </c>
      <c r="H58" s="4535"/>
      <c r="I58" s="4536">
        <f t="shared" ref="I58:I63" si="5">D58*G58</f>
        <v>0</v>
      </c>
      <c r="J58" s="4536"/>
      <c r="K58" s="4531"/>
    </row>
    <row r="59" spans="1:13">
      <c r="A59" s="3086"/>
      <c r="B59" s="3087"/>
      <c r="C59" s="3090">
        <f>SUMIF(C33:C51, "1", H33:H51)</f>
        <v>0</v>
      </c>
      <c r="D59" s="3091">
        <f t="shared" si="4"/>
        <v>0</v>
      </c>
      <c r="E59" s="4516" t="s">
        <v>2560</v>
      </c>
      <c r="F59" s="4517"/>
      <c r="G59" s="4518">
        <v>175752</v>
      </c>
      <c r="H59" s="4519"/>
      <c r="I59" s="4520">
        <f t="shared" si="5"/>
        <v>0</v>
      </c>
      <c r="J59" s="4520"/>
      <c r="K59" s="4531"/>
    </row>
    <row r="60" spans="1:13" ht="15" customHeight="1">
      <c r="A60" s="3086"/>
      <c r="B60" s="3087"/>
      <c r="C60" s="3090">
        <f>SUMIF(C33:C51, "2", H33:H51)</f>
        <v>0</v>
      </c>
      <c r="D60" s="3091">
        <f t="shared" si="4"/>
        <v>0</v>
      </c>
      <c r="E60" s="4516" t="s">
        <v>2561</v>
      </c>
      <c r="F60" s="4517"/>
      <c r="G60" s="4518">
        <v>213717.6</v>
      </c>
      <c r="H60" s="4519"/>
      <c r="I60" s="4520">
        <f t="shared" si="5"/>
        <v>0</v>
      </c>
      <c r="J60" s="4520"/>
      <c r="K60" s="4531"/>
    </row>
    <row r="61" spans="1:13">
      <c r="A61" s="3086"/>
      <c r="B61" s="3087"/>
      <c r="C61" s="3090">
        <f>SUMIF(C33:C51, "3", H33:H51)</f>
        <v>0</v>
      </c>
      <c r="D61" s="3091">
        <f t="shared" si="4"/>
        <v>0</v>
      </c>
      <c r="E61" s="4516" t="s">
        <v>2564</v>
      </c>
      <c r="F61" s="4517"/>
      <c r="G61" s="4518">
        <v>276482.40000000002</v>
      </c>
      <c r="H61" s="4519"/>
      <c r="I61" s="4520">
        <f t="shared" si="5"/>
        <v>0</v>
      </c>
      <c r="J61" s="4520"/>
      <c r="K61" s="4531"/>
    </row>
    <row r="62" spans="1:13">
      <c r="A62" s="3086"/>
      <c r="B62" s="3087"/>
      <c r="C62" s="3090">
        <f>SUMIF(C33:C51, "4", H33:H51)</f>
        <v>0</v>
      </c>
      <c r="D62" s="3091">
        <f t="shared" si="4"/>
        <v>0</v>
      </c>
      <c r="E62" s="4516" t="s">
        <v>4203</v>
      </c>
      <c r="F62" s="4517"/>
      <c r="G62" s="4518">
        <v>303489.59999999998</v>
      </c>
      <c r="H62" s="4519"/>
      <c r="I62" s="4520">
        <f t="shared" si="5"/>
        <v>0</v>
      </c>
      <c r="J62" s="4520"/>
      <c r="K62" s="4531"/>
    </row>
    <row r="63" spans="1:13">
      <c r="A63" s="3092"/>
      <c r="B63" s="3093"/>
      <c r="C63" s="3094">
        <f>SUMIF(C33:C51, "5", H33:H51)</f>
        <v>0</v>
      </c>
      <c r="D63" s="3095">
        <f t="shared" si="4"/>
        <v>0</v>
      </c>
      <c r="E63" s="4521" t="s">
        <v>4204</v>
      </c>
      <c r="F63" s="4522"/>
      <c r="G63" s="4523">
        <v>303489.59999999998</v>
      </c>
      <c r="H63" s="4524"/>
      <c r="I63" s="4525">
        <f t="shared" si="5"/>
        <v>0</v>
      </c>
      <c r="J63" s="4525"/>
      <c r="K63" s="3096"/>
    </row>
    <row r="64" spans="1:13" ht="17.25" thickBot="1">
      <c r="A64" s="3097" t="s">
        <v>4205</v>
      </c>
      <c r="B64" s="3098">
        <f>SUM(C58:C63)</f>
        <v>0</v>
      </c>
      <c r="C64" s="3099"/>
      <c r="D64" s="3099">
        <f>SUM(D58:D63)</f>
        <v>0</v>
      </c>
      <c r="E64" s="3100"/>
      <c r="F64" s="3100"/>
      <c r="G64" s="3100"/>
      <c r="H64" s="3100"/>
      <c r="I64" s="3100"/>
      <c r="J64" s="3101" t="s">
        <v>4206</v>
      </c>
      <c r="K64" s="3102">
        <f>SUM(I58:I62)</f>
        <v>0</v>
      </c>
    </row>
    <row r="65" spans="1:11">
      <c r="A65" s="4511"/>
      <c r="B65" s="4511"/>
      <c r="C65" s="4511"/>
      <c r="D65" s="4511"/>
      <c r="E65" s="4511"/>
      <c r="F65" s="4511"/>
      <c r="G65" s="4511"/>
      <c r="H65" s="4511"/>
      <c r="I65" s="4511"/>
      <c r="J65" s="4511"/>
    </row>
    <row r="66" spans="1:11">
      <c r="A66" s="4512" t="s">
        <v>4207</v>
      </c>
      <c r="B66" s="4513"/>
      <c r="C66" s="4513"/>
      <c r="D66" s="4513"/>
      <c r="E66" s="4513"/>
      <c r="F66" s="4513"/>
      <c r="G66" s="4513"/>
      <c r="H66" s="4513"/>
      <c r="I66" s="4513"/>
      <c r="J66" s="4513"/>
      <c r="K66" s="4514"/>
    </row>
    <row r="67" spans="1:11" ht="15" customHeight="1">
      <c r="A67" s="3103"/>
      <c r="B67" s="3104"/>
      <c r="C67" s="3105"/>
      <c r="D67" s="3105"/>
      <c r="E67" s="3105" t="s">
        <v>4208</v>
      </c>
      <c r="F67" s="3105"/>
      <c r="G67" s="3105"/>
      <c r="H67" s="3105"/>
      <c r="I67" s="3105"/>
      <c r="J67" s="3106"/>
      <c r="K67" s="3107">
        <f>J11</f>
        <v>0</v>
      </c>
    </row>
    <row r="68" spans="1:11">
      <c r="A68" s="3108"/>
      <c r="B68" s="3049"/>
      <c r="C68" s="3109"/>
      <c r="D68" s="3109"/>
      <c r="E68" s="3109" t="s">
        <v>4209</v>
      </c>
      <c r="F68" s="3109"/>
      <c r="G68" s="3109"/>
      <c r="H68" s="3109"/>
      <c r="I68" s="3109"/>
      <c r="J68" s="3110"/>
      <c r="K68" s="3107" t="e">
        <f>K54</f>
        <v>#VALUE!</v>
      </c>
    </row>
    <row r="69" spans="1:11" ht="17.25" thickBot="1">
      <c r="A69" s="3111"/>
      <c r="B69" s="3112"/>
      <c r="C69" s="3113"/>
      <c r="D69" s="3113"/>
      <c r="E69" s="3113" t="s">
        <v>4210</v>
      </c>
      <c r="F69" s="3113"/>
      <c r="G69" s="3113"/>
      <c r="H69" s="3113"/>
      <c r="I69" s="3113"/>
      <c r="J69" s="3114"/>
      <c r="K69" s="3115">
        <f>K64</f>
        <v>0</v>
      </c>
    </row>
    <row r="70" spans="1:11" ht="17.25" thickBot="1">
      <c r="A70" s="3116"/>
      <c r="B70" s="3117"/>
      <c r="C70" s="4515" t="s">
        <v>4211</v>
      </c>
      <c r="D70" s="4515"/>
      <c r="E70" s="4515"/>
      <c r="F70" s="4515"/>
      <c r="G70" s="4515"/>
      <c r="H70" s="4515"/>
      <c r="I70" s="4515"/>
      <c r="J70" s="4515"/>
      <c r="K70" s="3118" t="e">
        <f>IF(ISBLANK(J11),MIN(K68:K69),MIN(K67:K69))</f>
        <v>#VALUE!</v>
      </c>
    </row>
    <row r="71" spans="1:11">
      <c r="E71" s="3023"/>
    </row>
    <row r="72" spans="1:11">
      <c r="E72" s="3023"/>
    </row>
    <row r="73" spans="1:11">
      <c r="E73" s="3023"/>
    </row>
    <row r="74" spans="1:11">
      <c r="E74" s="3023"/>
    </row>
    <row r="75" spans="1:11">
      <c r="E75" s="3023"/>
    </row>
    <row r="76" spans="1:11">
      <c r="E76" s="3023"/>
    </row>
    <row r="77" spans="1:11">
      <c r="E77" s="3023"/>
    </row>
    <row r="78" spans="1:11">
      <c r="E78" s="3023"/>
    </row>
    <row r="79" spans="1:11">
      <c r="E79" s="3023"/>
    </row>
  </sheetData>
  <sheetProtection algorithmName="SHA-512" hashValue="nHabEXt0quYlKUi+aybreUTvzzViGPDDRNJ0hol8g0VxTly85bRBlnZCmXPRDggMEIRjl3k2SZppUGg37DWvMw==" saltValue="LSeMfE80EE8AQB8udG9zcg=="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4170</v>
      </c>
      <c r="B1" s="1460"/>
      <c r="C1" s="1460"/>
      <c r="D1" s="1460"/>
      <c r="E1" s="1460"/>
      <c r="F1" s="1460"/>
      <c r="G1" s="1460"/>
      <c r="H1" s="1460"/>
    </row>
    <row r="2" spans="1:11" ht="19.5" thickBot="1">
      <c r="A2" s="1460" t="s">
        <v>4171</v>
      </c>
      <c r="B2" s="1460"/>
      <c r="C2" s="1460"/>
      <c r="D2" s="1460"/>
      <c r="E2" s="1460"/>
      <c r="F2" s="1460"/>
      <c r="G2" s="1460"/>
      <c r="H2" s="1460"/>
    </row>
    <row r="3" spans="1:11" ht="15" customHeight="1" thickBot="1">
      <c r="A3" s="1411" t="s">
        <v>4172</v>
      </c>
      <c r="B3" s="1412"/>
      <c r="C3" s="1413"/>
      <c r="D3" s="4653" t="str">
        <f>'Part I-Project Information'!F35</f>
        <v>The Peaks at Turnberry</v>
      </c>
      <c r="E3" s="4654"/>
      <c r="F3" s="4654"/>
      <c r="G3" s="4654"/>
      <c r="H3" s="4654"/>
      <c r="I3" s="4654"/>
      <c r="J3" s="4659" t="s">
        <v>4175</v>
      </c>
      <c r="K3" s="4660"/>
    </row>
    <row r="4" spans="1:11" ht="15" customHeight="1">
      <c r="A4" s="1415" t="s">
        <v>4173</v>
      </c>
      <c r="B4" s="1416"/>
      <c r="C4" s="1417"/>
      <c r="D4" s="4655" t="str">
        <f>CONCATENATE('Part I-Project Information'!F36,", ",'Part I-Project Information'!F39,", GA ",'Part I-Project Information'!J39," (",'Part I-Project Information'!J40," Co.)",)</f>
        <v>Off of GA-21 , Rincon, GA 313265469 (Effingham Co.)</v>
      </c>
      <c r="E4" s="4656"/>
      <c r="F4" s="4656"/>
      <c r="G4" s="4656"/>
      <c r="H4" s="4656"/>
      <c r="I4" s="4656"/>
      <c r="J4" s="4661" t="s">
        <v>4214</v>
      </c>
      <c r="K4" s="4662"/>
    </row>
    <row r="5" spans="1:11" ht="15" customHeight="1" thickBot="1">
      <c r="A5" s="1418" t="s">
        <v>4174</v>
      </c>
      <c r="B5" s="1419"/>
      <c r="C5" s="1420"/>
      <c r="D5" s="4657"/>
      <c r="E5" s="4658"/>
      <c r="F5" s="4658"/>
      <c r="G5" s="4658"/>
      <c r="H5" s="4658"/>
      <c r="I5" s="4658"/>
      <c r="J5" s="4663"/>
      <c r="K5" s="4664"/>
    </row>
    <row r="6" spans="1:11" ht="9" customHeight="1" thickBot="1">
      <c r="E6" s="1410"/>
    </row>
    <row r="7" spans="1:11">
      <c r="A7" s="4650" t="s">
        <v>4176</v>
      </c>
      <c r="B7" s="4651"/>
      <c r="C7" s="4651"/>
      <c r="D7" s="4651"/>
      <c r="E7" s="4651"/>
      <c r="F7" s="4651"/>
      <c r="G7" s="4651"/>
      <c r="H7" s="4651"/>
      <c r="I7" s="4651"/>
      <c r="J7" s="4651"/>
      <c r="K7" s="4652"/>
    </row>
    <row r="8" spans="1:11" ht="14.25" customHeight="1">
      <c r="A8" s="1436"/>
      <c r="B8" s="1436"/>
      <c r="C8" s="1450">
        <v>1</v>
      </c>
      <c r="D8" s="1437" t="s">
        <v>4177</v>
      </c>
      <c r="E8" s="1437"/>
      <c r="F8" s="1437"/>
      <c r="G8" s="1437"/>
      <c r="H8" s="1437"/>
      <c r="I8" s="1437"/>
      <c r="J8" s="4588"/>
      <c r="K8" s="4589"/>
    </row>
    <row r="9" spans="1:11" ht="7.15" customHeight="1">
      <c r="A9" s="4641"/>
      <c r="B9" s="4641"/>
      <c r="C9" s="4641"/>
      <c r="D9" s="4642"/>
      <c r="E9" s="4642"/>
      <c r="F9" s="4642"/>
      <c r="G9" s="4642"/>
      <c r="H9" s="4642"/>
      <c r="I9" s="4642"/>
      <c r="J9" s="4642"/>
      <c r="K9" s="1438"/>
    </row>
    <row r="10" spans="1:11">
      <c r="A10" s="4605" t="s">
        <v>4178</v>
      </c>
      <c r="B10" s="4606"/>
      <c r="C10" s="4606"/>
      <c r="D10" s="4606"/>
      <c r="E10" s="4606"/>
      <c r="F10" s="4606"/>
      <c r="G10" s="4606"/>
      <c r="H10" s="4606"/>
      <c r="I10" s="4606"/>
      <c r="J10" s="4606"/>
      <c r="K10" s="4607"/>
    </row>
    <row r="11" spans="1:11" ht="14.25" customHeight="1">
      <c r="A11" s="1436"/>
      <c r="B11" s="1436"/>
      <c r="C11" s="1450">
        <v>2</v>
      </c>
      <c r="D11" s="1437" t="s">
        <v>4179</v>
      </c>
      <c r="E11" s="1439"/>
      <c r="F11" s="1439"/>
      <c r="G11" s="1439"/>
      <c r="H11" s="1439"/>
      <c r="I11" s="1439"/>
      <c r="J11" s="4586"/>
      <c r="K11" s="4587"/>
    </row>
    <row r="12" spans="1:11" ht="7.15" customHeight="1">
      <c r="A12" s="4641"/>
      <c r="B12" s="4641"/>
      <c r="C12" s="4641"/>
      <c r="D12" s="4642"/>
      <c r="E12" s="4642"/>
      <c r="F12" s="4642"/>
      <c r="G12" s="4642"/>
      <c r="H12" s="4642"/>
      <c r="I12" s="4642"/>
      <c r="J12" s="4642"/>
      <c r="K12" s="1440"/>
    </row>
    <row r="13" spans="1:11">
      <c r="A13" s="4605" t="s">
        <v>4180</v>
      </c>
      <c r="B13" s="4606"/>
      <c r="C13" s="4606"/>
      <c r="D13" s="4606"/>
      <c r="E13" s="4606"/>
      <c r="F13" s="4606"/>
      <c r="G13" s="4606"/>
      <c r="H13" s="4606"/>
      <c r="I13" s="4606"/>
      <c r="J13" s="4606"/>
      <c r="K13" s="4607"/>
    </row>
    <row r="14" spans="1:11" ht="14.25" customHeight="1">
      <c r="A14" s="1416"/>
      <c r="B14" s="1416"/>
      <c r="C14" s="1451">
        <v>3</v>
      </c>
      <c r="D14" s="1441" t="s">
        <v>4181</v>
      </c>
      <c r="E14" s="1441"/>
      <c r="F14" s="1441"/>
      <c r="G14" s="1441"/>
      <c r="H14" s="1441"/>
      <c r="I14" s="1441"/>
      <c r="J14" s="4584"/>
      <c r="K14" s="4585"/>
    </row>
    <row r="15" spans="1:11" ht="14.25" customHeight="1">
      <c r="A15" s="1416"/>
      <c r="B15" s="1416"/>
      <c r="C15" s="1452">
        <v>4</v>
      </c>
      <c r="D15" s="1416" t="s">
        <v>4182</v>
      </c>
      <c r="E15" s="1416"/>
      <c r="F15" s="1416"/>
      <c r="G15" s="1416"/>
      <c r="H15" s="1416"/>
      <c r="I15" s="1416"/>
      <c r="J15" s="4582"/>
      <c r="K15" s="4583"/>
    </row>
    <row r="16" spans="1:11" ht="14.25" customHeight="1">
      <c r="A16" s="1416"/>
      <c r="B16" s="1416"/>
      <c r="C16" s="1452">
        <v>5</v>
      </c>
      <c r="D16" s="1416" t="s">
        <v>4183</v>
      </c>
      <c r="E16" s="1416"/>
      <c r="F16" s="1416"/>
      <c r="G16" s="1416"/>
      <c r="H16" s="1416"/>
      <c r="I16" s="1416"/>
      <c r="J16" s="4582"/>
      <c r="K16" s="4583"/>
    </row>
    <row r="17" spans="1:13" ht="14.25" customHeight="1">
      <c r="A17" s="1436"/>
      <c r="B17" s="1436"/>
      <c r="C17" s="1453">
        <v>6</v>
      </c>
      <c r="D17" s="1419" t="s">
        <v>4184</v>
      </c>
      <c r="E17" s="1419"/>
      <c r="F17" s="1419"/>
      <c r="G17" s="1419"/>
      <c r="H17" s="1419"/>
      <c r="I17" s="1419"/>
      <c r="J17" s="4596"/>
      <c r="K17" s="4597"/>
    </row>
    <row r="18" spans="1:13" ht="7.15" customHeight="1">
      <c r="A18" s="4641"/>
      <c r="B18" s="4641"/>
      <c r="C18" s="4641"/>
      <c r="D18" s="4642"/>
      <c r="E18" s="4642"/>
      <c r="F18" s="4642"/>
      <c r="G18" s="4642"/>
      <c r="H18" s="4642"/>
      <c r="I18" s="4642"/>
      <c r="J18" s="4642"/>
      <c r="K18" s="1440"/>
    </row>
    <row r="19" spans="1:13" ht="14.25" customHeight="1">
      <c r="A19" s="1416"/>
      <c r="B19" s="1416"/>
      <c r="C19" s="1451">
        <v>7</v>
      </c>
      <c r="D19" s="1441" t="s">
        <v>4185</v>
      </c>
      <c r="E19" s="1441"/>
      <c r="F19" s="1441"/>
      <c r="G19" s="1441"/>
      <c r="H19" s="1441"/>
      <c r="I19" s="1441"/>
      <c r="J19" s="4594" t="str">
        <f>IF(J17="No",J14-J15,IF(J17="Yes",J14-J15-J16,"Error"))</f>
        <v>Error</v>
      </c>
      <c r="K19" s="4595"/>
    </row>
    <row r="20" spans="1:13" ht="14.25" customHeight="1">
      <c r="A20" s="1436"/>
      <c r="B20" s="1436"/>
      <c r="C20" s="1453">
        <v>8</v>
      </c>
      <c r="D20" s="1419" t="s">
        <v>4186</v>
      </c>
      <c r="E20" s="1419"/>
      <c r="F20" s="1419"/>
      <c r="G20" s="1419"/>
      <c r="H20" s="1419"/>
      <c r="I20" s="1419"/>
      <c r="J20" s="4592" t="e">
        <f>ROUNDDOWN(J19/J8,2)</f>
        <v>#VALUE!</v>
      </c>
      <c r="K20" s="4593"/>
    </row>
    <row r="21" spans="1:13" ht="7.15" customHeight="1">
      <c r="A21" s="4641"/>
      <c r="B21" s="4641"/>
      <c r="C21" s="4641"/>
      <c r="D21" s="4642"/>
      <c r="E21" s="4642"/>
      <c r="F21" s="4642"/>
      <c r="G21" s="4642"/>
      <c r="H21" s="4642"/>
      <c r="I21" s="4642"/>
      <c r="J21" s="4642"/>
      <c r="K21" s="1440"/>
    </row>
    <row r="22" spans="1:13" ht="14.25" customHeight="1" thickBot="1">
      <c r="A22" s="1416"/>
      <c r="B22" s="1416"/>
      <c r="C22" s="1450">
        <v>9</v>
      </c>
      <c r="D22" s="1442" t="s">
        <v>4187</v>
      </c>
      <c r="E22" s="1442"/>
      <c r="F22" s="1442"/>
      <c r="G22" s="1442"/>
      <c r="H22" s="1442"/>
      <c r="I22" s="1442"/>
      <c r="J22" s="4590" t="e">
        <f>J11/J19</f>
        <v>#VALUE!</v>
      </c>
      <c r="K22" s="4591"/>
    </row>
    <row r="23" spans="1:13" ht="9" customHeight="1">
      <c r="A23" s="1425"/>
      <c r="C23" s="1426"/>
      <c r="D23" s="1426"/>
      <c r="E23" s="1426"/>
      <c r="F23" s="1426"/>
      <c r="G23" s="1426"/>
      <c r="H23" s="1426"/>
      <c r="I23" s="1426"/>
      <c r="J23" s="1426"/>
      <c r="K23" s="1427"/>
    </row>
    <row r="24" spans="1:13" ht="18.75">
      <c r="A24" s="1428" t="s">
        <v>4188</v>
      </c>
      <c r="C24" s="1426"/>
      <c r="D24" s="1426"/>
      <c r="E24" s="1426"/>
      <c r="F24" s="1426"/>
      <c r="G24" s="1426"/>
      <c r="H24" s="1426"/>
      <c r="I24" s="1426"/>
      <c r="J24" s="1426"/>
      <c r="K24" s="1427"/>
    </row>
    <row r="25" spans="1:13" ht="14.25" customHeight="1">
      <c r="A25" s="1486" t="s">
        <v>4219</v>
      </c>
      <c r="C25" s="1426"/>
      <c r="D25" s="1426"/>
      <c r="E25" s="1426"/>
      <c r="F25" s="1426"/>
      <c r="G25" s="1426"/>
      <c r="H25" s="1426"/>
      <c r="I25" s="1426"/>
      <c r="J25" s="1426"/>
      <c r="K25" s="1427"/>
    </row>
    <row r="26" spans="1:13" ht="14.25" customHeight="1">
      <c r="A26" s="1486" t="s">
        <v>4220</v>
      </c>
      <c r="C26" s="1426"/>
      <c r="D26" s="1426"/>
      <c r="E26" s="1426"/>
      <c r="F26" s="1426"/>
      <c r="G26" s="1426"/>
      <c r="H26" s="1426"/>
      <c r="I26" s="1426"/>
      <c r="J26" s="1426"/>
      <c r="K26" s="1427"/>
    </row>
    <row r="27" spans="1:13" ht="14.25" customHeight="1">
      <c r="A27" s="1486" t="s">
        <v>4221</v>
      </c>
      <c r="C27" s="1426"/>
      <c r="D27" s="1426"/>
      <c r="E27" s="1426"/>
      <c r="F27" s="1426"/>
      <c r="G27" s="1426"/>
      <c r="H27" s="1426"/>
      <c r="I27" s="1426"/>
      <c r="J27" s="1426"/>
      <c r="K27" s="1427"/>
    </row>
    <row r="28" spans="1:13" ht="14.25" customHeight="1">
      <c r="A28" s="1486" t="s">
        <v>4222</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08" t="s">
        <v>4218</v>
      </c>
      <c r="B30" s="4609"/>
      <c r="C30" s="4609"/>
      <c r="D30" s="4609"/>
      <c r="E30" s="4609"/>
      <c r="F30" s="4609"/>
      <c r="G30" s="4609"/>
      <c r="H30" s="4609"/>
      <c r="I30" s="4609"/>
      <c r="J30" s="4609"/>
      <c r="K30" s="4610"/>
    </row>
    <row r="31" spans="1:13">
      <c r="A31" s="1434"/>
      <c r="B31" s="4611" t="s">
        <v>4175</v>
      </c>
      <c r="C31" s="4611"/>
      <c r="D31" s="4611"/>
      <c r="E31" s="4611"/>
      <c r="F31" s="4611"/>
      <c r="G31" s="4643" t="s">
        <v>4189</v>
      </c>
      <c r="H31" s="4644"/>
      <c r="I31" s="4644"/>
      <c r="J31" s="4644"/>
      <c r="K31" s="4645"/>
    </row>
    <row r="32" spans="1:13" ht="56.25" customHeight="1">
      <c r="A32" s="1435"/>
      <c r="B32" s="1454" t="s">
        <v>4217</v>
      </c>
      <c r="C32" s="1455" t="s">
        <v>4213</v>
      </c>
      <c r="D32" s="1455" t="s">
        <v>4212</v>
      </c>
      <c r="E32" s="4646" t="s">
        <v>6316</v>
      </c>
      <c r="F32" s="4647"/>
      <c r="G32" s="1456" t="s">
        <v>4190</v>
      </c>
      <c r="H32" s="1456" t="s">
        <v>4191</v>
      </c>
      <c r="J32" s="1456" t="s">
        <v>4192</v>
      </c>
      <c r="K32" s="1456" t="s">
        <v>4193</v>
      </c>
      <c r="L32" s="4603" t="s">
        <v>4194</v>
      </c>
      <c r="M32" s="4603"/>
    </row>
    <row r="33" spans="2:14" ht="12.75" customHeight="1">
      <c r="B33" s="1569"/>
      <c r="C33" s="1570"/>
      <c r="D33" s="1571"/>
      <c r="E33" s="4648"/>
      <c r="F33" s="4649"/>
      <c r="G33" s="1476" t="e">
        <f t="shared" ref="G33:G51" si="0">$J$22*B33</f>
        <v>#VALUE!</v>
      </c>
      <c r="H33" s="1477" t="e">
        <f>ROUNDUP(G33,0)</f>
        <v>#VALUE!</v>
      </c>
      <c r="I33" s="1478"/>
      <c r="J33" s="1479" t="e">
        <f t="shared" ref="J33:J51" si="1">$J$20*E33</f>
        <v>#VALUE!</v>
      </c>
      <c r="K33" s="1479" t="e">
        <f t="shared" ref="K33:K51" si="2">ROUNDDOWN(J33*H33,0)</f>
        <v>#VALUE!</v>
      </c>
      <c r="L33" s="4603"/>
      <c r="M33" s="4603"/>
    </row>
    <row r="34" spans="2:14" ht="12.75" customHeight="1">
      <c r="B34" s="1572"/>
      <c r="C34" s="1573"/>
      <c r="D34" s="1574"/>
      <c r="E34" s="4600"/>
      <c r="F34" s="4601"/>
      <c r="G34" s="1480" t="e">
        <f t="shared" si="0"/>
        <v>#VALUE!</v>
      </c>
      <c r="H34" s="1481" t="e">
        <f t="shared" ref="H34:H51" si="3">ROUNDUP(G34,0)</f>
        <v>#VALUE!</v>
      </c>
      <c r="I34" s="1478"/>
      <c r="J34" s="1482" t="e">
        <f t="shared" si="1"/>
        <v>#VALUE!</v>
      </c>
      <c r="K34" s="1482" t="e">
        <f t="shared" si="2"/>
        <v>#VALUE!</v>
      </c>
      <c r="L34" s="4603"/>
      <c r="M34" s="4603"/>
    </row>
    <row r="35" spans="2:14" ht="12.75" customHeight="1">
      <c r="B35" s="1572"/>
      <c r="C35" s="1573"/>
      <c r="D35" s="1574"/>
      <c r="E35" s="4600"/>
      <c r="F35" s="4601"/>
      <c r="G35" s="1480" t="e">
        <f t="shared" si="0"/>
        <v>#VALUE!</v>
      </c>
      <c r="H35" s="1481" t="e">
        <f t="shared" si="3"/>
        <v>#VALUE!</v>
      </c>
      <c r="I35" s="1478"/>
      <c r="J35" s="1482" t="e">
        <f t="shared" si="1"/>
        <v>#VALUE!</v>
      </c>
      <c r="K35" s="1482" t="e">
        <f t="shared" si="2"/>
        <v>#VALUE!</v>
      </c>
      <c r="L35" s="4603"/>
      <c r="M35" s="4603"/>
    </row>
    <row r="36" spans="2:14" ht="12.75" customHeight="1">
      <c r="B36" s="1572"/>
      <c r="C36" s="1573"/>
      <c r="D36" s="1574"/>
      <c r="E36" s="4600"/>
      <c r="F36" s="4601"/>
      <c r="G36" s="1480" t="e">
        <f t="shared" si="0"/>
        <v>#VALUE!</v>
      </c>
      <c r="H36" s="1481" t="e">
        <f t="shared" si="3"/>
        <v>#VALUE!</v>
      </c>
      <c r="I36" s="1478"/>
      <c r="J36" s="1482" t="e">
        <f t="shared" si="1"/>
        <v>#VALUE!</v>
      </c>
      <c r="K36" s="1482" t="e">
        <f t="shared" si="2"/>
        <v>#VALUE!</v>
      </c>
      <c r="L36" s="4603"/>
      <c r="M36" s="4603"/>
      <c r="N36" s="1429"/>
    </row>
    <row r="37" spans="2:14" ht="12.75" customHeight="1">
      <c r="B37" s="1572"/>
      <c r="C37" s="1573"/>
      <c r="D37" s="1574"/>
      <c r="E37" s="4600"/>
      <c r="F37" s="4601"/>
      <c r="G37" s="1480" t="e">
        <f t="shared" si="0"/>
        <v>#VALUE!</v>
      </c>
      <c r="H37" s="1481" t="e">
        <f t="shared" si="3"/>
        <v>#VALUE!</v>
      </c>
      <c r="I37" s="1478"/>
      <c r="J37" s="1482" t="e">
        <f t="shared" si="1"/>
        <v>#VALUE!</v>
      </c>
      <c r="K37" s="1482" t="e">
        <f t="shared" si="2"/>
        <v>#VALUE!</v>
      </c>
      <c r="L37" s="4603"/>
      <c r="M37" s="4603"/>
    </row>
    <row r="38" spans="2:14" ht="12.75" customHeight="1">
      <c r="B38" s="1572"/>
      <c r="C38" s="1573"/>
      <c r="D38" s="1574"/>
      <c r="E38" s="4600"/>
      <c r="F38" s="4601"/>
      <c r="G38" s="1480" t="e">
        <f t="shared" si="0"/>
        <v>#VALUE!</v>
      </c>
      <c r="H38" s="1481" t="e">
        <f t="shared" si="3"/>
        <v>#VALUE!</v>
      </c>
      <c r="I38" s="1478"/>
      <c r="J38" s="1482" t="e">
        <f t="shared" si="1"/>
        <v>#VALUE!</v>
      </c>
      <c r="K38" s="1482" t="e">
        <f t="shared" si="2"/>
        <v>#VALUE!</v>
      </c>
      <c r="L38" s="4603"/>
      <c r="M38" s="4603"/>
    </row>
    <row r="39" spans="2:14" ht="12.75" customHeight="1">
      <c r="B39" s="1572"/>
      <c r="C39" s="1573"/>
      <c r="D39" s="1574"/>
      <c r="E39" s="4600"/>
      <c r="F39" s="4601"/>
      <c r="G39" s="1480" t="e">
        <f t="shared" si="0"/>
        <v>#VALUE!</v>
      </c>
      <c r="H39" s="1481" t="e">
        <f t="shared" si="3"/>
        <v>#VALUE!</v>
      </c>
      <c r="I39" s="1478"/>
      <c r="J39" s="1482" t="e">
        <f t="shared" si="1"/>
        <v>#VALUE!</v>
      </c>
      <c r="K39" s="1482" t="e">
        <f t="shared" si="2"/>
        <v>#VALUE!</v>
      </c>
      <c r="L39" s="4603"/>
      <c r="M39" s="4603"/>
    </row>
    <row r="40" spans="2:14" ht="12.75" customHeight="1">
      <c r="B40" s="1572"/>
      <c r="C40" s="1573"/>
      <c r="D40" s="1574"/>
      <c r="E40" s="4600"/>
      <c r="F40" s="4601"/>
      <c r="G40" s="1480" t="e">
        <f t="shared" si="0"/>
        <v>#VALUE!</v>
      </c>
      <c r="H40" s="1481" t="e">
        <f t="shared" si="3"/>
        <v>#VALUE!</v>
      </c>
      <c r="I40" s="1478"/>
      <c r="J40" s="1482" t="e">
        <f t="shared" si="1"/>
        <v>#VALUE!</v>
      </c>
      <c r="K40" s="1482" t="e">
        <f t="shared" si="2"/>
        <v>#VALUE!</v>
      </c>
      <c r="L40" s="4603"/>
      <c r="M40" s="4603"/>
    </row>
    <row r="41" spans="2:14" ht="12.75" customHeight="1">
      <c r="B41" s="1572"/>
      <c r="C41" s="1573"/>
      <c r="D41" s="1574"/>
      <c r="E41" s="4600"/>
      <c r="F41" s="4601"/>
      <c r="G41" s="1480" t="e">
        <f t="shared" si="0"/>
        <v>#VALUE!</v>
      </c>
      <c r="H41" s="1481" t="e">
        <f t="shared" si="3"/>
        <v>#VALUE!</v>
      </c>
      <c r="I41" s="1478"/>
      <c r="J41" s="1482" t="e">
        <f t="shared" si="1"/>
        <v>#VALUE!</v>
      </c>
      <c r="K41" s="1482" t="e">
        <f t="shared" si="2"/>
        <v>#VALUE!</v>
      </c>
      <c r="L41" s="4603"/>
      <c r="M41" s="4603"/>
    </row>
    <row r="42" spans="2:14" ht="12.75" customHeight="1">
      <c r="B42" s="1572"/>
      <c r="C42" s="1573"/>
      <c r="D42" s="1574"/>
      <c r="E42" s="4600"/>
      <c r="F42" s="4601"/>
      <c r="G42" s="1480" t="e">
        <f t="shared" si="0"/>
        <v>#VALUE!</v>
      </c>
      <c r="H42" s="1481" t="e">
        <f>ROUNDUP(G42,0)</f>
        <v>#VALUE!</v>
      </c>
      <c r="I42" s="1478"/>
      <c r="J42" s="1482" t="e">
        <f t="shared" si="1"/>
        <v>#VALUE!</v>
      </c>
      <c r="K42" s="1482" t="e">
        <f t="shared" si="2"/>
        <v>#VALUE!</v>
      </c>
      <c r="L42" s="4603"/>
      <c r="M42" s="4603"/>
    </row>
    <row r="43" spans="2:14" ht="12.75" customHeight="1">
      <c r="B43" s="1572"/>
      <c r="C43" s="1573"/>
      <c r="D43" s="1574"/>
      <c r="E43" s="4600"/>
      <c r="F43" s="4601"/>
      <c r="G43" s="1480" t="e">
        <f t="shared" si="0"/>
        <v>#VALUE!</v>
      </c>
      <c r="H43" s="1481" t="e">
        <f>ROUNDUP(G43,0)</f>
        <v>#VALUE!</v>
      </c>
      <c r="I43" s="1478"/>
      <c r="J43" s="1482" t="e">
        <f t="shared" si="1"/>
        <v>#VALUE!</v>
      </c>
      <c r="K43" s="1482" t="e">
        <f t="shared" si="2"/>
        <v>#VALUE!</v>
      </c>
      <c r="L43" s="4603"/>
      <c r="M43" s="4603"/>
    </row>
    <row r="44" spans="2:14" ht="12.75" customHeight="1">
      <c r="B44" s="1572"/>
      <c r="C44" s="1573"/>
      <c r="D44" s="1574"/>
      <c r="E44" s="4600"/>
      <c r="F44" s="4601"/>
      <c r="G44" s="1480" t="e">
        <f t="shared" si="0"/>
        <v>#VALUE!</v>
      </c>
      <c r="H44" s="1481" t="e">
        <f>ROUNDUP(G44,0)</f>
        <v>#VALUE!</v>
      </c>
      <c r="I44" s="1478"/>
      <c r="J44" s="1482" t="e">
        <f t="shared" si="1"/>
        <v>#VALUE!</v>
      </c>
      <c r="K44" s="1482" t="e">
        <f t="shared" si="2"/>
        <v>#VALUE!</v>
      </c>
      <c r="L44" s="4603"/>
      <c r="M44" s="4603"/>
    </row>
    <row r="45" spans="2:14" ht="12.75" customHeight="1">
      <c r="B45" s="1572"/>
      <c r="C45" s="1573"/>
      <c r="D45" s="1574"/>
      <c r="E45" s="4600"/>
      <c r="F45" s="4601"/>
      <c r="G45" s="1480" t="e">
        <f t="shared" si="0"/>
        <v>#VALUE!</v>
      </c>
      <c r="H45" s="1481" t="e">
        <f>ROUNDUP(G45,0)</f>
        <v>#VALUE!</v>
      </c>
      <c r="I45" s="1478"/>
      <c r="J45" s="1482" t="e">
        <f t="shared" si="1"/>
        <v>#VALUE!</v>
      </c>
      <c r="K45" s="1482" t="e">
        <f t="shared" si="2"/>
        <v>#VALUE!</v>
      </c>
      <c r="L45" s="4603"/>
      <c r="M45" s="4603"/>
    </row>
    <row r="46" spans="2:14" ht="12.75" customHeight="1">
      <c r="B46" s="1572"/>
      <c r="C46" s="1573"/>
      <c r="D46" s="1574"/>
      <c r="E46" s="4600"/>
      <c r="F46" s="4601"/>
      <c r="G46" s="1480" t="e">
        <f t="shared" si="0"/>
        <v>#VALUE!</v>
      </c>
      <c r="H46" s="1481" t="e">
        <f t="shared" si="3"/>
        <v>#VALUE!</v>
      </c>
      <c r="I46" s="1478"/>
      <c r="J46" s="1482" t="e">
        <f t="shared" si="1"/>
        <v>#VALUE!</v>
      </c>
      <c r="K46" s="1482" t="e">
        <f t="shared" si="2"/>
        <v>#VALUE!</v>
      </c>
      <c r="L46" s="4603"/>
      <c r="M46" s="4603"/>
    </row>
    <row r="47" spans="2:14" ht="12.75" customHeight="1">
      <c r="B47" s="1572"/>
      <c r="C47" s="1573"/>
      <c r="D47" s="1574"/>
      <c r="E47" s="4600"/>
      <c r="F47" s="4601"/>
      <c r="G47" s="1480" t="e">
        <f t="shared" si="0"/>
        <v>#VALUE!</v>
      </c>
      <c r="H47" s="1481" t="e">
        <f t="shared" si="3"/>
        <v>#VALUE!</v>
      </c>
      <c r="I47" s="1478"/>
      <c r="J47" s="1482" t="e">
        <f t="shared" si="1"/>
        <v>#VALUE!</v>
      </c>
      <c r="K47" s="1482" t="e">
        <f t="shared" si="2"/>
        <v>#VALUE!</v>
      </c>
      <c r="L47" s="4603"/>
      <c r="M47" s="4603"/>
    </row>
    <row r="48" spans="2:14" ht="12.75" customHeight="1">
      <c r="B48" s="1572"/>
      <c r="C48" s="1573"/>
      <c r="D48" s="1574"/>
      <c r="E48" s="4600"/>
      <c r="F48" s="4601"/>
      <c r="G48" s="1480" t="e">
        <f t="shared" si="0"/>
        <v>#VALUE!</v>
      </c>
      <c r="H48" s="1481" t="e">
        <f>ROUNDUP(G48,0)</f>
        <v>#VALUE!</v>
      </c>
      <c r="I48" s="1478"/>
      <c r="J48" s="1482" t="e">
        <f t="shared" si="1"/>
        <v>#VALUE!</v>
      </c>
      <c r="K48" s="1482" t="e">
        <f t="shared" si="2"/>
        <v>#VALUE!</v>
      </c>
      <c r="L48" s="4603"/>
      <c r="M48" s="4603"/>
    </row>
    <row r="49" spans="1:13" ht="12.75" customHeight="1">
      <c r="B49" s="1572"/>
      <c r="C49" s="1573"/>
      <c r="D49" s="1574"/>
      <c r="E49" s="4600"/>
      <c r="F49" s="4601"/>
      <c r="G49" s="1480" t="e">
        <f t="shared" si="0"/>
        <v>#VALUE!</v>
      </c>
      <c r="H49" s="1481" t="e">
        <f t="shared" si="3"/>
        <v>#VALUE!</v>
      </c>
      <c r="I49" s="1478"/>
      <c r="J49" s="1482" t="e">
        <f t="shared" si="1"/>
        <v>#VALUE!</v>
      </c>
      <c r="K49" s="1482" t="e">
        <f t="shared" si="2"/>
        <v>#VALUE!</v>
      </c>
      <c r="L49" s="4603"/>
      <c r="M49" s="4603"/>
    </row>
    <row r="50" spans="1:13" ht="12.75" customHeight="1">
      <c r="B50" s="1572"/>
      <c r="C50" s="1573"/>
      <c r="D50" s="1574"/>
      <c r="E50" s="4600"/>
      <c r="F50" s="4601"/>
      <c r="G50" s="1480" t="e">
        <f t="shared" si="0"/>
        <v>#VALUE!</v>
      </c>
      <c r="H50" s="1481" t="e">
        <f t="shared" si="3"/>
        <v>#VALUE!</v>
      </c>
      <c r="I50" s="1478"/>
      <c r="J50" s="1482" t="e">
        <f t="shared" si="1"/>
        <v>#VALUE!</v>
      </c>
      <c r="K50" s="1482" t="e">
        <f t="shared" si="2"/>
        <v>#VALUE!</v>
      </c>
      <c r="L50" s="4603"/>
      <c r="M50" s="4603"/>
    </row>
    <row r="51" spans="1:13" ht="12.75" customHeight="1" thickBot="1">
      <c r="B51" s="1575"/>
      <c r="C51" s="1576"/>
      <c r="D51" s="1577"/>
      <c r="E51" s="4598"/>
      <c r="F51" s="4599"/>
      <c r="G51" s="1483" t="e">
        <f t="shared" si="0"/>
        <v>#VALUE!</v>
      </c>
      <c r="H51" s="1484" t="e">
        <f t="shared" si="3"/>
        <v>#VALUE!</v>
      </c>
      <c r="I51" s="1478"/>
      <c r="J51" s="1485" t="e">
        <f t="shared" si="1"/>
        <v>#VALUE!</v>
      </c>
      <c r="K51" s="1485" t="e">
        <f t="shared" si="2"/>
        <v>#VALUE!</v>
      </c>
      <c r="L51" s="4603"/>
      <c r="M51" s="4603"/>
    </row>
    <row r="52" spans="1:13" ht="15" customHeight="1" thickBot="1">
      <c r="A52" s="1434"/>
      <c r="B52" s="1447"/>
      <c r="D52" s="1441"/>
      <c r="E52" s="1441"/>
      <c r="F52" s="1441"/>
      <c r="G52" s="1459" t="s">
        <v>4195</v>
      </c>
      <c r="H52" s="1458" t="e">
        <f>SUM(H33:H51)</f>
        <v>#VALUE!</v>
      </c>
      <c r="I52" s="1441"/>
      <c r="J52" s="1447" t="s">
        <v>4196</v>
      </c>
      <c r="K52" s="1443" t="e">
        <f>SUM(K33:K51)</f>
        <v>#VALUE!</v>
      </c>
      <c r="L52" s="4603"/>
      <c r="M52" s="4603"/>
    </row>
    <row r="53" spans="1:13" ht="15" customHeight="1">
      <c r="A53" s="1434"/>
      <c r="B53" s="1448"/>
      <c r="C53" s="4625" t="s">
        <v>4197</v>
      </c>
      <c r="D53" s="4625"/>
      <c r="E53" s="4625"/>
      <c r="F53" s="4625"/>
      <c r="G53" s="4625"/>
      <c r="H53" s="4625"/>
      <c r="I53" s="4625"/>
      <c r="J53" s="4626"/>
      <c r="K53" s="1449" t="str">
        <f>IF(J17="no",0,IF(J17="yes",J16,"Error"))</f>
        <v>Error</v>
      </c>
      <c r="L53" s="4603"/>
      <c r="M53" s="4603"/>
    </row>
    <row r="54" spans="1:13" ht="15" customHeight="1" thickBot="1">
      <c r="A54" s="1434"/>
      <c r="B54" s="1448"/>
      <c r="C54" s="4627" t="s">
        <v>4198</v>
      </c>
      <c r="D54" s="4627"/>
      <c r="E54" s="4627"/>
      <c r="F54" s="4627"/>
      <c r="G54" s="4627"/>
      <c r="H54" s="4627"/>
      <c r="I54" s="4627"/>
      <c r="J54" s="4628"/>
      <c r="K54" s="1461" t="e">
        <f>K52+K53</f>
        <v>#VALUE!</v>
      </c>
    </row>
    <row r="55" spans="1:13" ht="7.9" customHeight="1">
      <c r="A55" s="4629"/>
      <c r="B55" s="4620"/>
      <c r="C55" s="4620"/>
      <c r="D55" s="4620"/>
      <c r="E55" s="4620"/>
      <c r="F55" s="4620"/>
      <c r="G55" s="4620"/>
      <c r="H55" s="4620"/>
      <c r="I55" s="4620"/>
      <c r="J55" s="4620"/>
      <c r="K55" s="1475"/>
    </row>
    <row r="56" spans="1:13" ht="15" customHeight="1">
      <c r="A56" s="4612" t="s">
        <v>4199</v>
      </c>
      <c r="B56" s="4613"/>
      <c r="C56" s="4613"/>
      <c r="D56" s="4613"/>
      <c r="E56" s="4613"/>
      <c r="F56" s="4613"/>
      <c r="G56" s="4613"/>
      <c r="H56" s="4613"/>
      <c r="I56" s="4613"/>
      <c r="J56" s="4613"/>
      <c r="K56" s="4614"/>
    </row>
    <row r="57" spans="1:13" ht="48" customHeight="1">
      <c r="A57" s="1431"/>
      <c r="B57" s="1422"/>
      <c r="C57" s="1433" t="s">
        <v>4200</v>
      </c>
      <c r="D57" s="1555" t="s">
        <v>6276</v>
      </c>
      <c r="E57" s="4630" t="s">
        <v>4216</v>
      </c>
      <c r="F57" s="4631"/>
      <c r="G57" s="4632" t="s">
        <v>4201</v>
      </c>
      <c r="H57" s="4633"/>
      <c r="I57" s="4630" t="s">
        <v>4215</v>
      </c>
      <c r="J57" s="4631"/>
      <c r="K57" s="4634"/>
    </row>
    <row r="58" spans="1:13" ht="15" customHeight="1">
      <c r="A58" s="1532"/>
      <c r="B58" s="1552"/>
      <c r="C58" s="1444">
        <f>SUMIF(C33:C51, "0", H33:H51)</f>
        <v>0</v>
      </c>
      <c r="D58" s="1556">
        <f t="shared" ref="D58:D63" si="4">ROUNDUP(C58*1.1,0)</f>
        <v>0</v>
      </c>
      <c r="E58" s="4636" t="s">
        <v>4202</v>
      </c>
      <c r="F58" s="4637"/>
      <c r="G58" s="4638">
        <v>153314.4</v>
      </c>
      <c r="H58" s="4639"/>
      <c r="I58" s="4640">
        <f t="shared" ref="I58:I63" si="5">D58*G58</f>
        <v>0</v>
      </c>
      <c r="J58" s="4640"/>
      <c r="K58" s="4635"/>
    </row>
    <row r="59" spans="1:13">
      <c r="A59" s="1532"/>
      <c r="B59" s="1552"/>
      <c r="C59" s="1445">
        <f>SUMIF(C33:C51, "1", H33:H51)</f>
        <v>0</v>
      </c>
      <c r="D59" s="1557">
        <f t="shared" si="4"/>
        <v>0</v>
      </c>
      <c r="E59" s="4621" t="s">
        <v>2560</v>
      </c>
      <c r="F59" s="4622"/>
      <c r="G59" s="4623">
        <v>175752</v>
      </c>
      <c r="H59" s="4624"/>
      <c r="I59" s="4602">
        <f t="shared" si="5"/>
        <v>0</v>
      </c>
      <c r="J59" s="4602"/>
      <c r="K59" s="4635"/>
    </row>
    <row r="60" spans="1:13" ht="15" customHeight="1">
      <c r="A60" s="1532"/>
      <c r="B60" s="1552"/>
      <c r="C60" s="1445">
        <f>SUMIF(C33:C51, "2", H33:H51)</f>
        <v>0</v>
      </c>
      <c r="D60" s="1557">
        <f t="shared" si="4"/>
        <v>0</v>
      </c>
      <c r="E60" s="4621" t="s">
        <v>2561</v>
      </c>
      <c r="F60" s="4622"/>
      <c r="G60" s="4623">
        <v>213717.6</v>
      </c>
      <c r="H60" s="4624"/>
      <c r="I60" s="4602">
        <f t="shared" si="5"/>
        <v>0</v>
      </c>
      <c r="J60" s="4602"/>
      <c r="K60" s="4635"/>
    </row>
    <row r="61" spans="1:13">
      <c r="A61" s="1532"/>
      <c r="B61" s="1552"/>
      <c r="C61" s="1445">
        <f>SUMIF(C33:C51, "3", H33:H51)</f>
        <v>0</v>
      </c>
      <c r="D61" s="1557">
        <f t="shared" si="4"/>
        <v>0</v>
      </c>
      <c r="E61" s="4621" t="s">
        <v>2564</v>
      </c>
      <c r="F61" s="4622"/>
      <c r="G61" s="4623">
        <v>276482.40000000002</v>
      </c>
      <c r="H61" s="4624"/>
      <c r="I61" s="4602">
        <f t="shared" si="5"/>
        <v>0</v>
      </c>
      <c r="J61" s="4602"/>
      <c r="K61" s="4635"/>
    </row>
    <row r="62" spans="1:13">
      <c r="A62" s="1532"/>
      <c r="B62" s="1552"/>
      <c r="C62" s="1445">
        <f>SUMIF(C33:C51, "4", H33:H51)</f>
        <v>0</v>
      </c>
      <c r="D62" s="1557">
        <f t="shared" si="4"/>
        <v>0</v>
      </c>
      <c r="E62" s="4621" t="s">
        <v>4203</v>
      </c>
      <c r="F62" s="4622"/>
      <c r="G62" s="4623">
        <v>303489.59999999998</v>
      </c>
      <c r="H62" s="4624"/>
      <c r="I62" s="4602">
        <f t="shared" si="5"/>
        <v>0</v>
      </c>
      <c r="J62" s="4602"/>
      <c r="K62" s="4635"/>
    </row>
    <row r="63" spans="1:13">
      <c r="A63" s="1553"/>
      <c r="B63" s="1554"/>
      <c r="C63" s="1446">
        <f>SUMIF(C33:C51, "5", H33:H51)</f>
        <v>0</v>
      </c>
      <c r="D63" s="1558">
        <f t="shared" si="4"/>
        <v>0</v>
      </c>
      <c r="E63" s="4615" t="s">
        <v>4204</v>
      </c>
      <c r="F63" s="4616"/>
      <c r="G63" s="4617">
        <v>303489.59999999998</v>
      </c>
      <c r="H63" s="4618"/>
      <c r="I63" s="4619">
        <f t="shared" si="5"/>
        <v>0</v>
      </c>
      <c r="J63" s="4619"/>
      <c r="K63" s="1473"/>
    </row>
    <row r="64" spans="1:13" ht="17.25" thickBot="1">
      <c r="A64" s="1551" t="s">
        <v>4205</v>
      </c>
      <c r="B64" s="1463">
        <f>SUM(C58:C63)</f>
        <v>0</v>
      </c>
      <c r="C64" s="1559"/>
      <c r="D64" s="1559">
        <f>SUM(D58:D63)</f>
        <v>0</v>
      </c>
      <c r="E64" s="1550"/>
      <c r="F64" s="1550"/>
      <c r="G64" s="1550"/>
      <c r="H64" s="1550"/>
      <c r="I64" s="1550"/>
      <c r="J64" s="1533" t="s">
        <v>4206</v>
      </c>
      <c r="K64" s="1462">
        <f>SUM(I58:I62)</f>
        <v>0</v>
      </c>
    </row>
    <row r="65" spans="1:11">
      <c r="A65" s="4620"/>
      <c r="B65" s="4620"/>
      <c r="C65" s="4620"/>
      <c r="D65" s="4620"/>
      <c r="E65" s="4620"/>
      <c r="F65" s="4620"/>
      <c r="G65" s="4620"/>
      <c r="H65" s="4620"/>
      <c r="I65" s="4620"/>
      <c r="J65" s="4620"/>
    </row>
    <row r="66" spans="1:11">
      <c r="A66" s="4612" t="s">
        <v>4207</v>
      </c>
      <c r="B66" s="4613"/>
      <c r="C66" s="4613"/>
      <c r="D66" s="4613"/>
      <c r="E66" s="4613"/>
      <c r="F66" s="4613"/>
      <c r="G66" s="4613"/>
      <c r="H66" s="4613"/>
      <c r="I66" s="4613"/>
      <c r="J66" s="4613"/>
      <c r="K66" s="4614"/>
    </row>
    <row r="67" spans="1:11" ht="15" customHeight="1">
      <c r="A67" s="1464"/>
      <c r="B67" s="1421"/>
      <c r="C67" s="1467"/>
      <c r="D67" s="1467"/>
      <c r="E67" s="1467" t="s">
        <v>4208</v>
      </c>
      <c r="F67" s="1467"/>
      <c r="G67" s="1467"/>
      <c r="H67" s="1467"/>
      <c r="I67" s="1467"/>
      <c r="J67" s="1468"/>
      <c r="K67" s="1430">
        <f>J11</f>
        <v>0</v>
      </c>
    </row>
    <row r="68" spans="1:11">
      <c r="A68" s="1465"/>
      <c r="B68" s="1434"/>
      <c r="C68" s="1457"/>
      <c r="D68" s="1457"/>
      <c r="E68" s="1457" t="s">
        <v>4209</v>
      </c>
      <c r="F68" s="1457"/>
      <c r="G68" s="1457"/>
      <c r="H68" s="1457"/>
      <c r="I68" s="1457"/>
      <c r="J68" s="1469"/>
      <c r="K68" s="1430" t="e">
        <f>K54</f>
        <v>#VALUE!</v>
      </c>
    </row>
    <row r="69" spans="1:11" ht="17.25" thickBot="1">
      <c r="A69" s="1466"/>
      <c r="B69" s="1423"/>
      <c r="C69" s="1470"/>
      <c r="D69" s="1470"/>
      <c r="E69" s="1470" t="s">
        <v>4210</v>
      </c>
      <c r="F69" s="1470"/>
      <c r="G69" s="1470"/>
      <c r="H69" s="1470"/>
      <c r="I69" s="1470"/>
      <c r="J69" s="1471"/>
      <c r="K69" s="1474">
        <f>K64</f>
        <v>0</v>
      </c>
    </row>
    <row r="70" spans="1:11" ht="17.25" thickBot="1">
      <c r="A70" s="1432"/>
      <c r="B70" s="1424"/>
      <c r="C70" s="4604" t="s">
        <v>4211</v>
      </c>
      <c r="D70" s="4604"/>
      <c r="E70" s="4604"/>
      <c r="F70" s="4604"/>
      <c r="G70" s="4604"/>
      <c r="H70" s="4604"/>
      <c r="I70" s="4604"/>
      <c r="J70" s="4604"/>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3002</v>
      </c>
      <c r="H1" s="708" t="str">
        <f>'Sensitivity Analysis'!C8</f>
        <v>The Peaks at Turnberry</v>
      </c>
    </row>
    <row r="2" spans="1:11">
      <c r="A2" s="636" t="s">
        <v>3003</v>
      </c>
      <c r="H2" s="699" t="str">
        <f>'Sensitivity Analysis'!E8</f>
        <v>2021-015</v>
      </c>
    </row>
    <row r="3" spans="1:11" ht="3" customHeight="1"/>
    <row r="4" spans="1:11" ht="51.75" customHeight="1">
      <c r="A4" s="4665" t="s">
        <v>3099</v>
      </c>
      <c r="B4" s="4665"/>
      <c r="C4" s="4665"/>
      <c r="D4" s="4665"/>
      <c r="E4" s="4665"/>
      <c r="F4" s="4665"/>
      <c r="G4" s="4665"/>
      <c r="H4" s="4665"/>
      <c r="J4" s="1077">
        <f>SUM('Part VII-Pro Forma'!B15:B17)/12</f>
        <v>28894.356</v>
      </c>
      <c r="K4" s="1076" t="s">
        <v>3818</v>
      </c>
    </row>
    <row r="5" spans="1:11" ht="1.5" customHeight="1">
      <c r="C5" s="741"/>
      <c r="D5" s="741"/>
      <c r="E5" s="741"/>
      <c r="F5" s="741"/>
      <c r="G5" s="741"/>
      <c r="H5" s="741"/>
    </row>
    <row r="6" spans="1:11" ht="12.75" customHeight="1">
      <c r="B6" s="742" t="s">
        <v>2325</v>
      </c>
      <c r="C6" s="4665" t="s">
        <v>3004</v>
      </c>
      <c r="D6" s="4665"/>
      <c r="E6" s="4665"/>
      <c r="F6" s="4665"/>
      <c r="G6" s="4665"/>
      <c r="H6" s="4665"/>
    </row>
    <row r="7" spans="1:11" ht="12.75" customHeight="1">
      <c r="B7" s="742" t="s">
        <v>2326</v>
      </c>
      <c r="C7" s="4665" t="s">
        <v>3005</v>
      </c>
      <c r="D7" s="4665"/>
      <c r="E7" s="4665"/>
      <c r="F7" s="4665"/>
      <c r="G7" s="4665"/>
      <c r="H7" s="4665"/>
    </row>
    <row r="8" spans="1:11" ht="3" customHeight="1"/>
    <row r="9" spans="1:11">
      <c r="A9" s="699" t="s">
        <v>3006</v>
      </c>
    </row>
    <row r="10" spans="1:11" ht="1.5" customHeight="1"/>
    <row r="11" spans="1:11" ht="26.25" customHeight="1">
      <c r="A11" s="743" t="s">
        <v>1894</v>
      </c>
      <c r="B11" s="4671" t="s">
        <v>3096</v>
      </c>
      <c r="C11" s="4671"/>
      <c r="D11" s="4671"/>
      <c r="E11" s="4671"/>
      <c r="F11" s="4671"/>
      <c r="G11" s="4672">
        <f>'Part III-Sources of Funds'!I51+'Part III-Sources of Funds'!I52</f>
        <v>10954980</v>
      </c>
      <c r="H11" s="4672"/>
    </row>
    <row r="12" spans="1:11" ht="1.5" customHeight="1">
      <c r="G12" s="712"/>
      <c r="H12" s="712"/>
    </row>
    <row r="13" spans="1:11" ht="26.25" customHeight="1">
      <c r="A13" s="743" t="s">
        <v>1896</v>
      </c>
      <c r="B13" s="4671" t="s">
        <v>3097</v>
      </c>
      <c r="C13" s="4671"/>
      <c r="D13" s="4671"/>
      <c r="E13" s="4671"/>
      <c r="F13" s="4671"/>
      <c r="G13" s="4673" t="s">
        <v>2934</v>
      </c>
      <c r="H13" s="4673"/>
    </row>
    <row r="14" spans="1:11" ht="12" hidden="1" customHeight="1">
      <c r="A14" s="743"/>
      <c r="B14" s="4488"/>
      <c r="C14" s="4488"/>
      <c r="D14" s="4488"/>
      <c r="E14" s="4488"/>
      <c r="F14" s="4488"/>
      <c r="G14" s="4488"/>
      <c r="H14" s="4488"/>
    </row>
    <row r="15" spans="1:11" ht="1.5" customHeight="1"/>
    <row r="16" spans="1:11" ht="12" customHeight="1">
      <c r="A16" s="743" t="s">
        <v>719</v>
      </c>
      <c r="B16" s="699" t="s">
        <v>3100</v>
      </c>
      <c r="F16" s="735"/>
      <c r="G16" s="4482" t="s">
        <v>2773</v>
      </c>
      <c r="H16" s="4482"/>
    </row>
    <row r="17" spans="1:8" ht="1.5" customHeight="1">
      <c r="G17" s="717"/>
    </row>
    <row r="18" spans="1:8" ht="12" customHeight="1">
      <c r="A18" s="743" t="s">
        <v>2022</v>
      </c>
      <c r="B18" s="712" t="s">
        <v>3098</v>
      </c>
      <c r="C18" s="743"/>
      <c r="D18" s="743"/>
      <c r="E18" s="743"/>
      <c r="G18" s="4488" t="s">
        <v>2626</v>
      </c>
      <c r="H18" s="4488"/>
    </row>
    <row r="19" spans="1:8" ht="12" hidden="1" customHeight="1">
      <c r="B19" s="4488"/>
      <c r="C19" s="4488"/>
      <c r="D19" s="4488"/>
      <c r="E19" s="4488"/>
      <c r="F19" s="4488"/>
      <c r="G19" s="4488"/>
      <c r="H19" s="4488"/>
    </row>
    <row r="20" spans="1:8" ht="13.5" customHeight="1"/>
    <row r="21" spans="1:8" ht="12" customHeight="1">
      <c r="A21" s="636" t="s">
        <v>3007</v>
      </c>
    </row>
    <row r="22" spans="1:8" ht="3" customHeight="1"/>
    <row r="23" spans="1:8" ht="24.75" customHeight="1">
      <c r="A23" s="4674" t="s">
        <v>4293</v>
      </c>
      <c r="B23" s="4674"/>
      <c r="C23" s="4674"/>
      <c r="D23" s="4674"/>
      <c r="E23" s="4674"/>
      <c r="F23" s="4674"/>
      <c r="G23" s="4674"/>
      <c r="H23" s="4674"/>
    </row>
    <row r="24" spans="1:8" ht="9" customHeight="1" thickBot="1">
      <c r="A24" s="702"/>
    </row>
    <row r="25" spans="1:8" ht="16.149999999999999" customHeight="1" thickBot="1">
      <c r="A25" s="4666">
        <v>20</v>
      </c>
      <c r="B25" s="4667"/>
      <c r="C25" s="1516" t="s">
        <v>1000</v>
      </c>
    </row>
    <row r="26" spans="1:8" ht="9" customHeight="1">
      <c r="A26" s="702"/>
    </row>
    <row r="27" spans="1:8" ht="28.15" customHeight="1">
      <c r="A27" s="4670" t="s">
        <v>4298</v>
      </c>
      <c r="B27" s="4670"/>
      <c r="C27" s="4670"/>
      <c r="D27" s="4670"/>
      <c r="E27" s="4670"/>
      <c r="F27" s="4670"/>
      <c r="G27" s="4670"/>
      <c r="H27" s="4670"/>
    </row>
    <row r="28" spans="1:8" ht="9" customHeight="1">
      <c r="A28" s="702"/>
    </row>
    <row r="29" spans="1:8">
      <c r="A29" s="717" t="s">
        <v>3101</v>
      </c>
      <c r="B29" s="744" t="str">
        <f>IF('Part VI-Revenues &amp; Expenses'!$K$62=0,"",'Part VI-Revenues &amp; Expenses'!$K$62)</f>
        <v/>
      </c>
      <c r="C29" s="717" t="s">
        <v>4291</v>
      </c>
      <c r="D29" s="745" t="s">
        <v>4292</v>
      </c>
    </row>
    <row r="30" spans="1:8" ht="1.9" customHeight="1"/>
    <row r="31" spans="1:8" ht="12.75" customHeight="1">
      <c r="C31" s="712" t="s">
        <v>3008</v>
      </c>
      <c r="D31" s="746" t="s">
        <v>1897</v>
      </c>
      <c r="E31" s="747"/>
      <c r="F31" s="4665" t="s">
        <v>3009</v>
      </c>
      <c r="G31" s="4665"/>
      <c r="H31" s="4665"/>
    </row>
    <row r="32" spans="1:8" ht="12.75" customHeight="1">
      <c r="C32" s="748" t="s">
        <v>1304</v>
      </c>
      <c r="D32" s="746" t="s">
        <v>1899</v>
      </c>
      <c r="E32" s="4665" t="s">
        <v>3106</v>
      </c>
      <c r="F32" s="4665"/>
      <c r="G32" s="4665"/>
      <c r="H32" s="4665"/>
    </row>
    <row r="33" spans="1:11" ht="12.75" customHeight="1">
      <c r="C33" s="1514" t="s">
        <v>4296</v>
      </c>
      <c r="E33" s="4665" t="s">
        <v>3243</v>
      </c>
      <c r="F33" s="4665"/>
      <c r="G33" s="4665"/>
      <c r="H33" s="4665"/>
    </row>
    <row r="34" spans="1:11" ht="12.75" customHeight="1">
      <c r="C34" s="1515"/>
      <c r="D34" s="1513" t="s">
        <v>3105</v>
      </c>
      <c r="E34" s="4668" t="s">
        <v>3244</v>
      </c>
      <c r="F34" s="4668"/>
      <c r="G34" s="4668"/>
      <c r="H34" s="4668"/>
    </row>
    <row r="35" spans="1:11" ht="3" customHeight="1">
      <c r="D35" s="746"/>
      <c r="E35" s="1511"/>
      <c r="F35" s="1511"/>
      <c r="G35" s="1511"/>
      <c r="H35" s="1511"/>
    </row>
    <row r="36" spans="1:11" ht="12.75" customHeight="1">
      <c r="C36" s="712" t="s">
        <v>3008</v>
      </c>
      <c r="D36" s="746" t="s">
        <v>1897</v>
      </c>
      <c r="E36" s="747"/>
      <c r="F36" s="743" t="s">
        <v>3009</v>
      </c>
      <c r="G36" s="743"/>
      <c r="H36" s="743"/>
    </row>
    <row r="37" spans="1:11" ht="12.75" customHeight="1">
      <c r="C37" s="748" t="s">
        <v>1304</v>
      </c>
      <c r="D37" s="746" t="s">
        <v>1899</v>
      </c>
      <c r="E37" s="4665" t="s">
        <v>3106</v>
      </c>
      <c r="F37" s="4665"/>
      <c r="G37" s="4665"/>
      <c r="H37" s="4665"/>
    </row>
    <row r="38" spans="1:11" ht="12.75" customHeight="1">
      <c r="C38" s="1514" t="s">
        <v>4296</v>
      </c>
      <c r="E38" s="4665" t="s">
        <v>3243</v>
      </c>
      <c r="F38" s="4665"/>
      <c r="G38" s="4665"/>
      <c r="H38" s="4665"/>
    </row>
    <row r="39" spans="1:11" ht="12.75" customHeight="1">
      <c r="C39" s="1515"/>
      <c r="D39" s="1513" t="s">
        <v>3105</v>
      </c>
      <c r="E39" s="4668" t="s">
        <v>3244</v>
      </c>
      <c r="F39" s="4668"/>
      <c r="G39" s="4668"/>
      <c r="H39" s="4668"/>
    </row>
    <row r="40" spans="1:11" ht="3" customHeight="1">
      <c r="D40" s="746"/>
      <c r="E40" s="1511"/>
      <c r="F40" s="1511"/>
      <c r="G40" s="1511"/>
      <c r="H40" s="1511"/>
    </row>
    <row r="41" spans="1:11" ht="12.75" customHeight="1">
      <c r="C41" s="712" t="s">
        <v>3008</v>
      </c>
      <c r="D41" s="746" t="s">
        <v>1897</v>
      </c>
      <c r="E41" s="747"/>
      <c r="F41" s="743" t="s">
        <v>3009</v>
      </c>
      <c r="G41" s="743"/>
      <c r="H41" s="743"/>
    </row>
    <row r="42" spans="1:11" ht="12.75" customHeight="1">
      <c r="C42" s="748" t="s">
        <v>1304</v>
      </c>
      <c r="D42" s="746" t="s">
        <v>1899</v>
      </c>
      <c r="E42" s="4665" t="s">
        <v>3106</v>
      </c>
      <c r="F42" s="4665"/>
      <c r="G42" s="4665"/>
      <c r="H42" s="4665"/>
    </row>
    <row r="43" spans="1:11" ht="12.75" customHeight="1">
      <c r="C43" s="1514" t="s">
        <v>4296</v>
      </c>
      <c r="E43" s="4665" t="s">
        <v>3243</v>
      </c>
      <c r="F43" s="4665"/>
      <c r="G43" s="4665"/>
      <c r="H43" s="4665"/>
    </row>
    <row r="44" spans="1:11" ht="12.75" customHeight="1">
      <c r="C44" s="1515"/>
      <c r="D44" s="1513" t="s">
        <v>3105</v>
      </c>
      <c r="E44" s="4668" t="s">
        <v>3244</v>
      </c>
      <c r="F44" s="4668"/>
      <c r="G44" s="4668"/>
      <c r="H44" s="4668"/>
    </row>
    <row r="45" spans="1:11" ht="6" customHeight="1">
      <c r="D45" s="746"/>
      <c r="E45" s="1511"/>
      <c r="F45" s="1511"/>
      <c r="G45" s="1511"/>
      <c r="H45" s="1511"/>
    </row>
    <row r="46" spans="1:11">
      <c r="A46" s="717" t="s">
        <v>3101</v>
      </c>
      <c r="B46" s="744" t="str">
        <f>IF('Part VI-Revenues &amp; Expenses'!$L$62=0,"",'Part VI-Revenues &amp; Expenses'!$L$62)</f>
        <v/>
      </c>
      <c r="C46" s="717" t="s">
        <v>3102</v>
      </c>
      <c r="D46" s="745" t="s">
        <v>3245</v>
      </c>
    </row>
    <row r="47" spans="1:11" ht="1.9" customHeight="1">
      <c r="K47" s="1530"/>
    </row>
    <row r="48" spans="1:11" ht="12.75" customHeight="1">
      <c r="C48" s="712" t="s">
        <v>3008</v>
      </c>
      <c r="D48" s="746" t="s">
        <v>1897</v>
      </c>
      <c r="E48" s="747"/>
      <c r="F48" s="743" t="s">
        <v>3009</v>
      </c>
      <c r="G48" s="743"/>
      <c r="H48" s="743"/>
      <c r="K48" s="1530"/>
    </row>
    <row r="49" spans="1:11" ht="12.75" customHeight="1">
      <c r="C49" s="748" t="s">
        <v>1304</v>
      </c>
      <c r="D49" s="746" t="s">
        <v>1899</v>
      </c>
      <c r="E49" s="4665" t="s">
        <v>3106</v>
      </c>
      <c r="F49" s="4665"/>
      <c r="G49" s="4665"/>
      <c r="H49" s="4665"/>
      <c r="K49" s="1530"/>
    </row>
    <row r="50" spans="1:11" ht="12.75" customHeight="1">
      <c r="C50" s="1514" t="s">
        <v>4296</v>
      </c>
      <c r="E50" s="4665" t="s">
        <v>3243</v>
      </c>
      <c r="F50" s="4665"/>
      <c r="G50" s="4665"/>
      <c r="H50" s="4665"/>
    </row>
    <row r="51" spans="1:11" ht="12.75" customHeight="1">
      <c r="C51" s="1515"/>
      <c r="D51" s="1512" t="s">
        <v>3105</v>
      </c>
      <c r="E51" s="4669" t="s">
        <v>3244</v>
      </c>
      <c r="F51" s="4669"/>
      <c r="G51" s="4669"/>
      <c r="H51" s="4669"/>
    </row>
    <row r="52" spans="1:11" ht="3" customHeight="1">
      <c r="D52" s="746"/>
      <c r="E52" s="1511"/>
      <c r="F52" s="1511"/>
      <c r="G52" s="1511"/>
      <c r="H52" s="1511"/>
    </row>
    <row r="53" spans="1:11" ht="12.75" customHeight="1">
      <c r="C53" s="712" t="s">
        <v>3008</v>
      </c>
      <c r="D53" s="746" t="s">
        <v>1897</v>
      </c>
      <c r="E53" s="747"/>
      <c r="F53" s="743" t="s">
        <v>3009</v>
      </c>
      <c r="G53" s="743"/>
      <c r="H53" s="743"/>
    </row>
    <row r="54" spans="1:11" ht="12.75" customHeight="1">
      <c r="C54" s="748" t="s">
        <v>1304</v>
      </c>
      <c r="D54" s="746" t="s">
        <v>1899</v>
      </c>
      <c r="E54" s="4665" t="s">
        <v>3106</v>
      </c>
      <c r="F54" s="4665"/>
      <c r="G54" s="4665"/>
      <c r="H54" s="4665"/>
    </row>
    <row r="55" spans="1:11" ht="12.75" customHeight="1">
      <c r="C55" s="1514" t="s">
        <v>4296</v>
      </c>
      <c r="E55" s="4665" t="s">
        <v>3243</v>
      </c>
      <c r="F55" s="4665"/>
      <c r="G55" s="4665"/>
      <c r="H55" s="4665"/>
    </row>
    <row r="56" spans="1:11" ht="12.75" customHeight="1">
      <c r="C56" s="1515"/>
      <c r="D56" s="1513" t="s">
        <v>3105</v>
      </c>
      <c r="E56" s="4668" t="s">
        <v>3244</v>
      </c>
      <c r="F56" s="4668"/>
      <c r="G56" s="4668"/>
      <c r="H56" s="4668"/>
    </row>
    <row r="57" spans="1:11" ht="3" customHeight="1">
      <c r="D57" s="746"/>
      <c r="E57" s="1511"/>
      <c r="F57" s="1511"/>
      <c r="G57" s="1511"/>
      <c r="H57" s="1511"/>
    </row>
    <row r="58" spans="1:11" ht="12.75" customHeight="1">
      <c r="C58" s="712" t="s">
        <v>3008</v>
      </c>
      <c r="D58" s="746" t="s">
        <v>1897</v>
      </c>
      <c r="E58" s="747"/>
      <c r="F58" s="743" t="s">
        <v>3009</v>
      </c>
      <c r="G58" s="743"/>
      <c r="H58" s="743"/>
    </row>
    <row r="59" spans="1:11" ht="12.75" customHeight="1">
      <c r="C59" s="748" t="s">
        <v>1304</v>
      </c>
      <c r="D59" s="746" t="s">
        <v>1899</v>
      </c>
      <c r="E59" s="4665" t="s">
        <v>3106</v>
      </c>
      <c r="F59" s="4665"/>
      <c r="G59" s="4665"/>
      <c r="H59" s="4665"/>
    </row>
    <row r="60" spans="1:11" ht="12.75" customHeight="1">
      <c r="C60" s="1514" t="s">
        <v>4296</v>
      </c>
      <c r="E60" s="4665" t="s">
        <v>3243</v>
      </c>
      <c r="F60" s="4665"/>
      <c r="G60" s="4665"/>
      <c r="H60" s="4665"/>
    </row>
    <row r="61" spans="1:11" ht="12.75" customHeight="1">
      <c r="C61" s="1515"/>
      <c r="D61" s="1513" t="s">
        <v>3105</v>
      </c>
      <c r="E61" s="4668" t="s">
        <v>3244</v>
      </c>
      <c r="F61" s="4668"/>
      <c r="G61" s="4668"/>
      <c r="H61" s="4668"/>
    </row>
    <row r="62" spans="1:11" ht="6" customHeight="1">
      <c r="D62" s="746"/>
      <c r="E62" s="1095"/>
      <c r="F62" s="1095"/>
      <c r="G62" s="1095"/>
      <c r="H62" s="1095"/>
    </row>
    <row r="63" spans="1:11">
      <c r="A63" s="717" t="s">
        <v>3101</v>
      </c>
      <c r="B63" s="744" t="str">
        <f>IF('Part VI-Revenues &amp; Expenses'!$M$62=0,"",'Part VI-Revenues &amp; Expenses'!$M$62)</f>
        <v/>
      </c>
      <c r="C63" s="717" t="s">
        <v>3103</v>
      </c>
      <c r="D63" s="745" t="s">
        <v>3246</v>
      </c>
    </row>
    <row r="64" spans="1:11" ht="1.9" customHeight="1"/>
    <row r="65" spans="1:8" ht="12.75" customHeight="1">
      <c r="C65" s="712" t="s">
        <v>3008</v>
      </c>
      <c r="D65" s="746" t="s">
        <v>1897</v>
      </c>
      <c r="E65" s="747"/>
      <c r="F65" s="743" t="s">
        <v>3009</v>
      </c>
      <c r="G65" s="743"/>
      <c r="H65" s="743"/>
    </row>
    <row r="66" spans="1:8" ht="12.75" customHeight="1">
      <c r="C66" s="748" t="s">
        <v>1304</v>
      </c>
      <c r="D66" s="746" t="s">
        <v>1899</v>
      </c>
      <c r="E66" s="4665" t="s">
        <v>3106</v>
      </c>
      <c r="F66" s="4665"/>
      <c r="G66" s="4665"/>
      <c r="H66" s="4665"/>
    </row>
    <row r="67" spans="1:8" ht="12.75" customHeight="1">
      <c r="C67" s="1514" t="s">
        <v>4296</v>
      </c>
      <c r="E67" s="4665" t="s">
        <v>3243</v>
      </c>
      <c r="F67" s="4665"/>
      <c r="G67" s="4665"/>
      <c r="H67" s="4665"/>
    </row>
    <row r="68" spans="1:8" ht="12.75" customHeight="1">
      <c r="C68" s="1515"/>
      <c r="D68" s="1512" t="s">
        <v>3105</v>
      </c>
      <c r="E68" s="4669" t="s">
        <v>3244</v>
      </c>
      <c r="F68" s="4669"/>
      <c r="G68" s="4669"/>
      <c r="H68" s="4669"/>
    </row>
    <row r="69" spans="1:8" ht="3" customHeight="1">
      <c r="D69" s="746"/>
      <c r="E69" s="1095"/>
      <c r="F69" s="1095"/>
      <c r="G69" s="1095"/>
      <c r="H69" s="1095"/>
    </row>
    <row r="70" spans="1:8" ht="12.75" customHeight="1">
      <c r="C70" s="712" t="s">
        <v>3008</v>
      </c>
      <c r="D70" s="746" t="s">
        <v>1897</v>
      </c>
      <c r="E70" s="747"/>
      <c r="F70" s="743" t="s">
        <v>3009</v>
      </c>
      <c r="G70" s="743"/>
      <c r="H70" s="743"/>
    </row>
    <row r="71" spans="1:8" ht="12.75" customHeight="1">
      <c r="C71" s="748" t="s">
        <v>1304</v>
      </c>
      <c r="D71" s="746" t="s">
        <v>1899</v>
      </c>
      <c r="E71" s="4665" t="s">
        <v>3106</v>
      </c>
      <c r="F71" s="4665"/>
      <c r="G71" s="4665"/>
      <c r="H71" s="4665"/>
    </row>
    <row r="72" spans="1:8" ht="12.75" customHeight="1">
      <c r="C72" s="1514" t="s">
        <v>4296</v>
      </c>
      <c r="E72" s="4665" t="s">
        <v>3243</v>
      </c>
      <c r="F72" s="4665"/>
      <c r="G72" s="4665"/>
      <c r="H72" s="4665"/>
    </row>
    <row r="73" spans="1:8" ht="12.75" customHeight="1">
      <c r="C73" s="1515"/>
      <c r="D73" s="1513" t="s">
        <v>3105</v>
      </c>
      <c r="E73" s="4668" t="s">
        <v>3244</v>
      </c>
      <c r="F73" s="4668"/>
      <c r="G73" s="4668"/>
      <c r="H73" s="4668"/>
    </row>
    <row r="74" spans="1:8" ht="3" customHeight="1">
      <c r="D74" s="746"/>
      <c r="E74" s="1511"/>
      <c r="F74" s="1511"/>
      <c r="G74" s="1511"/>
      <c r="H74" s="1511"/>
    </row>
    <row r="75" spans="1:8" ht="12.75" customHeight="1">
      <c r="C75" s="712" t="s">
        <v>3008</v>
      </c>
      <c r="D75" s="746" t="s">
        <v>1897</v>
      </c>
      <c r="E75" s="747"/>
      <c r="F75" s="743" t="s">
        <v>3009</v>
      </c>
      <c r="G75" s="743"/>
      <c r="H75" s="743"/>
    </row>
    <row r="76" spans="1:8" ht="12.75" customHeight="1">
      <c r="C76" s="748" t="s">
        <v>1304</v>
      </c>
      <c r="D76" s="746" t="s">
        <v>1899</v>
      </c>
      <c r="E76" s="4665" t="s">
        <v>3106</v>
      </c>
      <c r="F76" s="4665"/>
      <c r="G76" s="4665"/>
      <c r="H76" s="4665"/>
    </row>
    <row r="77" spans="1:8" ht="12.75" customHeight="1">
      <c r="C77" s="1514" t="s">
        <v>4296</v>
      </c>
      <c r="E77" s="4665" t="s">
        <v>3243</v>
      </c>
      <c r="F77" s="4665"/>
      <c r="G77" s="4665"/>
      <c r="H77" s="4665"/>
    </row>
    <row r="78" spans="1:8" ht="12.75" customHeight="1">
      <c r="C78" s="1515"/>
      <c r="D78" s="1513" t="s">
        <v>3105</v>
      </c>
      <c r="E78" s="4668" t="s">
        <v>3244</v>
      </c>
      <c r="F78" s="4668"/>
      <c r="G78" s="4668"/>
      <c r="H78" s="4668"/>
    </row>
    <row r="79" spans="1:8" ht="6" customHeight="1">
      <c r="D79" s="746"/>
      <c r="E79" s="1511"/>
      <c r="F79" s="1511"/>
      <c r="G79" s="1511"/>
      <c r="H79" s="1511"/>
    </row>
    <row r="80" spans="1:8">
      <c r="A80" s="717" t="s">
        <v>3101</v>
      </c>
      <c r="B80" s="744" t="str">
        <f>IF('Part VI-Revenues &amp; Expenses'!$N$62=0,"",'Part VI-Revenues &amp; Expenses'!$N$62)</f>
        <v/>
      </c>
      <c r="C80" s="717" t="s">
        <v>3104</v>
      </c>
      <c r="D80" s="745" t="s">
        <v>3247</v>
      </c>
    </row>
    <row r="81" spans="3:8" ht="1.9" customHeight="1"/>
    <row r="82" spans="3:8" ht="12.75" customHeight="1">
      <c r="C82" s="712" t="s">
        <v>3008</v>
      </c>
      <c r="D82" s="746" t="s">
        <v>1897</v>
      </c>
      <c r="E82" s="747"/>
      <c r="F82" s="743" t="s">
        <v>3009</v>
      </c>
      <c r="G82" s="743"/>
      <c r="H82" s="743"/>
    </row>
    <row r="83" spans="3:8" ht="12.75" customHeight="1">
      <c r="C83" s="748" t="s">
        <v>1304</v>
      </c>
      <c r="D83" s="746" t="s">
        <v>1899</v>
      </c>
      <c r="E83" s="4665" t="s">
        <v>3106</v>
      </c>
      <c r="F83" s="4665"/>
      <c r="G83" s="4665"/>
      <c r="H83" s="4665"/>
    </row>
    <row r="84" spans="3:8" ht="12.75" customHeight="1">
      <c r="C84" s="1514" t="s">
        <v>4296</v>
      </c>
      <c r="E84" s="4665" t="s">
        <v>3243</v>
      </c>
      <c r="F84" s="4665"/>
      <c r="G84" s="4665"/>
      <c r="H84" s="4665"/>
    </row>
    <row r="85" spans="3:8" ht="12.75" customHeight="1">
      <c r="C85" s="1515"/>
      <c r="D85" s="1512" t="s">
        <v>3105</v>
      </c>
      <c r="E85" s="4669" t="s">
        <v>3244</v>
      </c>
      <c r="F85" s="4669"/>
      <c r="G85" s="4669"/>
      <c r="H85" s="4669"/>
    </row>
    <row r="86" spans="3:8" ht="3" customHeight="1">
      <c r="D86" s="746"/>
      <c r="E86" s="1511"/>
      <c r="F86" s="1511"/>
      <c r="G86" s="1511"/>
      <c r="H86" s="1511"/>
    </row>
    <row r="87" spans="3:8" ht="12.75" customHeight="1">
      <c r="C87" s="712" t="s">
        <v>3008</v>
      </c>
      <c r="D87" s="746" t="s">
        <v>1897</v>
      </c>
      <c r="E87" s="747"/>
      <c r="F87" s="743" t="s">
        <v>3009</v>
      </c>
      <c r="G87" s="743"/>
      <c r="H87" s="743"/>
    </row>
    <row r="88" spans="3:8" ht="12.75" customHeight="1">
      <c r="C88" s="748" t="s">
        <v>1304</v>
      </c>
      <c r="D88" s="746" t="s">
        <v>1899</v>
      </c>
      <c r="E88" s="4665" t="s">
        <v>3106</v>
      </c>
      <c r="F88" s="4665"/>
      <c r="G88" s="4665"/>
      <c r="H88" s="4665"/>
    </row>
    <row r="89" spans="3:8" ht="12.75" customHeight="1">
      <c r="C89" s="1514" t="s">
        <v>4296</v>
      </c>
      <c r="E89" s="4665" t="s">
        <v>3243</v>
      </c>
      <c r="F89" s="4665"/>
      <c r="G89" s="4665"/>
      <c r="H89" s="4665"/>
    </row>
    <row r="90" spans="3:8" ht="12.75" customHeight="1">
      <c r="C90" s="1515"/>
      <c r="D90" s="1513" t="s">
        <v>3105</v>
      </c>
      <c r="E90" s="4668" t="s">
        <v>3244</v>
      </c>
      <c r="F90" s="4668"/>
      <c r="G90" s="4668"/>
      <c r="H90" s="4668"/>
    </row>
    <row r="91" spans="3:8" ht="3" customHeight="1">
      <c r="D91" s="746"/>
      <c r="E91" s="1511"/>
      <c r="F91" s="1511"/>
      <c r="G91" s="1511"/>
      <c r="H91" s="1511"/>
    </row>
    <row r="92" spans="3:8" ht="12.75" customHeight="1">
      <c r="C92" s="712" t="s">
        <v>3008</v>
      </c>
      <c r="D92" s="746" t="s">
        <v>1897</v>
      </c>
      <c r="E92" s="747"/>
      <c r="F92" s="743" t="s">
        <v>3009</v>
      </c>
      <c r="G92" s="743"/>
      <c r="H92" s="743"/>
    </row>
    <row r="93" spans="3:8" ht="12.75" customHeight="1">
      <c r="C93" s="748" t="s">
        <v>1304</v>
      </c>
      <c r="D93" s="746" t="s">
        <v>1899</v>
      </c>
      <c r="E93" s="4665" t="s">
        <v>3106</v>
      </c>
      <c r="F93" s="4665"/>
      <c r="G93" s="4665"/>
      <c r="H93" s="4665"/>
    </row>
    <row r="94" spans="3:8" ht="12.75" customHeight="1">
      <c r="C94" s="1514" t="s">
        <v>4296</v>
      </c>
      <c r="E94" s="4665" t="s">
        <v>3243</v>
      </c>
      <c r="F94" s="4665"/>
      <c r="G94" s="4665"/>
      <c r="H94" s="4665"/>
    </row>
    <row r="95" spans="3:8" ht="12.75" customHeight="1">
      <c r="C95" s="1515"/>
      <c r="D95" s="1513" t="s">
        <v>3105</v>
      </c>
      <c r="E95" s="4668" t="s">
        <v>3244</v>
      </c>
      <c r="F95" s="4668"/>
      <c r="G95" s="4668"/>
      <c r="H95" s="4668"/>
    </row>
    <row r="96" spans="3:8" ht="6" customHeight="1">
      <c r="D96" s="746"/>
      <c r="E96" s="1511"/>
      <c r="F96" s="1511"/>
      <c r="G96" s="1511"/>
      <c r="H96" s="1511"/>
    </row>
    <row r="97" spans="1:11">
      <c r="A97" s="717" t="s">
        <v>3101</v>
      </c>
      <c r="B97" s="744" t="str">
        <f>IF('Part VI-Revenues &amp; Expenses'!$O$62=0,"",'Part VI-Revenues &amp; Expenses'!$O$62)</f>
        <v/>
      </c>
      <c r="C97" s="717" t="s">
        <v>4294</v>
      </c>
      <c r="D97" s="745" t="s">
        <v>4295</v>
      </c>
    </row>
    <row r="98" spans="1:11" ht="1.9" customHeight="1"/>
    <row r="99" spans="1:11" ht="12.75" customHeight="1">
      <c r="C99" s="712" t="s">
        <v>3008</v>
      </c>
      <c r="D99" s="746" t="s">
        <v>1897</v>
      </c>
      <c r="E99" s="747"/>
      <c r="F99" s="4665" t="s">
        <v>3009</v>
      </c>
      <c r="G99" s="4665"/>
      <c r="H99" s="4665"/>
      <c r="K99" s="699" t="s">
        <v>232</v>
      </c>
    </row>
    <row r="100" spans="1:11" ht="12.75" customHeight="1">
      <c r="C100" s="748" t="s">
        <v>1304</v>
      </c>
      <c r="D100" s="746" t="s">
        <v>1899</v>
      </c>
      <c r="E100" s="4665" t="s">
        <v>3107</v>
      </c>
      <c r="F100" s="4665"/>
      <c r="G100" s="4665"/>
      <c r="H100" s="4665"/>
    </row>
    <row r="101" spans="1:11" ht="12.75" customHeight="1">
      <c r="E101" s="4665" t="s">
        <v>3243</v>
      </c>
      <c r="F101" s="4665"/>
      <c r="G101" s="4665"/>
      <c r="H101" s="4665"/>
    </row>
    <row r="102" spans="1:11" ht="12.75" customHeight="1">
      <c r="D102" s="749" t="s">
        <v>3105</v>
      </c>
      <c r="E102" s="4665" t="s">
        <v>3244</v>
      </c>
      <c r="F102" s="4665"/>
      <c r="G102" s="4665"/>
      <c r="H102" s="4665"/>
    </row>
    <row r="103" spans="1:11" ht="9" customHeight="1" thickBot="1"/>
    <row r="104" spans="1:11" ht="16.149999999999999" customHeight="1" thickBot="1">
      <c r="A104" s="4666">
        <v>30</v>
      </c>
      <c r="B104" s="4667"/>
      <c r="C104" s="1516" t="s">
        <v>1000</v>
      </c>
    </row>
    <row r="105" spans="1:11" ht="9" customHeight="1">
      <c r="A105" s="702"/>
    </row>
    <row r="106" spans="1:11" ht="28.15" customHeight="1">
      <c r="A106" s="4670" t="s">
        <v>4299</v>
      </c>
      <c r="B106" s="4670"/>
      <c r="C106" s="4670"/>
      <c r="D106" s="4670"/>
      <c r="E106" s="4670"/>
      <c r="F106" s="4670"/>
      <c r="G106" s="4670"/>
      <c r="H106" s="4670"/>
    </row>
    <row r="107" spans="1:11" ht="9" customHeight="1">
      <c r="A107" s="702"/>
    </row>
    <row r="108" spans="1:11">
      <c r="A108" s="717" t="s">
        <v>3101</v>
      </c>
      <c r="B108" s="744" t="str">
        <f>IF('Part VI-Revenues &amp; Expenses'!$K$61=0,"",'Part VI-Revenues &amp; Expenses'!$K$61)</f>
        <v/>
      </c>
      <c r="C108" s="717" t="s">
        <v>4291</v>
      </c>
      <c r="D108" s="745" t="s">
        <v>4292</v>
      </c>
    </row>
    <row r="109" spans="1:11" ht="1.9" customHeight="1"/>
    <row r="110" spans="1:11" ht="12.75" customHeight="1">
      <c r="C110" s="712" t="s">
        <v>3008</v>
      </c>
      <c r="D110" s="746" t="s">
        <v>1897</v>
      </c>
      <c r="E110" s="747"/>
      <c r="F110" s="4665" t="s">
        <v>3009</v>
      </c>
      <c r="G110" s="4665"/>
      <c r="H110" s="4665"/>
    </row>
    <row r="111" spans="1:11" ht="12.75" customHeight="1">
      <c r="C111" s="748" t="s">
        <v>1304</v>
      </c>
      <c r="D111" s="746" t="s">
        <v>1899</v>
      </c>
      <c r="E111" s="4665" t="s">
        <v>3106</v>
      </c>
      <c r="F111" s="4665"/>
      <c r="G111" s="4665"/>
      <c r="H111" s="4665"/>
    </row>
    <row r="112" spans="1:11" ht="12.75" customHeight="1">
      <c r="C112" s="1514" t="s">
        <v>4296</v>
      </c>
      <c r="E112" s="4665" t="s">
        <v>3243</v>
      </c>
      <c r="F112" s="4665"/>
      <c r="G112" s="4665"/>
      <c r="H112" s="4665"/>
    </row>
    <row r="113" spans="1:8" ht="12.75" customHeight="1">
      <c r="C113" s="1515"/>
      <c r="D113" s="1513" t="s">
        <v>3105</v>
      </c>
      <c r="E113" s="4668" t="s">
        <v>3244</v>
      </c>
      <c r="F113" s="4668"/>
      <c r="G113" s="4668"/>
      <c r="H113" s="4668"/>
    </row>
    <row r="114" spans="1:8" ht="3" customHeight="1">
      <c r="D114" s="746"/>
      <c r="E114" s="1511"/>
      <c r="F114" s="1511"/>
      <c r="G114" s="1511"/>
      <c r="H114" s="1511"/>
    </row>
    <row r="115" spans="1:8" ht="12.75" customHeight="1">
      <c r="C115" s="712" t="s">
        <v>3008</v>
      </c>
      <c r="D115" s="746" t="s">
        <v>1897</v>
      </c>
      <c r="E115" s="747"/>
      <c r="F115" s="743" t="s">
        <v>3009</v>
      </c>
      <c r="G115" s="743"/>
      <c r="H115" s="743"/>
    </row>
    <row r="116" spans="1:8" ht="12.75" customHeight="1">
      <c r="C116" s="748" t="s">
        <v>1304</v>
      </c>
      <c r="D116" s="746" t="s">
        <v>1899</v>
      </c>
      <c r="E116" s="4665" t="s">
        <v>3106</v>
      </c>
      <c r="F116" s="4665"/>
      <c r="G116" s="4665"/>
      <c r="H116" s="4665"/>
    </row>
    <row r="117" spans="1:8" ht="12.75" customHeight="1">
      <c r="C117" s="1514" t="s">
        <v>4296</v>
      </c>
      <c r="E117" s="4665" t="s">
        <v>3243</v>
      </c>
      <c r="F117" s="4665"/>
      <c r="G117" s="4665"/>
      <c r="H117" s="4665"/>
    </row>
    <row r="118" spans="1:8" ht="12.75" customHeight="1">
      <c r="C118" s="1515"/>
      <c r="D118" s="1513" t="s">
        <v>3105</v>
      </c>
      <c r="E118" s="4668" t="s">
        <v>3244</v>
      </c>
      <c r="F118" s="4668"/>
      <c r="G118" s="4668"/>
      <c r="H118" s="4668"/>
    </row>
    <row r="119" spans="1:8" ht="3" customHeight="1">
      <c r="D119" s="746"/>
      <c r="E119" s="1511"/>
      <c r="F119" s="1511"/>
      <c r="G119" s="1511"/>
      <c r="H119" s="1511"/>
    </row>
    <row r="120" spans="1:8" ht="12.75" customHeight="1">
      <c r="C120" s="712" t="s">
        <v>3008</v>
      </c>
      <c r="D120" s="746" t="s">
        <v>1897</v>
      </c>
      <c r="E120" s="747"/>
      <c r="F120" s="743" t="s">
        <v>3009</v>
      </c>
      <c r="G120" s="743"/>
      <c r="H120" s="743"/>
    </row>
    <row r="121" spans="1:8" ht="12.75" customHeight="1">
      <c r="C121" s="748" t="s">
        <v>1304</v>
      </c>
      <c r="D121" s="746" t="s">
        <v>1899</v>
      </c>
      <c r="E121" s="4665" t="s">
        <v>3106</v>
      </c>
      <c r="F121" s="4665"/>
      <c r="G121" s="4665"/>
      <c r="H121" s="4665"/>
    </row>
    <row r="122" spans="1:8" ht="12.75" customHeight="1">
      <c r="C122" s="1514" t="s">
        <v>4296</v>
      </c>
      <c r="E122" s="4665" t="s">
        <v>3243</v>
      </c>
      <c r="F122" s="4665"/>
      <c r="G122" s="4665"/>
      <c r="H122" s="4665"/>
    </row>
    <row r="123" spans="1:8" ht="12.75" customHeight="1">
      <c r="C123" s="1515"/>
      <c r="D123" s="1513" t="s">
        <v>3105</v>
      </c>
      <c r="E123" s="4668" t="s">
        <v>3244</v>
      </c>
      <c r="F123" s="4668"/>
      <c r="G123" s="4668"/>
      <c r="H123" s="4668"/>
    </row>
    <row r="124" spans="1:8" ht="6" customHeight="1">
      <c r="D124" s="746"/>
      <c r="E124" s="1511"/>
      <c r="F124" s="1511"/>
      <c r="G124" s="1511"/>
      <c r="H124" s="1511"/>
    </row>
    <row r="125" spans="1:8">
      <c r="A125" s="717" t="s">
        <v>3101</v>
      </c>
      <c r="B125" s="744" t="str">
        <f>IF('Part VI-Revenues &amp; Expenses'!$L$61=0,"",'Part VI-Revenues &amp; Expenses'!$L$61)</f>
        <v/>
      </c>
      <c r="C125" s="717" t="s">
        <v>3102</v>
      </c>
      <c r="D125" s="745" t="s">
        <v>3245</v>
      </c>
    </row>
    <row r="126" spans="1:8" ht="1.9" customHeight="1"/>
    <row r="127" spans="1:8" ht="12.75" customHeight="1">
      <c r="C127" s="712" t="s">
        <v>3008</v>
      </c>
      <c r="D127" s="746" t="s">
        <v>1897</v>
      </c>
      <c r="E127" s="747"/>
      <c r="F127" s="743" t="s">
        <v>3009</v>
      </c>
      <c r="G127" s="743"/>
      <c r="H127" s="743"/>
    </row>
    <row r="128" spans="1:8" ht="12.75" customHeight="1">
      <c r="C128" s="748" t="s">
        <v>1304</v>
      </c>
      <c r="D128" s="746" t="s">
        <v>1899</v>
      </c>
      <c r="E128" s="4665" t="s">
        <v>3106</v>
      </c>
      <c r="F128" s="4665"/>
      <c r="G128" s="4665"/>
      <c r="H128" s="4665"/>
    </row>
    <row r="129" spans="1:8" ht="12.75" customHeight="1">
      <c r="C129" s="1514" t="s">
        <v>4296</v>
      </c>
      <c r="E129" s="4665" t="s">
        <v>3243</v>
      </c>
      <c r="F129" s="4665"/>
      <c r="G129" s="4665"/>
      <c r="H129" s="4665"/>
    </row>
    <row r="130" spans="1:8" ht="12.75" customHeight="1">
      <c r="C130" s="1515"/>
      <c r="D130" s="1512" t="s">
        <v>3105</v>
      </c>
      <c r="E130" s="4669" t="s">
        <v>3244</v>
      </c>
      <c r="F130" s="4669"/>
      <c r="G130" s="4669"/>
      <c r="H130" s="4669"/>
    </row>
    <row r="131" spans="1:8" ht="3" customHeight="1">
      <c r="D131" s="746"/>
      <c r="E131" s="1511"/>
      <c r="F131" s="1511"/>
      <c r="G131" s="1511"/>
      <c r="H131" s="1511"/>
    </row>
    <row r="132" spans="1:8" ht="12.75" customHeight="1">
      <c r="C132" s="712" t="s">
        <v>3008</v>
      </c>
      <c r="D132" s="746" t="s">
        <v>1897</v>
      </c>
      <c r="E132" s="747"/>
      <c r="F132" s="743" t="s">
        <v>3009</v>
      </c>
      <c r="G132" s="743"/>
      <c r="H132" s="743"/>
    </row>
    <row r="133" spans="1:8" ht="12.75" customHeight="1">
      <c r="C133" s="748" t="s">
        <v>1304</v>
      </c>
      <c r="D133" s="746" t="s">
        <v>1899</v>
      </c>
      <c r="E133" s="4665" t="s">
        <v>3106</v>
      </c>
      <c r="F133" s="4665"/>
      <c r="G133" s="4665"/>
      <c r="H133" s="4665"/>
    </row>
    <row r="134" spans="1:8" ht="12.75" customHeight="1">
      <c r="C134" s="1514" t="s">
        <v>4296</v>
      </c>
      <c r="E134" s="4665" t="s">
        <v>3243</v>
      </c>
      <c r="F134" s="4665"/>
      <c r="G134" s="4665"/>
      <c r="H134" s="4665"/>
    </row>
    <row r="135" spans="1:8" ht="12.75" customHeight="1">
      <c r="C135" s="1515"/>
      <c r="D135" s="1513" t="s">
        <v>3105</v>
      </c>
      <c r="E135" s="4668" t="s">
        <v>3244</v>
      </c>
      <c r="F135" s="4668"/>
      <c r="G135" s="4668"/>
      <c r="H135" s="4668"/>
    </row>
    <row r="136" spans="1:8" ht="3" customHeight="1">
      <c r="D136" s="746"/>
      <c r="E136" s="1511"/>
      <c r="F136" s="1511"/>
      <c r="G136" s="1511"/>
      <c r="H136" s="1511"/>
    </row>
    <row r="137" spans="1:8" ht="12.75" customHeight="1">
      <c r="C137" s="712" t="s">
        <v>3008</v>
      </c>
      <c r="D137" s="746" t="s">
        <v>1897</v>
      </c>
      <c r="E137" s="747"/>
      <c r="F137" s="743" t="s">
        <v>3009</v>
      </c>
      <c r="G137" s="743"/>
      <c r="H137" s="743"/>
    </row>
    <row r="138" spans="1:8" ht="12.75" customHeight="1">
      <c r="C138" s="748" t="s">
        <v>1304</v>
      </c>
      <c r="D138" s="746" t="s">
        <v>1899</v>
      </c>
      <c r="E138" s="4665" t="s">
        <v>3106</v>
      </c>
      <c r="F138" s="4665"/>
      <c r="G138" s="4665"/>
      <c r="H138" s="4665"/>
    </row>
    <row r="139" spans="1:8" ht="12.75" customHeight="1">
      <c r="C139" s="1514" t="s">
        <v>4296</v>
      </c>
      <c r="E139" s="4665" t="s">
        <v>3243</v>
      </c>
      <c r="F139" s="4665"/>
      <c r="G139" s="4665"/>
      <c r="H139" s="4665"/>
    </row>
    <row r="140" spans="1:8" ht="12.75" customHeight="1">
      <c r="C140" s="1515"/>
      <c r="D140" s="1513" t="s">
        <v>3105</v>
      </c>
      <c r="E140" s="4668" t="s">
        <v>3244</v>
      </c>
      <c r="F140" s="4668"/>
      <c r="G140" s="4668"/>
      <c r="H140" s="4668"/>
    </row>
    <row r="141" spans="1:8" ht="6" customHeight="1">
      <c r="D141" s="746"/>
      <c r="E141" s="1511"/>
      <c r="F141" s="1511"/>
      <c r="G141" s="1511"/>
      <c r="H141" s="1511"/>
    </row>
    <row r="142" spans="1:8">
      <c r="A142" s="717" t="s">
        <v>3101</v>
      </c>
      <c r="B142" s="744" t="str">
        <f>IF('Part VI-Revenues &amp; Expenses'!$M$61=0,"",'Part VI-Revenues &amp; Expenses'!$M$61)</f>
        <v/>
      </c>
      <c r="C142" s="717" t="s">
        <v>3103</v>
      </c>
      <c r="D142" s="745" t="s">
        <v>3246</v>
      </c>
    </row>
    <row r="143" spans="1:8" ht="1.9" customHeight="1"/>
    <row r="144" spans="1:8" ht="12.75" customHeight="1">
      <c r="C144" s="712" t="s">
        <v>3008</v>
      </c>
      <c r="D144" s="746" t="s">
        <v>1897</v>
      </c>
      <c r="E144" s="747"/>
      <c r="F144" s="743" t="s">
        <v>3009</v>
      </c>
      <c r="G144" s="743"/>
      <c r="H144" s="743"/>
    </row>
    <row r="145" spans="1:8" ht="12.75" customHeight="1">
      <c r="C145" s="748" t="s">
        <v>1304</v>
      </c>
      <c r="D145" s="746" t="s">
        <v>1899</v>
      </c>
      <c r="E145" s="4665" t="s">
        <v>3106</v>
      </c>
      <c r="F145" s="4665"/>
      <c r="G145" s="4665"/>
      <c r="H145" s="4665"/>
    </row>
    <row r="146" spans="1:8" ht="12.75" customHeight="1">
      <c r="C146" s="1514" t="s">
        <v>4296</v>
      </c>
      <c r="E146" s="4665" t="s">
        <v>3243</v>
      </c>
      <c r="F146" s="4665"/>
      <c r="G146" s="4665"/>
      <c r="H146" s="4665"/>
    </row>
    <row r="147" spans="1:8" ht="12.75" customHeight="1">
      <c r="C147" s="1515"/>
      <c r="D147" s="1512" t="s">
        <v>3105</v>
      </c>
      <c r="E147" s="4669" t="s">
        <v>3244</v>
      </c>
      <c r="F147" s="4669"/>
      <c r="G147" s="4669"/>
      <c r="H147" s="4669"/>
    </row>
    <row r="148" spans="1:8" ht="3" customHeight="1">
      <c r="D148" s="746"/>
      <c r="E148" s="1511"/>
      <c r="F148" s="1511"/>
      <c r="G148" s="1511"/>
      <c r="H148" s="1511"/>
    </row>
    <row r="149" spans="1:8" ht="12.75" customHeight="1">
      <c r="C149" s="712" t="s">
        <v>3008</v>
      </c>
      <c r="D149" s="746" t="s">
        <v>1897</v>
      </c>
      <c r="E149" s="747"/>
      <c r="F149" s="743" t="s">
        <v>3009</v>
      </c>
      <c r="G149" s="743"/>
      <c r="H149" s="743"/>
    </row>
    <row r="150" spans="1:8" ht="12.75" customHeight="1">
      <c r="C150" s="748" t="s">
        <v>1304</v>
      </c>
      <c r="D150" s="746" t="s">
        <v>1899</v>
      </c>
      <c r="E150" s="4665" t="s">
        <v>3106</v>
      </c>
      <c r="F150" s="4665"/>
      <c r="G150" s="4665"/>
      <c r="H150" s="4665"/>
    </row>
    <row r="151" spans="1:8" ht="12.75" customHeight="1">
      <c r="C151" s="1514" t="s">
        <v>4296</v>
      </c>
      <c r="E151" s="4665" t="s">
        <v>3243</v>
      </c>
      <c r="F151" s="4665"/>
      <c r="G151" s="4665"/>
      <c r="H151" s="4665"/>
    </row>
    <row r="152" spans="1:8" ht="12.75" customHeight="1">
      <c r="C152" s="1515"/>
      <c r="D152" s="1513" t="s">
        <v>3105</v>
      </c>
      <c r="E152" s="4668" t="s">
        <v>3244</v>
      </c>
      <c r="F152" s="4668"/>
      <c r="G152" s="4668"/>
      <c r="H152" s="4668"/>
    </row>
    <row r="153" spans="1:8" ht="3" customHeight="1">
      <c r="D153" s="746"/>
      <c r="E153" s="1511"/>
      <c r="F153" s="1511"/>
      <c r="G153" s="1511"/>
      <c r="H153" s="1511"/>
    </row>
    <row r="154" spans="1:8" ht="12.75" customHeight="1">
      <c r="C154" s="712" t="s">
        <v>3008</v>
      </c>
      <c r="D154" s="746" t="s">
        <v>1897</v>
      </c>
      <c r="E154" s="747"/>
      <c r="F154" s="743" t="s">
        <v>3009</v>
      </c>
      <c r="G154" s="743"/>
      <c r="H154" s="743"/>
    </row>
    <row r="155" spans="1:8" ht="12.75" customHeight="1">
      <c r="C155" s="748" t="s">
        <v>1304</v>
      </c>
      <c r="D155" s="746" t="s">
        <v>1899</v>
      </c>
      <c r="E155" s="4665" t="s">
        <v>3106</v>
      </c>
      <c r="F155" s="4665"/>
      <c r="G155" s="4665"/>
      <c r="H155" s="4665"/>
    </row>
    <row r="156" spans="1:8" ht="12.75" customHeight="1">
      <c r="C156" s="1514" t="s">
        <v>4296</v>
      </c>
      <c r="E156" s="4665" t="s">
        <v>3243</v>
      </c>
      <c r="F156" s="4665"/>
      <c r="G156" s="4665"/>
      <c r="H156" s="4665"/>
    </row>
    <row r="157" spans="1:8" ht="12.75" customHeight="1">
      <c r="C157" s="1515"/>
      <c r="D157" s="1513" t="s">
        <v>3105</v>
      </c>
      <c r="E157" s="4668" t="s">
        <v>3244</v>
      </c>
      <c r="F157" s="4668"/>
      <c r="G157" s="4668"/>
      <c r="H157" s="4668"/>
    </row>
    <row r="158" spans="1:8" ht="6" customHeight="1">
      <c r="D158" s="746"/>
      <c r="E158" s="1511"/>
      <c r="F158" s="1511"/>
      <c r="G158" s="1511"/>
      <c r="H158" s="1511"/>
    </row>
    <row r="159" spans="1:8">
      <c r="A159" s="717" t="s">
        <v>3101</v>
      </c>
      <c r="B159" s="744" t="str">
        <f>IF('Part VI-Revenues &amp; Expenses'!$N$61=0,"",'Part VI-Revenues &amp; Expenses'!$N$61)</f>
        <v/>
      </c>
      <c r="C159" s="717" t="s">
        <v>3104</v>
      </c>
      <c r="D159" s="745" t="s">
        <v>3247</v>
      </c>
    </row>
    <row r="160" spans="1:8" ht="1.9" customHeight="1"/>
    <row r="161" spans="1:8" ht="12.75" customHeight="1">
      <c r="C161" s="712" t="s">
        <v>3008</v>
      </c>
      <c r="D161" s="746" t="s">
        <v>1897</v>
      </c>
      <c r="E161" s="747"/>
      <c r="F161" s="743" t="s">
        <v>3009</v>
      </c>
      <c r="G161" s="743"/>
      <c r="H161" s="743"/>
    </row>
    <row r="162" spans="1:8" ht="12.75" customHeight="1">
      <c r="C162" s="748" t="s">
        <v>1304</v>
      </c>
      <c r="D162" s="746" t="s">
        <v>1899</v>
      </c>
      <c r="E162" s="4665" t="s">
        <v>3106</v>
      </c>
      <c r="F162" s="4665"/>
      <c r="G162" s="4665"/>
      <c r="H162" s="4665"/>
    </row>
    <row r="163" spans="1:8" ht="12.75" customHeight="1">
      <c r="C163" s="1514" t="s">
        <v>4296</v>
      </c>
      <c r="E163" s="4665" t="s">
        <v>3243</v>
      </c>
      <c r="F163" s="4665"/>
      <c r="G163" s="4665"/>
      <c r="H163" s="4665"/>
    </row>
    <row r="164" spans="1:8" ht="12.75" customHeight="1">
      <c r="C164" s="1515"/>
      <c r="D164" s="1512" t="s">
        <v>3105</v>
      </c>
      <c r="E164" s="4669" t="s">
        <v>3244</v>
      </c>
      <c r="F164" s="4669"/>
      <c r="G164" s="4669"/>
      <c r="H164" s="4669"/>
    </row>
    <row r="165" spans="1:8" ht="3" customHeight="1">
      <c r="D165" s="746"/>
      <c r="E165" s="1511"/>
      <c r="F165" s="1511"/>
      <c r="G165" s="1511"/>
      <c r="H165" s="1511"/>
    </row>
    <row r="166" spans="1:8" ht="12.75" customHeight="1">
      <c r="C166" s="712" t="s">
        <v>3008</v>
      </c>
      <c r="D166" s="746" t="s">
        <v>1897</v>
      </c>
      <c r="E166" s="747"/>
      <c r="F166" s="743" t="s">
        <v>3009</v>
      </c>
      <c r="G166" s="743"/>
      <c r="H166" s="743"/>
    </row>
    <row r="167" spans="1:8" ht="12.75" customHeight="1">
      <c r="C167" s="748" t="s">
        <v>1304</v>
      </c>
      <c r="D167" s="746" t="s">
        <v>1899</v>
      </c>
      <c r="E167" s="4665" t="s">
        <v>3106</v>
      </c>
      <c r="F167" s="4665"/>
      <c r="G167" s="4665"/>
      <c r="H167" s="4665"/>
    </row>
    <row r="168" spans="1:8" ht="12.75" customHeight="1">
      <c r="C168" s="1514" t="s">
        <v>4296</v>
      </c>
      <c r="E168" s="4665" t="s">
        <v>3243</v>
      </c>
      <c r="F168" s="4665"/>
      <c r="G168" s="4665"/>
      <c r="H168" s="4665"/>
    </row>
    <row r="169" spans="1:8" ht="12.75" customHeight="1">
      <c r="C169" s="1515"/>
      <c r="D169" s="1513" t="s">
        <v>3105</v>
      </c>
      <c r="E169" s="4668" t="s">
        <v>3244</v>
      </c>
      <c r="F169" s="4668"/>
      <c r="G169" s="4668"/>
      <c r="H169" s="4668"/>
    </row>
    <row r="170" spans="1:8" ht="3" customHeight="1">
      <c r="D170" s="746"/>
      <c r="E170" s="1511"/>
      <c r="F170" s="1511"/>
      <c r="G170" s="1511"/>
      <c r="H170" s="1511"/>
    </row>
    <row r="171" spans="1:8" ht="12.75" customHeight="1">
      <c r="C171" s="712" t="s">
        <v>3008</v>
      </c>
      <c r="D171" s="746" t="s">
        <v>1897</v>
      </c>
      <c r="E171" s="747"/>
      <c r="F171" s="743" t="s">
        <v>3009</v>
      </c>
      <c r="G171" s="743"/>
      <c r="H171" s="743"/>
    </row>
    <row r="172" spans="1:8" ht="12.75" customHeight="1">
      <c r="C172" s="748" t="s">
        <v>1304</v>
      </c>
      <c r="D172" s="746" t="s">
        <v>1899</v>
      </c>
      <c r="E172" s="4665" t="s">
        <v>3106</v>
      </c>
      <c r="F172" s="4665"/>
      <c r="G172" s="4665"/>
      <c r="H172" s="4665"/>
    </row>
    <row r="173" spans="1:8" ht="12.75" customHeight="1">
      <c r="C173" s="1514" t="s">
        <v>4296</v>
      </c>
      <c r="E173" s="4665" t="s">
        <v>3243</v>
      </c>
      <c r="F173" s="4665"/>
      <c r="G173" s="4665"/>
      <c r="H173" s="4665"/>
    </row>
    <row r="174" spans="1:8" ht="12.75" customHeight="1">
      <c r="C174" s="1515"/>
      <c r="D174" s="1513" t="s">
        <v>3105</v>
      </c>
      <c r="E174" s="4668" t="s">
        <v>3244</v>
      </c>
      <c r="F174" s="4668"/>
      <c r="G174" s="4668"/>
      <c r="H174" s="4668"/>
    </row>
    <row r="175" spans="1:8" ht="6" customHeight="1">
      <c r="D175" s="746"/>
      <c r="E175" s="1511"/>
      <c r="F175" s="1511"/>
      <c r="G175" s="1511"/>
      <c r="H175" s="1511"/>
    </row>
    <row r="176" spans="1:8">
      <c r="A176" s="717" t="s">
        <v>3101</v>
      </c>
      <c r="B176" s="744" t="str">
        <f>IF('Part VI-Revenues &amp; Expenses'!$O61=0,"",'Part VI-Revenues &amp; Expenses'!$O$61)</f>
        <v/>
      </c>
      <c r="C176" s="717" t="s">
        <v>4294</v>
      </c>
      <c r="D176" s="745" t="s">
        <v>4295</v>
      </c>
    </row>
    <row r="177" spans="1:11" ht="1.9" customHeight="1"/>
    <row r="178" spans="1:11" ht="12.75" customHeight="1">
      <c r="C178" s="712" t="s">
        <v>3008</v>
      </c>
      <c r="D178" s="746" t="s">
        <v>1897</v>
      </c>
      <c r="E178" s="747"/>
      <c r="F178" s="4665" t="s">
        <v>3009</v>
      </c>
      <c r="G178" s="4665"/>
      <c r="H178" s="4665"/>
      <c r="K178" s="699" t="s">
        <v>232</v>
      </c>
    </row>
    <row r="179" spans="1:11" ht="12.75" customHeight="1">
      <c r="C179" s="748" t="s">
        <v>1304</v>
      </c>
      <c r="D179" s="746" t="s">
        <v>1899</v>
      </c>
      <c r="E179" s="4665" t="s">
        <v>3107</v>
      </c>
      <c r="F179" s="4665"/>
      <c r="G179" s="4665"/>
      <c r="H179" s="4665"/>
    </row>
    <row r="180" spans="1:11" ht="12.75" customHeight="1">
      <c r="E180" s="4665" t="s">
        <v>3243</v>
      </c>
      <c r="F180" s="4665"/>
      <c r="G180" s="4665"/>
      <c r="H180" s="4665"/>
    </row>
    <row r="181" spans="1:11" ht="12.75" customHeight="1">
      <c r="D181" s="749" t="s">
        <v>3105</v>
      </c>
      <c r="E181" s="4665" t="s">
        <v>3244</v>
      </c>
      <c r="F181" s="4665"/>
      <c r="G181" s="4665"/>
      <c r="H181" s="4665"/>
    </row>
    <row r="182" spans="1:11" ht="9" customHeight="1" thickBot="1"/>
    <row r="183" spans="1:11" ht="16.149999999999999" customHeight="1" thickBot="1">
      <c r="A183" s="4666">
        <v>40</v>
      </c>
      <c r="B183" s="4667"/>
      <c r="C183" s="1516" t="s">
        <v>1000</v>
      </c>
    </row>
    <row r="184" spans="1:11" ht="9" customHeight="1">
      <c r="A184" s="702"/>
    </row>
    <row r="185" spans="1:11" ht="28.15" customHeight="1">
      <c r="A185" s="4670" t="s">
        <v>4300</v>
      </c>
      <c r="B185" s="4670"/>
      <c r="C185" s="4670"/>
      <c r="D185" s="4670"/>
      <c r="E185" s="4670"/>
      <c r="F185" s="4670"/>
      <c r="G185" s="4670"/>
      <c r="H185" s="4670"/>
    </row>
    <row r="186" spans="1:11" ht="9" customHeight="1">
      <c r="A186" s="702"/>
    </row>
    <row r="187" spans="1:11">
      <c r="A187" s="717" t="s">
        <v>3101</v>
      </c>
      <c r="B187" s="744" t="str">
        <f>IF('Part VI-Revenues &amp; Expenses'!$K$60=0,"",'Part VI-Revenues &amp; Expenses'!$K$60)</f>
        <v/>
      </c>
      <c r="C187" s="717" t="s">
        <v>4291</v>
      </c>
      <c r="D187" s="745" t="s">
        <v>4292</v>
      </c>
    </row>
    <row r="188" spans="1:11" ht="1.9" customHeight="1"/>
    <row r="189" spans="1:11" ht="12.75" customHeight="1">
      <c r="C189" s="712" t="s">
        <v>3008</v>
      </c>
      <c r="D189" s="746" t="s">
        <v>1897</v>
      </c>
      <c r="E189" s="747"/>
      <c r="F189" s="4665" t="s">
        <v>3009</v>
      </c>
      <c r="G189" s="4665"/>
      <c r="H189" s="4665"/>
    </row>
    <row r="190" spans="1:11" ht="12.75" customHeight="1">
      <c r="C190" s="748" t="s">
        <v>1304</v>
      </c>
      <c r="D190" s="746" t="s">
        <v>1899</v>
      </c>
      <c r="E190" s="4665" t="s">
        <v>3106</v>
      </c>
      <c r="F190" s="4665"/>
      <c r="G190" s="4665"/>
      <c r="H190" s="4665"/>
    </row>
    <row r="191" spans="1:11" ht="12.75" customHeight="1">
      <c r="C191" s="1514" t="s">
        <v>4296</v>
      </c>
      <c r="E191" s="4665" t="s">
        <v>3243</v>
      </c>
      <c r="F191" s="4665"/>
      <c r="G191" s="4665"/>
      <c r="H191" s="4665"/>
    </row>
    <row r="192" spans="1:11" ht="12.75" customHeight="1">
      <c r="C192" s="1515"/>
      <c r="D192" s="1513" t="s">
        <v>3105</v>
      </c>
      <c r="E192" s="4668" t="s">
        <v>3244</v>
      </c>
      <c r="F192" s="4668"/>
      <c r="G192" s="4668"/>
      <c r="H192" s="4668"/>
    </row>
    <row r="193" spans="1:8" ht="3" customHeight="1">
      <c r="D193" s="746"/>
      <c r="E193" s="1511"/>
      <c r="F193" s="1511"/>
      <c r="G193" s="1511"/>
      <c r="H193" s="1511"/>
    </row>
    <row r="194" spans="1:8" ht="12.75" customHeight="1">
      <c r="C194" s="712" t="s">
        <v>3008</v>
      </c>
      <c r="D194" s="746" t="s">
        <v>1897</v>
      </c>
      <c r="E194" s="747"/>
      <c r="F194" s="743" t="s">
        <v>3009</v>
      </c>
      <c r="G194" s="743"/>
      <c r="H194" s="743"/>
    </row>
    <row r="195" spans="1:8" ht="12.75" customHeight="1">
      <c r="C195" s="748" t="s">
        <v>1304</v>
      </c>
      <c r="D195" s="746" t="s">
        <v>1899</v>
      </c>
      <c r="E195" s="4665" t="s">
        <v>3106</v>
      </c>
      <c r="F195" s="4665"/>
      <c r="G195" s="4665"/>
      <c r="H195" s="4665"/>
    </row>
    <row r="196" spans="1:8" ht="12.75" customHeight="1">
      <c r="C196" s="1514" t="s">
        <v>4296</v>
      </c>
      <c r="E196" s="4665" t="s">
        <v>3243</v>
      </c>
      <c r="F196" s="4665"/>
      <c r="G196" s="4665"/>
      <c r="H196" s="4665"/>
    </row>
    <row r="197" spans="1:8" ht="12.75" customHeight="1">
      <c r="C197" s="1515"/>
      <c r="D197" s="1513" t="s">
        <v>3105</v>
      </c>
      <c r="E197" s="4668" t="s">
        <v>3244</v>
      </c>
      <c r="F197" s="4668"/>
      <c r="G197" s="4668"/>
      <c r="H197" s="4668"/>
    </row>
    <row r="198" spans="1:8" ht="3" customHeight="1">
      <c r="D198" s="746"/>
      <c r="E198" s="1511"/>
      <c r="F198" s="1511"/>
      <c r="G198" s="1511"/>
      <c r="H198" s="1511"/>
    </row>
    <row r="199" spans="1:8" ht="12.75" customHeight="1">
      <c r="C199" s="712" t="s">
        <v>3008</v>
      </c>
      <c r="D199" s="746" t="s">
        <v>1897</v>
      </c>
      <c r="E199" s="747"/>
      <c r="F199" s="743" t="s">
        <v>3009</v>
      </c>
      <c r="G199" s="743"/>
      <c r="H199" s="743"/>
    </row>
    <row r="200" spans="1:8" ht="12.75" customHeight="1">
      <c r="C200" s="748" t="s">
        <v>1304</v>
      </c>
      <c r="D200" s="746" t="s">
        <v>1899</v>
      </c>
      <c r="E200" s="4665" t="s">
        <v>3106</v>
      </c>
      <c r="F200" s="4665"/>
      <c r="G200" s="4665"/>
      <c r="H200" s="4665"/>
    </row>
    <row r="201" spans="1:8" ht="12.75" customHeight="1">
      <c r="C201" s="1514" t="s">
        <v>4296</v>
      </c>
      <c r="E201" s="4665" t="s">
        <v>3243</v>
      </c>
      <c r="F201" s="4665"/>
      <c r="G201" s="4665"/>
      <c r="H201" s="4665"/>
    </row>
    <row r="202" spans="1:8" ht="12.75" customHeight="1">
      <c r="C202" s="1515"/>
      <c r="D202" s="1513" t="s">
        <v>3105</v>
      </c>
      <c r="E202" s="4668" t="s">
        <v>3244</v>
      </c>
      <c r="F202" s="4668"/>
      <c r="G202" s="4668"/>
      <c r="H202" s="4668"/>
    </row>
    <row r="203" spans="1:8" ht="6" customHeight="1">
      <c r="D203" s="746"/>
      <c r="E203" s="1511"/>
      <c r="F203" s="1511"/>
      <c r="G203" s="1511"/>
      <c r="H203" s="1511"/>
    </row>
    <row r="204" spans="1:8">
      <c r="A204" s="717" t="s">
        <v>3101</v>
      </c>
      <c r="B204" s="744" t="str">
        <f>IF('Part VI-Revenues &amp; Expenses'!$L$60=0,"",'Part VI-Revenues &amp; Expenses'!$L$60)</f>
        <v/>
      </c>
      <c r="C204" s="717" t="s">
        <v>3102</v>
      </c>
      <c r="D204" s="745" t="s">
        <v>3245</v>
      </c>
    </row>
    <row r="205" spans="1:8" ht="1.9" customHeight="1"/>
    <row r="206" spans="1:8" ht="12.75" customHeight="1">
      <c r="C206" s="712" t="s">
        <v>3008</v>
      </c>
      <c r="D206" s="746" t="s">
        <v>1897</v>
      </c>
      <c r="E206" s="747"/>
      <c r="F206" s="743" t="s">
        <v>3009</v>
      </c>
      <c r="G206" s="743"/>
      <c r="H206" s="743"/>
    </row>
    <row r="207" spans="1:8" ht="12.75" customHeight="1">
      <c r="C207" s="748" t="s">
        <v>1304</v>
      </c>
      <c r="D207" s="746" t="s">
        <v>1899</v>
      </c>
      <c r="E207" s="4665" t="s">
        <v>3106</v>
      </c>
      <c r="F207" s="4665"/>
      <c r="G207" s="4665"/>
      <c r="H207" s="4665"/>
    </row>
    <row r="208" spans="1:8" ht="12.75" customHeight="1">
      <c r="C208" s="1514" t="s">
        <v>4296</v>
      </c>
      <c r="E208" s="4665" t="s">
        <v>3243</v>
      </c>
      <c r="F208" s="4665"/>
      <c r="G208" s="4665"/>
      <c r="H208" s="4665"/>
    </row>
    <row r="209" spans="1:8" ht="12.75" customHeight="1">
      <c r="C209" s="1515"/>
      <c r="D209" s="1512" t="s">
        <v>3105</v>
      </c>
      <c r="E209" s="4669" t="s">
        <v>3244</v>
      </c>
      <c r="F209" s="4669"/>
      <c r="G209" s="4669"/>
      <c r="H209" s="4669"/>
    </row>
    <row r="210" spans="1:8" ht="3" customHeight="1">
      <c r="D210" s="746"/>
      <c r="E210" s="1511"/>
      <c r="F210" s="1511"/>
      <c r="G210" s="1511"/>
      <c r="H210" s="1511"/>
    </row>
    <row r="211" spans="1:8" ht="12.75" customHeight="1">
      <c r="C211" s="712" t="s">
        <v>3008</v>
      </c>
      <c r="D211" s="746" t="s">
        <v>1897</v>
      </c>
      <c r="E211" s="747"/>
      <c r="F211" s="743" t="s">
        <v>3009</v>
      </c>
      <c r="G211" s="743"/>
      <c r="H211" s="743"/>
    </row>
    <row r="212" spans="1:8" ht="12.75" customHeight="1">
      <c r="C212" s="748" t="s">
        <v>1304</v>
      </c>
      <c r="D212" s="746" t="s">
        <v>1899</v>
      </c>
      <c r="E212" s="4665" t="s">
        <v>3106</v>
      </c>
      <c r="F212" s="4665"/>
      <c r="G212" s="4665"/>
      <c r="H212" s="4665"/>
    </row>
    <row r="213" spans="1:8" ht="12.75" customHeight="1">
      <c r="C213" s="1514" t="s">
        <v>4296</v>
      </c>
      <c r="E213" s="4665" t="s">
        <v>3243</v>
      </c>
      <c r="F213" s="4665"/>
      <c r="G213" s="4665"/>
      <c r="H213" s="4665"/>
    </row>
    <row r="214" spans="1:8" ht="12.75" customHeight="1">
      <c r="C214" s="1515"/>
      <c r="D214" s="1513" t="s">
        <v>3105</v>
      </c>
      <c r="E214" s="4668" t="s">
        <v>3244</v>
      </c>
      <c r="F214" s="4668"/>
      <c r="G214" s="4668"/>
      <c r="H214" s="4668"/>
    </row>
    <row r="215" spans="1:8" ht="3" customHeight="1">
      <c r="D215" s="746"/>
      <c r="E215" s="1511"/>
      <c r="F215" s="1511"/>
      <c r="G215" s="1511"/>
      <c r="H215" s="1511"/>
    </row>
    <row r="216" spans="1:8" ht="12.75" customHeight="1">
      <c r="C216" s="712" t="s">
        <v>3008</v>
      </c>
      <c r="D216" s="746" t="s">
        <v>1897</v>
      </c>
      <c r="E216" s="747"/>
      <c r="F216" s="743" t="s">
        <v>3009</v>
      </c>
      <c r="G216" s="743"/>
      <c r="H216" s="743"/>
    </row>
    <row r="217" spans="1:8" ht="12.75" customHeight="1">
      <c r="C217" s="748" t="s">
        <v>1304</v>
      </c>
      <c r="D217" s="746" t="s">
        <v>1899</v>
      </c>
      <c r="E217" s="4665" t="s">
        <v>3106</v>
      </c>
      <c r="F217" s="4665"/>
      <c r="G217" s="4665"/>
      <c r="H217" s="4665"/>
    </row>
    <row r="218" spans="1:8" ht="12.75" customHeight="1">
      <c r="C218" s="1514" t="s">
        <v>4296</v>
      </c>
      <c r="E218" s="4665" t="s">
        <v>3243</v>
      </c>
      <c r="F218" s="4665"/>
      <c r="G218" s="4665"/>
      <c r="H218" s="4665"/>
    </row>
    <row r="219" spans="1:8" ht="12.75" customHeight="1">
      <c r="C219" s="1515"/>
      <c r="D219" s="1513" t="s">
        <v>3105</v>
      </c>
      <c r="E219" s="4668" t="s">
        <v>3244</v>
      </c>
      <c r="F219" s="4668"/>
      <c r="G219" s="4668"/>
      <c r="H219" s="4668"/>
    </row>
    <row r="220" spans="1:8" ht="6" customHeight="1">
      <c r="D220" s="746"/>
      <c r="E220" s="1511"/>
      <c r="F220" s="1511"/>
      <c r="G220" s="1511"/>
      <c r="H220" s="1511"/>
    </row>
    <row r="221" spans="1:8">
      <c r="A221" s="717" t="s">
        <v>3101</v>
      </c>
      <c r="B221" s="744" t="str">
        <f>IF('Part VI-Revenues &amp; Expenses'!$M$60=0,"",'Part VI-Revenues &amp; Expenses'!$M$60)</f>
        <v/>
      </c>
      <c r="C221" s="717" t="s">
        <v>3103</v>
      </c>
      <c r="D221" s="745" t="s">
        <v>3246</v>
      </c>
    </row>
    <row r="222" spans="1:8" ht="1.9" customHeight="1"/>
    <row r="223" spans="1:8" ht="12.75" customHeight="1">
      <c r="C223" s="712" t="s">
        <v>3008</v>
      </c>
      <c r="D223" s="746" t="s">
        <v>1897</v>
      </c>
      <c r="E223" s="747"/>
      <c r="F223" s="743" t="s">
        <v>3009</v>
      </c>
      <c r="G223" s="743"/>
      <c r="H223" s="743"/>
    </row>
    <row r="224" spans="1:8" ht="12.75" customHeight="1">
      <c r="C224" s="748" t="s">
        <v>1304</v>
      </c>
      <c r="D224" s="746" t="s">
        <v>1899</v>
      </c>
      <c r="E224" s="4665" t="s">
        <v>3106</v>
      </c>
      <c r="F224" s="4665"/>
      <c r="G224" s="4665"/>
      <c r="H224" s="4665"/>
    </row>
    <row r="225" spans="1:8" ht="12.75" customHeight="1">
      <c r="C225" s="1514" t="s">
        <v>4296</v>
      </c>
      <c r="E225" s="4665" t="s">
        <v>3243</v>
      </c>
      <c r="F225" s="4665"/>
      <c r="G225" s="4665"/>
      <c r="H225" s="4665"/>
    </row>
    <row r="226" spans="1:8" ht="12.75" customHeight="1">
      <c r="C226" s="1515"/>
      <c r="D226" s="1512" t="s">
        <v>3105</v>
      </c>
      <c r="E226" s="4669" t="s">
        <v>3244</v>
      </c>
      <c r="F226" s="4669"/>
      <c r="G226" s="4669"/>
      <c r="H226" s="4669"/>
    </row>
    <row r="227" spans="1:8" ht="3" customHeight="1">
      <c r="D227" s="746"/>
      <c r="E227" s="1511"/>
      <c r="F227" s="1511"/>
      <c r="G227" s="1511"/>
      <c r="H227" s="1511"/>
    </row>
    <row r="228" spans="1:8" ht="12.75" customHeight="1">
      <c r="C228" s="712" t="s">
        <v>3008</v>
      </c>
      <c r="D228" s="746" t="s">
        <v>1897</v>
      </c>
      <c r="E228" s="747"/>
      <c r="F228" s="743" t="s">
        <v>3009</v>
      </c>
      <c r="G228" s="743"/>
      <c r="H228" s="743"/>
    </row>
    <row r="229" spans="1:8" ht="12.75" customHeight="1">
      <c r="C229" s="748" t="s">
        <v>1304</v>
      </c>
      <c r="D229" s="746" t="s">
        <v>1899</v>
      </c>
      <c r="E229" s="4665" t="s">
        <v>3106</v>
      </c>
      <c r="F229" s="4665"/>
      <c r="G229" s="4665"/>
      <c r="H229" s="4665"/>
    </row>
    <row r="230" spans="1:8" ht="12.75" customHeight="1">
      <c r="C230" s="1514" t="s">
        <v>4296</v>
      </c>
      <c r="E230" s="4665" t="s">
        <v>3243</v>
      </c>
      <c r="F230" s="4665"/>
      <c r="G230" s="4665"/>
      <c r="H230" s="4665"/>
    </row>
    <row r="231" spans="1:8" ht="12.75" customHeight="1">
      <c r="C231" s="1515"/>
      <c r="D231" s="1513" t="s">
        <v>3105</v>
      </c>
      <c r="E231" s="4668" t="s">
        <v>3244</v>
      </c>
      <c r="F231" s="4668"/>
      <c r="G231" s="4668"/>
      <c r="H231" s="4668"/>
    </row>
    <row r="232" spans="1:8" ht="3" customHeight="1">
      <c r="D232" s="746"/>
      <c r="E232" s="1511"/>
      <c r="F232" s="1511"/>
      <c r="G232" s="1511"/>
      <c r="H232" s="1511"/>
    </row>
    <row r="233" spans="1:8" ht="12.75" customHeight="1">
      <c r="C233" s="712" t="s">
        <v>3008</v>
      </c>
      <c r="D233" s="746" t="s">
        <v>1897</v>
      </c>
      <c r="E233" s="747"/>
      <c r="F233" s="743" t="s">
        <v>3009</v>
      </c>
      <c r="G233" s="743"/>
      <c r="H233" s="743"/>
    </row>
    <row r="234" spans="1:8" ht="12.75" customHeight="1">
      <c r="C234" s="748" t="s">
        <v>1304</v>
      </c>
      <c r="D234" s="746" t="s">
        <v>1899</v>
      </c>
      <c r="E234" s="4665" t="s">
        <v>3106</v>
      </c>
      <c r="F234" s="4665"/>
      <c r="G234" s="4665"/>
      <c r="H234" s="4665"/>
    </row>
    <row r="235" spans="1:8" ht="12.75" customHeight="1">
      <c r="C235" s="1514" t="s">
        <v>4296</v>
      </c>
      <c r="E235" s="4665" t="s">
        <v>3243</v>
      </c>
      <c r="F235" s="4665"/>
      <c r="G235" s="4665"/>
      <c r="H235" s="4665"/>
    </row>
    <row r="236" spans="1:8" ht="12.75" customHeight="1">
      <c r="C236" s="1515"/>
      <c r="D236" s="1513" t="s">
        <v>3105</v>
      </c>
      <c r="E236" s="4668" t="s">
        <v>3244</v>
      </c>
      <c r="F236" s="4668"/>
      <c r="G236" s="4668"/>
      <c r="H236" s="4668"/>
    </row>
    <row r="237" spans="1:8" ht="6" customHeight="1">
      <c r="D237" s="746"/>
      <c r="E237" s="1511"/>
      <c r="F237" s="1511"/>
      <c r="G237" s="1511"/>
      <c r="H237" s="1511"/>
    </row>
    <row r="238" spans="1:8">
      <c r="A238" s="717" t="s">
        <v>3101</v>
      </c>
      <c r="B238" s="744" t="str">
        <f>IF('Part VI-Revenues &amp; Expenses'!$N$60=0,"",'Part VI-Revenues &amp; Expenses'!$N$60)</f>
        <v/>
      </c>
      <c r="C238" s="717" t="s">
        <v>3104</v>
      </c>
      <c r="D238" s="745" t="s">
        <v>3247</v>
      </c>
    </row>
    <row r="239" spans="1:8" ht="1.9" customHeight="1"/>
    <row r="240" spans="1:8" ht="12.75" customHeight="1">
      <c r="C240" s="712" t="s">
        <v>3008</v>
      </c>
      <c r="D240" s="746" t="s">
        <v>1897</v>
      </c>
      <c r="E240" s="747"/>
      <c r="F240" s="743" t="s">
        <v>3009</v>
      </c>
      <c r="G240" s="743"/>
      <c r="H240" s="743"/>
    </row>
    <row r="241" spans="1:8" ht="12.75" customHeight="1">
      <c r="C241" s="748" t="s">
        <v>1304</v>
      </c>
      <c r="D241" s="746" t="s">
        <v>1899</v>
      </c>
      <c r="E241" s="4665" t="s">
        <v>3106</v>
      </c>
      <c r="F241" s="4665"/>
      <c r="G241" s="4665"/>
      <c r="H241" s="4665"/>
    </row>
    <row r="242" spans="1:8" ht="12.75" customHeight="1">
      <c r="C242" s="1514" t="s">
        <v>4296</v>
      </c>
      <c r="E242" s="4665" t="s">
        <v>3243</v>
      </c>
      <c r="F242" s="4665"/>
      <c r="G242" s="4665"/>
      <c r="H242" s="4665"/>
    </row>
    <row r="243" spans="1:8" ht="12.75" customHeight="1">
      <c r="C243" s="1515"/>
      <c r="D243" s="1512" t="s">
        <v>3105</v>
      </c>
      <c r="E243" s="4669" t="s">
        <v>3244</v>
      </c>
      <c r="F243" s="4669"/>
      <c r="G243" s="4669"/>
      <c r="H243" s="4669"/>
    </row>
    <row r="244" spans="1:8" ht="3" customHeight="1">
      <c r="D244" s="746"/>
      <c r="E244" s="1511"/>
      <c r="F244" s="1511"/>
      <c r="G244" s="1511"/>
      <c r="H244" s="1511"/>
    </row>
    <row r="245" spans="1:8" ht="12.75" customHeight="1">
      <c r="C245" s="712" t="s">
        <v>3008</v>
      </c>
      <c r="D245" s="746" t="s">
        <v>1897</v>
      </c>
      <c r="E245" s="747"/>
      <c r="F245" s="743" t="s">
        <v>3009</v>
      </c>
      <c r="G245" s="743"/>
      <c r="H245" s="743"/>
    </row>
    <row r="246" spans="1:8" ht="12.75" customHeight="1">
      <c r="C246" s="748" t="s">
        <v>1304</v>
      </c>
      <c r="D246" s="746" t="s">
        <v>1899</v>
      </c>
      <c r="E246" s="4665" t="s">
        <v>3106</v>
      </c>
      <c r="F246" s="4665"/>
      <c r="G246" s="4665"/>
      <c r="H246" s="4665"/>
    </row>
    <row r="247" spans="1:8" ht="12.75" customHeight="1">
      <c r="C247" s="1514" t="s">
        <v>4296</v>
      </c>
      <c r="E247" s="4665" t="s">
        <v>3243</v>
      </c>
      <c r="F247" s="4665"/>
      <c r="G247" s="4665"/>
      <c r="H247" s="4665"/>
    </row>
    <row r="248" spans="1:8" ht="12.75" customHeight="1">
      <c r="C248" s="1515"/>
      <c r="D248" s="1513" t="s">
        <v>3105</v>
      </c>
      <c r="E248" s="4668" t="s">
        <v>3244</v>
      </c>
      <c r="F248" s="4668"/>
      <c r="G248" s="4668"/>
      <c r="H248" s="4668"/>
    </row>
    <row r="249" spans="1:8" ht="3" customHeight="1">
      <c r="D249" s="746"/>
      <c r="E249" s="1511"/>
      <c r="F249" s="1511"/>
      <c r="G249" s="1511"/>
      <c r="H249" s="1511"/>
    </row>
    <row r="250" spans="1:8" ht="12.75" customHeight="1">
      <c r="C250" s="712" t="s">
        <v>3008</v>
      </c>
      <c r="D250" s="746" t="s">
        <v>1897</v>
      </c>
      <c r="E250" s="747"/>
      <c r="F250" s="743" t="s">
        <v>3009</v>
      </c>
      <c r="G250" s="743"/>
      <c r="H250" s="743"/>
    </row>
    <row r="251" spans="1:8" ht="12.75" customHeight="1">
      <c r="C251" s="748" t="s">
        <v>1304</v>
      </c>
      <c r="D251" s="746" t="s">
        <v>1899</v>
      </c>
      <c r="E251" s="4665" t="s">
        <v>3106</v>
      </c>
      <c r="F251" s="4665"/>
      <c r="G251" s="4665"/>
      <c r="H251" s="4665"/>
    </row>
    <row r="252" spans="1:8" ht="12.75" customHeight="1">
      <c r="C252" s="1514" t="s">
        <v>4296</v>
      </c>
      <c r="E252" s="4665" t="s">
        <v>3243</v>
      </c>
      <c r="F252" s="4665"/>
      <c r="G252" s="4665"/>
      <c r="H252" s="4665"/>
    </row>
    <row r="253" spans="1:8" ht="12.75" customHeight="1">
      <c r="C253" s="1515"/>
      <c r="D253" s="1513" t="s">
        <v>3105</v>
      </c>
      <c r="E253" s="4668" t="s">
        <v>3244</v>
      </c>
      <c r="F253" s="4668"/>
      <c r="G253" s="4668"/>
      <c r="H253" s="4668"/>
    </row>
    <row r="254" spans="1:8" ht="6" customHeight="1">
      <c r="D254" s="746"/>
      <c r="E254" s="1511"/>
      <c r="F254" s="1511"/>
      <c r="G254" s="1511"/>
      <c r="H254" s="1511"/>
    </row>
    <row r="255" spans="1:8">
      <c r="A255" s="717" t="s">
        <v>3101</v>
      </c>
      <c r="B255" s="744" t="str">
        <f>IF('Part VI-Revenues &amp; Expenses'!$O$60=0,"",'Part VI-Revenues &amp; Expenses'!$O$60)</f>
        <v/>
      </c>
      <c r="C255" s="717" t="s">
        <v>4294</v>
      </c>
      <c r="D255" s="745" t="s">
        <v>4295</v>
      </c>
    </row>
    <row r="256" spans="1:8" ht="1.9" customHeight="1"/>
    <row r="257" spans="1:11" ht="12.75" customHeight="1">
      <c r="C257" s="712" t="s">
        <v>3008</v>
      </c>
      <c r="D257" s="746" t="s">
        <v>1897</v>
      </c>
      <c r="E257" s="747"/>
      <c r="F257" s="4665" t="s">
        <v>3009</v>
      </c>
      <c r="G257" s="4665"/>
      <c r="H257" s="4665"/>
      <c r="K257" s="699" t="s">
        <v>232</v>
      </c>
    </row>
    <row r="258" spans="1:11" ht="12.75" customHeight="1">
      <c r="C258" s="748" t="s">
        <v>1304</v>
      </c>
      <c r="D258" s="746" t="s">
        <v>1899</v>
      </c>
      <c r="E258" s="4665" t="s">
        <v>3107</v>
      </c>
      <c r="F258" s="4665"/>
      <c r="G258" s="4665"/>
      <c r="H258" s="4665"/>
    </row>
    <row r="259" spans="1:11" ht="12.75" customHeight="1">
      <c r="E259" s="4665" t="s">
        <v>3243</v>
      </c>
      <c r="F259" s="4665"/>
      <c r="G259" s="4665"/>
      <c r="H259" s="4665"/>
    </row>
    <row r="260" spans="1:11" ht="12.75" customHeight="1">
      <c r="D260" s="749" t="s">
        <v>3105</v>
      </c>
      <c r="E260" s="4665" t="s">
        <v>3244</v>
      </c>
      <c r="F260" s="4665"/>
      <c r="G260" s="4665"/>
      <c r="H260" s="4665"/>
    </row>
    <row r="261" spans="1:11" ht="9" customHeight="1" thickBot="1"/>
    <row r="262" spans="1:11" ht="16.149999999999999" customHeight="1" thickBot="1">
      <c r="A262" s="4666">
        <v>50</v>
      </c>
      <c r="B262" s="4667"/>
      <c r="C262" s="1516" t="s">
        <v>1000</v>
      </c>
    </row>
    <row r="263" spans="1:11" ht="9" customHeight="1">
      <c r="A263" s="702"/>
    </row>
    <row r="264" spans="1:11" ht="28.15" customHeight="1">
      <c r="A264" s="4670" t="s">
        <v>4297</v>
      </c>
      <c r="B264" s="4670"/>
      <c r="C264" s="4670"/>
      <c r="D264" s="4670"/>
      <c r="E264" s="4670"/>
      <c r="F264" s="4670"/>
      <c r="G264" s="4670"/>
      <c r="H264" s="4670"/>
    </row>
    <row r="265" spans="1:11" ht="9" customHeight="1">
      <c r="A265" s="702"/>
    </row>
    <row r="266" spans="1:11">
      <c r="A266" s="717" t="s">
        <v>3101</v>
      </c>
      <c r="B266" s="744" t="str">
        <f>IF('Part VI-Revenues &amp; Expenses'!$K$59=0,"",'Part VI-Revenues &amp; Expenses'!$K$59)</f>
        <v/>
      </c>
      <c r="C266" s="717" t="s">
        <v>4291</v>
      </c>
      <c r="D266" s="745" t="s">
        <v>4292</v>
      </c>
    </row>
    <row r="267" spans="1:11" ht="1.9" customHeight="1"/>
    <row r="268" spans="1:11" ht="12.75" customHeight="1">
      <c r="C268" s="712" t="s">
        <v>3008</v>
      </c>
      <c r="D268" s="746" t="s">
        <v>1897</v>
      </c>
      <c r="E268" s="747"/>
      <c r="F268" s="4665" t="s">
        <v>3009</v>
      </c>
      <c r="G268" s="4665"/>
      <c r="H268" s="4665"/>
    </row>
    <row r="269" spans="1:11" ht="12.75" customHeight="1">
      <c r="C269" s="748" t="s">
        <v>1304</v>
      </c>
      <c r="D269" s="746" t="s">
        <v>1899</v>
      </c>
      <c r="E269" s="4665" t="s">
        <v>3106</v>
      </c>
      <c r="F269" s="4665"/>
      <c r="G269" s="4665"/>
      <c r="H269" s="4665"/>
    </row>
    <row r="270" spans="1:11" ht="12.75" customHeight="1">
      <c r="C270" s="1514" t="s">
        <v>4296</v>
      </c>
      <c r="E270" s="4665" t="s">
        <v>3243</v>
      </c>
      <c r="F270" s="4665"/>
      <c r="G270" s="4665"/>
      <c r="H270" s="4665"/>
    </row>
    <row r="271" spans="1:11" ht="12.75" customHeight="1">
      <c r="C271" s="1515"/>
      <c r="D271" s="1513" t="s">
        <v>3105</v>
      </c>
      <c r="E271" s="4668" t="s">
        <v>3244</v>
      </c>
      <c r="F271" s="4668"/>
      <c r="G271" s="4668"/>
      <c r="H271" s="4668"/>
    </row>
    <row r="272" spans="1:11" ht="3" customHeight="1">
      <c r="D272" s="746"/>
      <c r="E272" s="1511"/>
      <c r="F272" s="1511"/>
      <c r="G272" s="1511"/>
      <c r="H272" s="1511"/>
    </row>
    <row r="273" spans="1:8" ht="12.75" customHeight="1">
      <c r="C273" s="712" t="s">
        <v>3008</v>
      </c>
      <c r="D273" s="746" t="s">
        <v>1897</v>
      </c>
      <c r="E273" s="747"/>
      <c r="F273" s="743" t="s">
        <v>3009</v>
      </c>
      <c r="G273" s="743"/>
      <c r="H273" s="743"/>
    </row>
    <row r="274" spans="1:8" ht="12.75" customHeight="1">
      <c r="C274" s="748" t="s">
        <v>1304</v>
      </c>
      <c r="D274" s="746" t="s">
        <v>1899</v>
      </c>
      <c r="E274" s="4665" t="s">
        <v>3106</v>
      </c>
      <c r="F274" s="4665"/>
      <c r="G274" s="4665"/>
      <c r="H274" s="4665"/>
    </row>
    <row r="275" spans="1:8" ht="12.75" customHeight="1">
      <c r="C275" s="1514" t="s">
        <v>4296</v>
      </c>
      <c r="E275" s="4665" t="s">
        <v>3243</v>
      </c>
      <c r="F275" s="4665"/>
      <c r="G275" s="4665"/>
      <c r="H275" s="4665"/>
    </row>
    <row r="276" spans="1:8" ht="12.75" customHeight="1">
      <c r="C276" s="1515"/>
      <c r="D276" s="1513" t="s">
        <v>3105</v>
      </c>
      <c r="E276" s="4668" t="s">
        <v>3244</v>
      </c>
      <c r="F276" s="4668"/>
      <c r="G276" s="4668"/>
      <c r="H276" s="4668"/>
    </row>
    <row r="277" spans="1:8" ht="3" customHeight="1">
      <c r="D277" s="746"/>
      <c r="E277" s="1511"/>
      <c r="F277" s="1511"/>
      <c r="G277" s="1511"/>
      <c r="H277" s="1511"/>
    </row>
    <row r="278" spans="1:8" ht="12.75" customHeight="1">
      <c r="C278" s="712" t="s">
        <v>3008</v>
      </c>
      <c r="D278" s="746" t="s">
        <v>1897</v>
      </c>
      <c r="E278" s="747"/>
      <c r="F278" s="743" t="s">
        <v>3009</v>
      </c>
      <c r="G278" s="743"/>
      <c r="H278" s="743"/>
    </row>
    <row r="279" spans="1:8" ht="12.75" customHeight="1">
      <c r="C279" s="748" t="s">
        <v>1304</v>
      </c>
      <c r="D279" s="746" t="s">
        <v>1899</v>
      </c>
      <c r="E279" s="4665" t="s">
        <v>3106</v>
      </c>
      <c r="F279" s="4665"/>
      <c r="G279" s="4665"/>
      <c r="H279" s="4665"/>
    </row>
    <row r="280" spans="1:8" ht="12.75" customHeight="1">
      <c r="C280" s="1514" t="s">
        <v>4296</v>
      </c>
      <c r="E280" s="4665" t="s">
        <v>3243</v>
      </c>
      <c r="F280" s="4665"/>
      <c r="G280" s="4665"/>
      <c r="H280" s="4665"/>
    </row>
    <row r="281" spans="1:8" ht="12.75" customHeight="1">
      <c r="C281" s="1515"/>
      <c r="D281" s="1513" t="s">
        <v>3105</v>
      </c>
      <c r="E281" s="4668" t="s">
        <v>3244</v>
      </c>
      <c r="F281" s="4668"/>
      <c r="G281" s="4668"/>
      <c r="H281" s="4668"/>
    </row>
    <row r="282" spans="1:8" ht="6" customHeight="1">
      <c r="D282" s="746"/>
      <c r="E282" s="1511"/>
      <c r="F282" s="1511"/>
      <c r="G282" s="1511"/>
      <c r="H282" s="1511"/>
    </row>
    <row r="283" spans="1:8">
      <c r="A283" s="717" t="s">
        <v>3101</v>
      </c>
      <c r="B283" s="744">
        <f>IF('Part VI-Revenues &amp; Expenses'!$L$59=0,"",'Part VI-Revenues &amp; Expenses'!$L$59)</f>
        <v>6</v>
      </c>
      <c r="C283" s="717" t="s">
        <v>3102</v>
      </c>
      <c r="D283" s="745" t="s">
        <v>3245</v>
      </c>
    </row>
    <row r="284" spans="1:8" ht="1.9" customHeight="1"/>
    <row r="285" spans="1:8" ht="12.75" customHeight="1">
      <c r="C285" s="712" t="s">
        <v>3008</v>
      </c>
      <c r="D285" s="746" t="s">
        <v>1897</v>
      </c>
      <c r="E285" s="747"/>
      <c r="F285" s="743" t="s">
        <v>3009</v>
      </c>
      <c r="G285" s="743"/>
      <c r="H285" s="743"/>
    </row>
    <row r="286" spans="1:8" ht="12.75" customHeight="1">
      <c r="C286" s="748" t="s">
        <v>1304</v>
      </c>
      <c r="D286" s="746" t="s">
        <v>1899</v>
      </c>
      <c r="E286" s="4665" t="s">
        <v>3106</v>
      </c>
      <c r="F286" s="4665"/>
      <c r="G286" s="4665"/>
      <c r="H286" s="4665"/>
    </row>
    <row r="287" spans="1:8" ht="12.75" customHeight="1">
      <c r="C287" s="1514" t="s">
        <v>4296</v>
      </c>
      <c r="E287" s="4665" t="s">
        <v>3243</v>
      </c>
      <c r="F287" s="4665"/>
      <c r="G287" s="4665"/>
      <c r="H287" s="4665"/>
    </row>
    <row r="288" spans="1:8" ht="12.75" customHeight="1">
      <c r="C288" s="1515"/>
      <c r="D288" s="1512" t="s">
        <v>3105</v>
      </c>
      <c r="E288" s="4669" t="s">
        <v>3244</v>
      </c>
      <c r="F288" s="4669"/>
      <c r="G288" s="4669"/>
      <c r="H288" s="4669"/>
    </row>
    <row r="289" spans="1:8" ht="3" customHeight="1">
      <c r="D289" s="746"/>
      <c r="E289" s="1511"/>
      <c r="F289" s="1511"/>
      <c r="G289" s="1511"/>
      <c r="H289" s="1511"/>
    </row>
    <row r="290" spans="1:8" ht="12.75" customHeight="1">
      <c r="C290" s="712" t="s">
        <v>3008</v>
      </c>
      <c r="D290" s="746" t="s">
        <v>1897</v>
      </c>
      <c r="E290" s="747"/>
      <c r="F290" s="743" t="s">
        <v>3009</v>
      </c>
      <c r="G290" s="743"/>
      <c r="H290" s="743"/>
    </row>
    <row r="291" spans="1:8" ht="12.75" customHeight="1">
      <c r="C291" s="748" t="s">
        <v>1304</v>
      </c>
      <c r="D291" s="746" t="s">
        <v>1899</v>
      </c>
      <c r="E291" s="4665" t="s">
        <v>3106</v>
      </c>
      <c r="F291" s="4665"/>
      <c r="G291" s="4665"/>
      <c r="H291" s="4665"/>
    </row>
    <row r="292" spans="1:8" ht="12.75" customHeight="1">
      <c r="C292" s="1514" t="s">
        <v>4296</v>
      </c>
      <c r="E292" s="4665" t="s">
        <v>3243</v>
      </c>
      <c r="F292" s="4665"/>
      <c r="G292" s="4665"/>
      <c r="H292" s="4665"/>
    </row>
    <row r="293" spans="1:8" ht="12.75" customHeight="1">
      <c r="C293" s="1515"/>
      <c r="D293" s="1513" t="s">
        <v>3105</v>
      </c>
      <c r="E293" s="4668" t="s">
        <v>3244</v>
      </c>
      <c r="F293" s="4668"/>
      <c r="G293" s="4668"/>
      <c r="H293" s="4668"/>
    </row>
    <row r="294" spans="1:8" ht="3" customHeight="1">
      <c r="D294" s="746"/>
      <c r="E294" s="1511"/>
      <c r="F294" s="1511"/>
      <c r="G294" s="1511"/>
      <c r="H294" s="1511"/>
    </row>
    <row r="295" spans="1:8" ht="12.75" customHeight="1">
      <c r="C295" s="712" t="s">
        <v>3008</v>
      </c>
      <c r="D295" s="746" t="s">
        <v>1897</v>
      </c>
      <c r="E295" s="747"/>
      <c r="F295" s="743" t="s">
        <v>3009</v>
      </c>
      <c r="G295" s="743"/>
      <c r="H295" s="743"/>
    </row>
    <row r="296" spans="1:8" ht="12.75" customHeight="1">
      <c r="C296" s="748" t="s">
        <v>1304</v>
      </c>
      <c r="D296" s="746" t="s">
        <v>1899</v>
      </c>
      <c r="E296" s="4665" t="s">
        <v>3106</v>
      </c>
      <c r="F296" s="4665"/>
      <c r="G296" s="4665"/>
      <c r="H296" s="4665"/>
    </row>
    <row r="297" spans="1:8" ht="12.75" customHeight="1">
      <c r="C297" s="1514" t="s">
        <v>4296</v>
      </c>
      <c r="E297" s="4665" t="s">
        <v>3243</v>
      </c>
      <c r="F297" s="4665"/>
      <c r="G297" s="4665"/>
      <c r="H297" s="4665"/>
    </row>
    <row r="298" spans="1:8" ht="12.75" customHeight="1">
      <c r="C298" s="1515"/>
      <c r="D298" s="1513" t="s">
        <v>3105</v>
      </c>
      <c r="E298" s="4668" t="s">
        <v>3244</v>
      </c>
      <c r="F298" s="4668"/>
      <c r="G298" s="4668"/>
      <c r="H298" s="4668"/>
    </row>
    <row r="299" spans="1:8" ht="6" customHeight="1">
      <c r="D299" s="746"/>
      <c r="E299" s="1511"/>
      <c r="F299" s="1511"/>
      <c r="G299" s="1511"/>
      <c r="H299" s="1511"/>
    </row>
    <row r="300" spans="1:8">
      <c r="A300" s="717" t="s">
        <v>3101</v>
      </c>
      <c r="B300" s="744">
        <f>IF('Part VI-Revenues &amp; Expenses'!$M$59=0,"",'Part VI-Revenues &amp; Expenses'!$M$59)</f>
        <v>9</v>
      </c>
      <c r="C300" s="717" t="s">
        <v>3103</v>
      </c>
      <c r="D300" s="745" t="s">
        <v>3246</v>
      </c>
    </row>
    <row r="301" spans="1:8" ht="1.9" customHeight="1"/>
    <row r="302" spans="1:8" ht="12.75" customHeight="1">
      <c r="C302" s="712" t="s">
        <v>3008</v>
      </c>
      <c r="D302" s="746" t="s">
        <v>1897</v>
      </c>
      <c r="E302" s="747"/>
      <c r="F302" s="743" t="s">
        <v>3009</v>
      </c>
      <c r="G302" s="743"/>
      <c r="H302" s="743"/>
    </row>
    <row r="303" spans="1:8" ht="12.75" customHeight="1">
      <c r="C303" s="748" t="s">
        <v>1304</v>
      </c>
      <c r="D303" s="746" t="s">
        <v>1899</v>
      </c>
      <c r="E303" s="4665" t="s">
        <v>3106</v>
      </c>
      <c r="F303" s="4665"/>
      <c r="G303" s="4665"/>
      <c r="H303" s="4665"/>
    </row>
    <row r="304" spans="1:8" ht="12.75" customHeight="1">
      <c r="C304" s="1514" t="s">
        <v>4296</v>
      </c>
      <c r="E304" s="4665" t="s">
        <v>3243</v>
      </c>
      <c r="F304" s="4665"/>
      <c r="G304" s="4665"/>
      <c r="H304" s="4665"/>
    </row>
    <row r="305" spans="1:8" ht="12.75" customHeight="1">
      <c r="C305" s="1515"/>
      <c r="D305" s="1512" t="s">
        <v>3105</v>
      </c>
      <c r="E305" s="4669" t="s">
        <v>3244</v>
      </c>
      <c r="F305" s="4669"/>
      <c r="G305" s="4669"/>
      <c r="H305" s="4669"/>
    </row>
    <row r="306" spans="1:8" ht="3" customHeight="1">
      <c r="D306" s="746"/>
      <c r="E306" s="1511"/>
      <c r="F306" s="1511"/>
      <c r="G306" s="1511"/>
      <c r="H306" s="1511"/>
    </row>
    <row r="307" spans="1:8" ht="12.75" customHeight="1">
      <c r="C307" s="712" t="s">
        <v>3008</v>
      </c>
      <c r="D307" s="746" t="s">
        <v>1897</v>
      </c>
      <c r="E307" s="747"/>
      <c r="F307" s="743" t="s">
        <v>3009</v>
      </c>
      <c r="G307" s="743"/>
      <c r="H307" s="743"/>
    </row>
    <row r="308" spans="1:8" ht="12.75" customHeight="1">
      <c r="C308" s="748" t="s">
        <v>1304</v>
      </c>
      <c r="D308" s="746" t="s">
        <v>1899</v>
      </c>
      <c r="E308" s="4665" t="s">
        <v>3106</v>
      </c>
      <c r="F308" s="4665"/>
      <c r="G308" s="4665"/>
      <c r="H308" s="4665"/>
    </row>
    <row r="309" spans="1:8" ht="12.75" customHeight="1">
      <c r="C309" s="1514" t="s">
        <v>4296</v>
      </c>
      <c r="E309" s="4665" t="s">
        <v>3243</v>
      </c>
      <c r="F309" s="4665"/>
      <c r="G309" s="4665"/>
      <c r="H309" s="4665"/>
    </row>
    <row r="310" spans="1:8" ht="12.75" customHeight="1">
      <c r="C310" s="1515"/>
      <c r="D310" s="1513" t="s">
        <v>3105</v>
      </c>
      <c r="E310" s="4668" t="s">
        <v>3244</v>
      </c>
      <c r="F310" s="4668"/>
      <c r="G310" s="4668"/>
      <c r="H310" s="4668"/>
    </row>
    <row r="311" spans="1:8" ht="3" customHeight="1">
      <c r="D311" s="746"/>
      <c r="E311" s="1511"/>
      <c r="F311" s="1511"/>
      <c r="G311" s="1511"/>
      <c r="H311" s="1511"/>
    </row>
    <row r="312" spans="1:8" ht="12.75" customHeight="1">
      <c r="C312" s="712" t="s">
        <v>3008</v>
      </c>
      <c r="D312" s="746" t="s">
        <v>1897</v>
      </c>
      <c r="E312" s="747"/>
      <c r="F312" s="743" t="s">
        <v>3009</v>
      </c>
      <c r="G312" s="743"/>
      <c r="H312" s="743"/>
    </row>
    <row r="313" spans="1:8" ht="12.75" customHeight="1">
      <c r="C313" s="748" t="s">
        <v>1304</v>
      </c>
      <c r="D313" s="746" t="s">
        <v>1899</v>
      </c>
      <c r="E313" s="4665" t="s">
        <v>3106</v>
      </c>
      <c r="F313" s="4665"/>
      <c r="G313" s="4665"/>
      <c r="H313" s="4665"/>
    </row>
    <row r="314" spans="1:8" ht="12.75" customHeight="1">
      <c r="C314" s="1514" t="s">
        <v>4296</v>
      </c>
      <c r="E314" s="4665" t="s">
        <v>3243</v>
      </c>
      <c r="F314" s="4665"/>
      <c r="G314" s="4665"/>
      <c r="H314" s="4665"/>
    </row>
    <row r="315" spans="1:8" ht="12.75" customHeight="1">
      <c r="C315" s="1515"/>
      <c r="D315" s="1513" t="s">
        <v>3105</v>
      </c>
      <c r="E315" s="4668" t="s">
        <v>3244</v>
      </c>
      <c r="F315" s="4668"/>
      <c r="G315" s="4668"/>
      <c r="H315" s="4668"/>
    </row>
    <row r="316" spans="1:8" ht="6" customHeight="1">
      <c r="D316" s="746"/>
      <c r="E316" s="1511"/>
      <c r="F316" s="1511"/>
      <c r="G316" s="1511"/>
      <c r="H316" s="1511"/>
    </row>
    <row r="317" spans="1:8">
      <c r="A317" s="717" t="s">
        <v>3101</v>
      </c>
      <c r="B317" s="744">
        <f>IF('Part VI-Revenues &amp; Expenses'!$N$59=0,"",'Part VI-Revenues &amp; Expenses'!$N$59)</f>
        <v>4</v>
      </c>
      <c r="C317" s="717" t="s">
        <v>3104</v>
      </c>
      <c r="D317" s="745" t="s">
        <v>3247</v>
      </c>
    </row>
    <row r="318" spans="1:8" ht="1.9" customHeight="1"/>
    <row r="319" spans="1:8" ht="12.75" customHeight="1">
      <c r="C319" s="712" t="s">
        <v>3008</v>
      </c>
      <c r="D319" s="746" t="s">
        <v>1897</v>
      </c>
      <c r="E319" s="747"/>
      <c r="F319" s="743" t="s">
        <v>3009</v>
      </c>
      <c r="G319" s="743"/>
      <c r="H319" s="743"/>
    </row>
    <row r="320" spans="1:8" ht="12.75" customHeight="1">
      <c r="C320" s="748" t="s">
        <v>1304</v>
      </c>
      <c r="D320" s="746" t="s">
        <v>1899</v>
      </c>
      <c r="E320" s="4665" t="s">
        <v>3106</v>
      </c>
      <c r="F320" s="4665"/>
      <c r="G320" s="4665"/>
      <c r="H320" s="4665"/>
    </row>
    <row r="321" spans="1:11" ht="12.75" customHeight="1">
      <c r="C321" s="1514" t="s">
        <v>4296</v>
      </c>
      <c r="E321" s="4665" t="s">
        <v>3243</v>
      </c>
      <c r="F321" s="4665"/>
      <c r="G321" s="4665"/>
      <c r="H321" s="4665"/>
    </row>
    <row r="322" spans="1:11" ht="12.75" customHeight="1">
      <c r="C322" s="1515"/>
      <c r="D322" s="1512" t="s">
        <v>3105</v>
      </c>
      <c r="E322" s="4669" t="s">
        <v>3244</v>
      </c>
      <c r="F322" s="4669"/>
      <c r="G322" s="4669"/>
      <c r="H322" s="4669"/>
    </row>
    <row r="323" spans="1:11" ht="3" customHeight="1">
      <c r="D323" s="746"/>
      <c r="E323" s="1511"/>
      <c r="F323" s="1511"/>
      <c r="G323" s="1511"/>
      <c r="H323" s="1511"/>
    </row>
    <row r="324" spans="1:11" ht="12.75" customHeight="1">
      <c r="C324" s="712" t="s">
        <v>3008</v>
      </c>
      <c r="D324" s="746" t="s">
        <v>1897</v>
      </c>
      <c r="E324" s="747"/>
      <c r="F324" s="743" t="s">
        <v>3009</v>
      </c>
      <c r="G324" s="743"/>
      <c r="H324" s="743"/>
    </row>
    <row r="325" spans="1:11" ht="12.75" customHeight="1">
      <c r="C325" s="748" t="s">
        <v>1304</v>
      </c>
      <c r="D325" s="746" t="s">
        <v>1899</v>
      </c>
      <c r="E325" s="4665" t="s">
        <v>3106</v>
      </c>
      <c r="F325" s="4665"/>
      <c r="G325" s="4665"/>
      <c r="H325" s="4665"/>
    </row>
    <row r="326" spans="1:11" ht="12.75" customHeight="1">
      <c r="C326" s="1514" t="s">
        <v>4296</v>
      </c>
      <c r="E326" s="4665" t="s">
        <v>3243</v>
      </c>
      <c r="F326" s="4665"/>
      <c r="G326" s="4665"/>
      <c r="H326" s="4665"/>
    </row>
    <row r="327" spans="1:11" ht="12.75" customHeight="1">
      <c r="C327" s="1515"/>
      <c r="D327" s="1513" t="s">
        <v>3105</v>
      </c>
      <c r="E327" s="4668" t="s">
        <v>3244</v>
      </c>
      <c r="F327" s="4668"/>
      <c r="G327" s="4668"/>
      <c r="H327" s="4668"/>
    </row>
    <row r="328" spans="1:11" ht="3" customHeight="1">
      <c r="D328" s="746"/>
      <c r="E328" s="1511"/>
      <c r="F328" s="1511"/>
      <c r="G328" s="1511"/>
      <c r="H328" s="1511"/>
    </row>
    <row r="329" spans="1:11" ht="12.75" customHeight="1">
      <c r="C329" s="712" t="s">
        <v>3008</v>
      </c>
      <c r="D329" s="746" t="s">
        <v>1897</v>
      </c>
      <c r="E329" s="747"/>
      <c r="F329" s="743" t="s">
        <v>3009</v>
      </c>
      <c r="G329" s="743"/>
      <c r="H329" s="743"/>
    </row>
    <row r="330" spans="1:11" ht="12.75" customHeight="1">
      <c r="C330" s="748" t="s">
        <v>1304</v>
      </c>
      <c r="D330" s="746" t="s">
        <v>1899</v>
      </c>
      <c r="E330" s="4665" t="s">
        <v>3106</v>
      </c>
      <c r="F330" s="4665"/>
      <c r="G330" s="4665"/>
      <c r="H330" s="4665"/>
    </row>
    <row r="331" spans="1:11" ht="12.75" customHeight="1">
      <c r="C331" s="1514" t="s">
        <v>4296</v>
      </c>
      <c r="E331" s="4665" t="s">
        <v>3243</v>
      </c>
      <c r="F331" s="4665"/>
      <c r="G331" s="4665"/>
      <c r="H331" s="4665"/>
    </row>
    <row r="332" spans="1:11" ht="12.75" customHeight="1">
      <c r="C332" s="1515"/>
      <c r="D332" s="1513" t="s">
        <v>3105</v>
      </c>
      <c r="E332" s="4668" t="s">
        <v>3244</v>
      </c>
      <c r="F332" s="4668"/>
      <c r="G332" s="4668"/>
      <c r="H332" s="4668"/>
    </row>
    <row r="333" spans="1:11" ht="6" customHeight="1">
      <c r="D333" s="746"/>
      <c r="E333" s="1511"/>
      <c r="F333" s="1511"/>
      <c r="G333" s="1511"/>
      <c r="H333" s="1511"/>
    </row>
    <row r="334" spans="1:11">
      <c r="A334" s="717" t="s">
        <v>3101</v>
      </c>
      <c r="B334" s="744" t="str">
        <f>IF('Part VI-Revenues &amp; Expenses'!$O$59=0,"",'Part VI-Revenues &amp; Expenses'!$O$59)</f>
        <v/>
      </c>
      <c r="C334" s="717" t="s">
        <v>4294</v>
      </c>
      <c r="D334" s="745" t="s">
        <v>4295</v>
      </c>
    </row>
    <row r="335" spans="1:11" ht="1.9" customHeight="1"/>
    <row r="336" spans="1:11" ht="12.75" customHeight="1">
      <c r="C336" s="712" t="s">
        <v>3008</v>
      </c>
      <c r="D336" s="746" t="s">
        <v>1897</v>
      </c>
      <c r="E336" s="747"/>
      <c r="F336" s="4665" t="s">
        <v>3009</v>
      </c>
      <c r="G336" s="4665"/>
      <c r="H336" s="4665"/>
      <c r="K336" s="699" t="s">
        <v>232</v>
      </c>
    </row>
    <row r="337" spans="1:8" ht="12.75" customHeight="1">
      <c r="C337" s="748" t="s">
        <v>1304</v>
      </c>
      <c r="D337" s="746" t="s">
        <v>1899</v>
      </c>
      <c r="E337" s="4665" t="s">
        <v>3107</v>
      </c>
      <c r="F337" s="4665"/>
      <c r="G337" s="4665"/>
      <c r="H337" s="4665"/>
    </row>
    <row r="338" spans="1:8" ht="12.75" customHeight="1">
      <c r="E338" s="4665" t="s">
        <v>3243</v>
      </c>
      <c r="F338" s="4665"/>
      <c r="G338" s="4665"/>
      <c r="H338" s="4665"/>
    </row>
    <row r="339" spans="1:8" ht="12.75" customHeight="1">
      <c r="D339" s="749" t="s">
        <v>3105</v>
      </c>
      <c r="E339" s="4665" t="s">
        <v>3244</v>
      </c>
      <c r="F339" s="4665"/>
      <c r="G339" s="4665"/>
      <c r="H339" s="4665"/>
    </row>
    <row r="340" spans="1:8" ht="9" customHeight="1"/>
    <row r="341" spans="1:8" ht="7.5" customHeight="1" thickBot="1">
      <c r="E341" s="4665"/>
      <c r="F341" s="4665"/>
      <c r="G341" s="4665"/>
      <c r="H341" s="4665"/>
    </row>
    <row r="342" spans="1:8" ht="16.149999999999999" customHeight="1" thickBot="1">
      <c r="A342" s="4666">
        <v>60</v>
      </c>
      <c r="B342" s="4667"/>
      <c r="C342" s="1516" t="s">
        <v>1000</v>
      </c>
    </row>
    <row r="343" spans="1:8" ht="9" customHeight="1">
      <c r="A343" s="702"/>
    </row>
    <row r="344" spans="1:8" ht="28.15" customHeight="1">
      <c r="A344" s="4670" t="s">
        <v>4301</v>
      </c>
      <c r="B344" s="4670"/>
      <c r="C344" s="4670"/>
      <c r="D344" s="4670"/>
      <c r="E344" s="4670"/>
      <c r="F344" s="4670"/>
      <c r="G344" s="4670"/>
      <c r="H344" s="4670"/>
    </row>
    <row r="345" spans="1:8" ht="9" customHeight="1">
      <c r="A345" s="702"/>
    </row>
    <row r="346" spans="1:8">
      <c r="A346" s="717" t="s">
        <v>3101</v>
      </c>
      <c r="B346" s="744" t="str">
        <f>IF('Part VI-Revenues &amp; Expenses'!$K$58=0,"",'Part VI-Revenues &amp; Expenses'!$K$58)</f>
        <v/>
      </c>
      <c r="C346" s="717" t="s">
        <v>4291</v>
      </c>
      <c r="D346" s="745" t="s">
        <v>4292</v>
      </c>
    </row>
    <row r="347" spans="1:8" ht="1.9" customHeight="1"/>
    <row r="348" spans="1:8" ht="12.75" customHeight="1">
      <c r="C348" s="712" t="s">
        <v>3008</v>
      </c>
      <c r="D348" s="746" t="s">
        <v>1897</v>
      </c>
      <c r="E348" s="747"/>
      <c r="F348" s="4665" t="s">
        <v>3009</v>
      </c>
      <c r="G348" s="4665"/>
      <c r="H348" s="4665"/>
    </row>
    <row r="349" spans="1:8" ht="12.75" customHeight="1">
      <c r="C349" s="748" t="s">
        <v>1304</v>
      </c>
      <c r="D349" s="746" t="s">
        <v>1899</v>
      </c>
      <c r="E349" s="4665" t="s">
        <v>3106</v>
      </c>
      <c r="F349" s="4665"/>
      <c r="G349" s="4665"/>
      <c r="H349" s="4665"/>
    </row>
    <row r="350" spans="1:8" ht="12.75" customHeight="1">
      <c r="C350" s="1514" t="s">
        <v>4296</v>
      </c>
      <c r="E350" s="4665" t="s">
        <v>3243</v>
      </c>
      <c r="F350" s="4665"/>
      <c r="G350" s="4665"/>
      <c r="H350" s="4665"/>
    </row>
    <row r="351" spans="1:8" ht="12.75" customHeight="1">
      <c r="C351" s="1515"/>
      <c r="D351" s="1513" t="s">
        <v>3105</v>
      </c>
      <c r="E351" s="4668" t="s">
        <v>3244</v>
      </c>
      <c r="F351" s="4668"/>
      <c r="G351" s="4668"/>
      <c r="H351" s="4668"/>
    </row>
    <row r="352" spans="1:8" ht="3" customHeight="1">
      <c r="D352" s="746"/>
      <c r="E352" s="1511"/>
      <c r="F352" s="1511"/>
      <c r="G352" s="1511"/>
      <c r="H352" s="1511"/>
    </row>
    <row r="353" spans="1:8" ht="12.75" customHeight="1">
      <c r="C353" s="712" t="s">
        <v>3008</v>
      </c>
      <c r="D353" s="746" t="s">
        <v>1897</v>
      </c>
      <c r="E353" s="747"/>
      <c r="F353" s="743" t="s">
        <v>3009</v>
      </c>
      <c r="G353" s="743"/>
      <c r="H353" s="743"/>
    </row>
    <row r="354" spans="1:8" ht="12.75" customHeight="1">
      <c r="C354" s="748" t="s">
        <v>1304</v>
      </c>
      <c r="D354" s="746" t="s">
        <v>1899</v>
      </c>
      <c r="E354" s="4665" t="s">
        <v>3106</v>
      </c>
      <c r="F354" s="4665"/>
      <c r="G354" s="4665"/>
      <c r="H354" s="4665"/>
    </row>
    <row r="355" spans="1:8" ht="12.75" customHeight="1">
      <c r="C355" s="1514" t="s">
        <v>4296</v>
      </c>
      <c r="E355" s="4665" t="s">
        <v>3243</v>
      </c>
      <c r="F355" s="4665"/>
      <c r="G355" s="4665"/>
      <c r="H355" s="4665"/>
    </row>
    <row r="356" spans="1:8" ht="12.75" customHeight="1">
      <c r="C356" s="1515"/>
      <c r="D356" s="1513" t="s">
        <v>3105</v>
      </c>
      <c r="E356" s="4668" t="s">
        <v>3244</v>
      </c>
      <c r="F356" s="4668"/>
      <c r="G356" s="4668"/>
      <c r="H356" s="4668"/>
    </row>
    <row r="357" spans="1:8" ht="3" customHeight="1">
      <c r="D357" s="746"/>
      <c r="E357" s="1511"/>
      <c r="F357" s="1511"/>
      <c r="G357" s="1511"/>
      <c r="H357" s="1511"/>
    </row>
    <row r="358" spans="1:8" ht="12.75" customHeight="1">
      <c r="C358" s="712" t="s">
        <v>3008</v>
      </c>
      <c r="D358" s="746" t="s">
        <v>1897</v>
      </c>
      <c r="E358" s="747"/>
      <c r="F358" s="743" t="s">
        <v>3009</v>
      </c>
      <c r="G358" s="743"/>
      <c r="H358" s="743"/>
    </row>
    <row r="359" spans="1:8" ht="12.75" customHeight="1">
      <c r="C359" s="748" t="s">
        <v>1304</v>
      </c>
      <c r="D359" s="746" t="s">
        <v>1899</v>
      </c>
      <c r="E359" s="4665" t="s">
        <v>3106</v>
      </c>
      <c r="F359" s="4665"/>
      <c r="G359" s="4665"/>
      <c r="H359" s="4665"/>
    </row>
    <row r="360" spans="1:8" ht="12.75" customHeight="1">
      <c r="C360" s="1514" t="s">
        <v>4296</v>
      </c>
      <c r="E360" s="4665" t="s">
        <v>3243</v>
      </c>
      <c r="F360" s="4665"/>
      <c r="G360" s="4665"/>
      <c r="H360" s="4665"/>
    </row>
    <row r="361" spans="1:8" ht="12.75" customHeight="1">
      <c r="C361" s="1515"/>
      <c r="D361" s="1513" t="s">
        <v>3105</v>
      </c>
      <c r="E361" s="4668" t="s">
        <v>3244</v>
      </c>
      <c r="F361" s="4668"/>
      <c r="G361" s="4668"/>
      <c r="H361" s="4668"/>
    </row>
    <row r="362" spans="1:8" ht="6" customHeight="1">
      <c r="D362" s="746"/>
      <c r="E362" s="1511"/>
      <c r="F362" s="1511"/>
      <c r="G362" s="1511"/>
      <c r="H362" s="1511"/>
    </row>
    <row r="363" spans="1:8">
      <c r="A363" s="717" t="s">
        <v>3101</v>
      </c>
      <c r="B363" s="744">
        <f>IF('Part VI-Revenues &amp; Expenses'!$L$58=0,"",'Part VI-Revenues &amp; Expenses'!$L$58)</f>
        <v>4</v>
      </c>
      <c r="C363" s="717" t="s">
        <v>3102</v>
      </c>
      <c r="D363" s="745" t="s">
        <v>3245</v>
      </c>
    </row>
    <row r="364" spans="1:8" ht="1.9" customHeight="1"/>
    <row r="365" spans="1:8" ht="12.75" customHeight="1">
      <c r="C365" s="712" t="s">
        <v>3008</v>
      </c>
      <c r="D365" s="746" t="s">
        <v>1897</v>
      </c>
      <c r="E365" s="747"/>
      <c r="F365" s="743" t="s">
        <v>3009</v>
      </c>
      <c r="G365" s="743"/>
      <c r="H365" s="743"/>
    </row>
    <row r="366" spans="1:8" ht="12.75" customHeight="1">
      <c r="C366" s="748" t="s">
        <v>1304</v>
      </c>
      <c r="D366" s="746" t="s">
        <v>1899</v>
      </c>
      <c r="E366" s="4665" t="s">
        <v>3106</v>
      </c>
      <c r="F366" s="4665"/>
      <c r="G366" s="4665"/>
      <c r="H366" s="4665"/>
    </row>
    <row r="367" spans="1:8" ht="12.75" customHeight="1">
      <c r="C367" s="1514" t="s">
        <v>4296</v>
      </c>
      <c r="E367" s="4665" t="s">
        <v>3243</v>
      </c>
      <c r="F367" s="4665"/>
      <c r="G367" s="4665"/>
      <c r="H367" s="4665"/>
    </row>
    <row r="368" spans="1:8" ht="12.75" customHeight="1">
      <c r="C368" s="1515"/>
      <c r="D368" s="1512" t="s">
        <v>3105</v>
      </c>
      <c r="E368" s="4669" t="s">
        <v>3244</v>
      </c>
      <c r="F368" s="4669"/>
      <c r="G368" s="4669"/>
      <c r="H368" s="4669"/>
    </row>
    <row r="369" spans="1:8" ht="3" customHeight="1">
      <c r="D369" s="746"/>
      <c r="E369" s="1511"/>
      <c r="F369" s="1511"/>
      <c r="G369" s="1511"/>
      <c r="H369" s="1511"/>
    </row>
    <row r="370" spans="1:8" ht="12.75" customHeight="1">
      <c r="C370" s="712" t="s">
        <v>3008</v>
      </c>
      <c r="D370" s="746" t="s">
        <v>1897</v>
      </c>
      <c r="E370" s="747"/>
      <c r="F370" s="743" t="s">
        <v>3009</v>
      </c>
      <c r="G370" s="743"/>
      <c r="H370" s="743"/>
    </row>
    <row r="371" spans="1:8" ht="12.75" customHeight="1">
      <c r="C371" s="748" t="s">
        <v>1304</v>
      </c>
      <c r="D371" s="746" t="s">
        <v>1899</v>
      </c>
      <c r="E371" s="4665" t="s">
        <v>3106</v>
      </c>
      <c r="F371" s="4665"/>
      <c r="G371" s="4665"/>
      <c r="H371" s="4665"/>
    </row>
    <row r="372" spans="1:8" ht="12.75" customHeight="1">
      <c r="C372" s="1514" t="s">
        <v>4296</v>
      </c>
      <c r="E372" s="4665" t="s">
        <v>3243</v>
      </c>
      <c r="F372" s="4665"/>
      <c r="G372" s="4665"/>
      <c r="H372" s="4665"/>
    </row>
    <row r="373" spans="1:8" ht="12.75" customHeight="1">
      <c r="C373" s="1515"/>
      <c r="D373" s="1513" t="s">
        <v>3105</v>
      </c>
      <c r="E373" s="4668" t="s">
        <v>3244</v>
      </c>
      <c r="F373" s="4668"/>
      <c r="G373" s="4668"/>
      <c r="H373" s="4668"/>
    </row>
    <row r="374" spans="1:8" ht="3" customHeight="1">
      <c r="D374" s="746"/>
      <c r="E374" s="1511"/>
      <c r="F374" s="1511"/>
      <c r="G374" s="1511"/>
      <c r="H374" s="1511"/>
    </row>
    <row r="375" spans="1:8" ht="12.75" customHeight="1">
      <c r="C375" s="712" t="s">
        <v>3008</v>
      </c>
      <c r="D375" s="746" t="s">
        <v>1897</v>
      </c>
      <c r="E375" s="747"/>
      <c r="F375" s="743" t="s">
        <v>3009</v>
      </c>
      <c r="G375" s="743"/>
      <c r="H375" s="743"/>
    </row>
    <row r="376" spans="1:8" ht="12.75" customHeight="1">
      <c r="C376" s="748" t="s">
        <v>1304</v>
      </c>
      <c r="D376" s="746" t="s">
        <v>1899</v>
      </c>
      <c r="E376" s="4665" t="s">
        <v>3106</v>
      </c>
      <c r="F376" s="4665"/>
      <c r="G376" s="4665"/>
      <c r="H376" s="4665"/>
    </row>
    <row r="377" spans="1:8" ht="12.75" customHeight="1">
      <c r="C377" s="1514" t="s">
        <v>4296</v>
      </c>
      <c r="E377" s="4665" t="s">
        <v>3243</v>
      </c>
      <c r="F377" s="4665"/>
      <c r="G377" s="4665"/>
      <c r="H377" s="4665"/>
    </row>
    <row r="378" spans="1:8" ht="12.75" customHeight="1">
      <c r="C378" s="1515"/>
      <c r="D378" s="1513" t="s">
        <v>3105</v>
      </c>
      <c r="E378" s="4668" t="s">
        <v>3244</v>
      </c>
      <c r="F378" s="4668"/>
      <c r="G378" s="4668"/>
      <c r="H378" s="4668"/>
    </row>
    <row r="379" spans="1:8" ht="6" customHeight="1">
      <c r="D379" s="746"/>
      <c r="E379" s="1511"/>
      <c r="F379" s="1511"/>
      <c r="G379" s="1511"/>
      <c r="H379" s="1511"/>
    </row>
    <row r="380" spans="1:8">
      <c r="A380" s="717" t="s">
        <v>3101</v>
      </c>
      <c r="B380" s="744">
        <f>IF('Part VI-Revenues &amp; Expenses'!$M$58=0,"",'Part VI-Revenues &amp; Expenses'!$M$58)</f>
        <v>13</v>
      </c>
      <c r="C380" s="717" t="s">
        <v>3103</v>
      </c>
      <c r="D380" s="745" t="s">
        <v>3246</v>
      </c>
    </row>
    <row r="381" spans="1:8" ht="1.9" customHeight="1"/>
    <row r="382" spans="1:8" ht="12.75" customHeight="1">
      <c r="C382" s="712" t="s">
        <v>3008</v>
      </c>
      <c r="D382" s="746" t="s">
        <v>1897</v>
      </c>
      <c r="E382" s="747"/>
      <c r="F382" s="743" t="s">
        <v>3009</v>
      </c>
      <c r="G382" s="743"/>
      <c r="H382" s="743"/>
    </row>
    <row r="383" spans="1:8" ht="12.75" customHeight="1">
      <c r="C383" s="748" t="s">
        <v>1304</v>
      </c>
      <c r="D383" s="746" t="s">
        <v>1899</v>
      </c>
      <c r="E383" s="4665" t="s">
        <v>3106</v>
      </c>
      <c r="F383" s="4665"/>
      <c r="G383" s="4665"/>
      <c r="H383" s="4665"/>
    </row>
    <row r="384" spans="1:8" ht="12.75" customHeight="1">
      <c r="C384" s="1514" t="s">
        <v>4296</v>
      </c>
      <c r="E384" s="4665" t="s">
        <v>3243</v>
      </c>
      <c r="F384" s="4665"/>
      <c r="G384" s="4665"/>
      <c r="H384" s="4665"/>
    </row>
    <row r="385" spans="1:8" ht="12.75" customHeight="1">
      <c r="C385" s="1515"/>
      <c r="D385" s="1512" t="s">
        <v>3105</v>
      </c>
      <c r="E385" s="4669" t="s">
        <v>3244</v>
      </c>
      <c r="F385" s="4669"/>
      <c r="G385" s="4669"/>
      <c r="H385" s="4669"/>
    </row>
    <row r="386" spans="1:8" ht="3" customHeight="1">
      <c r="D386" s="746"/>
      <c r="E386" s="1511"/>
      <c r="F386" s="1511"/>
      <c r="G386" s="1511"/>
      <c r="H386" s="1511"/>
    </row>
    <row r="387" spans="1:8" ht="12.75" customHeight="1">
      <c r="C387" s="712" t="s">
        <v>3008</v>
      </c>
      <c r="D387" s="746" t="s">
        <v>1897</v>
      </c>
      <c r="E387" s="747"/>
      <c r="F387" s="743" t="s">
        <v>3009</v>
      </c>
      <c r="G387" s="743"/>
      <c r="H387" s="743"/>
    </row>
    <row r="388" spans="1:8" ht="12.75" customHeight="1">
      <c r="C388" s="748" t="s">
        <v>1304</v>
      </c>
      <c r="D388" s="746" t="s">
        <v>1899</v>
      </c>
      <c r="E388" s="4665" t="s">
        <v>3106</v>
      </c>
      <c r="F388" s="4665"/>
      <c r="G388" s="4665"/>
      <c r="H388" s="4665"/>
    </row>
    <row r="389" spans="1:8" ht="12.75" customHeight="1">
      <c r="C389" s="1514" t="s">
        <v>4296</v>
      </c>
      <c r="E389" s="4665" t="s">
        <v>3243</v>
      </c>
      <c r="F389" s="4665"/>
      <c r="G389" s="4665"/>
      <c r="H389" s="4665"/>
    </row>
    <row r="390" spans="1:8" ht="12.75" customHeight="1">
      <c r="C390" s="1515"/>
      <c r="D390" s="1513" t="s">
        <v>3105</v>
      </c>
      <c r="E390" s="4668" t="s">
        <v>3244</v>
      </c>
      <c r="F390" s="4668"/>
      <c r="G390" s="4668"/>
      <c r="H390" s="4668"/>
    </row>
    <row r="391" spans="1:8" ht="3" customHeight="1">
      <c r="D391" s="746"/>
      <c r="E391" s="1511"/>
      <c r="F391" s="1511"/>
      <c r="G391" s="1511"/>
      <c r="H391" s="1511"/>
    </row>
    <row r="392" spans="1:8" ht="12.75" customHeight="1">
      <c r="C392" s="712" t="s">
        <v>3008</v>
      </c>
      <c r="D392" s="746" t="s">
        <v>1897</v>
      </c>
      <c r="E392" s="747"/>
      <c r="F392" s="743" t="s">
        <v>3009</v>
      </c>
      <c r="G392" s="743"/>
      <c r="H392" s="743"/>
    </row>
    <row r="393" spans="1:8" ht="12.75" customHeight="1">
      <c r="C393" s="748" t="s">
        <v>1304</v>
      </c>
      <c r="D393" s="746" t="s">
        <v>1899</v>
      </c>
      <c r="E393" s="4665" t="s">
        <v>3106</v>
      </c>
      <c r="F393" s="4665"/>
      <c r="G393" s="4665"/>
      <c r="H393" s="4665"/>
    </row>
    <row r="394" spans="1:8" ht="12.75" customHeight="1">
      <c r="C394" s="1514" t="s">
        <v>4296</v>
      </c>
      <c r="E394" s="4665" t="s">
        <v>3243</v>
      </c>
      <c r="F394" s="4665"/>
      <c r="G394" s="4665"/>
      <c r="H394" s="4665"/>
    </row>
    <row r="395" spans="1:8" ht="12.75" customHeight="1">
      <c r="C395" s="1515"/>
      <c r="D395" s="1513" t="s">
        <v>3105</v>
      </c>
      <c r="E395" s="4668" t="s">
        <v>3244</v>
      </c>
      <c r="F395" s="4668"/>
      <c r="G395" s="4668"/>
      <c r="H395" s="4668"/>
    </row>
    <row r="396" spans="1:8" ht="6" customHeight="1">
      <c r="D396" s="746"/>
      <c r="E396" s="1511"/>
      <c r="F396" s="1511"/>
      <c r="G396" s="1511"/>
      <c r="H396" s="1511"/>
    </row>
    <row r="397" spans="1:8">
      <c r="A397" s="717" t="s">
        <v>3101</v>
      </c>
      <c r="B397" s="744">
        <f>IF('Part VI-Revenues &amp; Expenses'!$N$58=0,"",'Part VI-Revenues &amp; Expenses'!$N$58)</f>
        <v>6</v>
      </c>
      <c r="C397" s="717" t="s">
        <v>3104</v>
      </c>
      <c r="D397" s="745" t="s">
        <v>3247</v>
      </c>
    </row>
    <row r="398" spans="1:8" ht="1.9" customHeight="1"/>
    <row r="399" spans="1:8" ht="12.75" customHeight="1">
      <c r="C399" s="712" t="s">
        <v>3008</v>
      </c>
      <c r="D399" s="746" t="s">
        <v>1897</v>
      </c>
      <c r="E399" s="747"/>
      <c r="F399" s="743" t="s">
        <v>3009</v>
      </c>
      <c r="G399" s="743"/>
      <c r="H399" s="743"/>
    </row>
    <row r="400" spans="1:8" ht="12.75" customHeight="1">
      <c r="C400" s="748" t="s">
        <v>1304</v>
      </c>
      <c r="D400" s="746" t="s">
        <v>1899</v>
      </c>
      <c r="E400" s="4665" t="s">
        <v>3106</v>
      </c>
      <c r="F400" s="4665"/>
      <c r="G400" s="4665"/>
      <c r="H400" s="4665"/>
    </row>
    <row r="401" spans="1:11" ht="12.75" customHeight="1">
      <c r="C401" s="1514" t="s">
        <v>4296</v>
      </c>
      <c r="E401" s="4665" t="s">
        <v>3243</v>
      </c>
      <c r="F401" s="4665"/>
      <c r="G401" s="4665"/>
      <c r="H401" s="4665"/>
    </row>
    <row r="402" spans="1:11" ht="12.75" customHeight="1">
      <c r="C402" s="1515"/>
      <c r="D402" s="1512" t="s">
        <v>3105</v>
      </c>
      <c r="E402" s="4669" t="s">
        <v>3244</v>
      </c>
      <c r="F402" s="4669"/>
      <c r="G402" s="4669"/>
      <c r="H402" s="4669"/>
    </row>
    <row r="403" spans="1:11" ht="3" customHeight="1">
      <c r="D403" s="746"/>
      <c r="E403" s="1511"/>
      <c r="F403" s="1511"/>
      <c r="G403" s="1511"/>
      <c r="H403" s="1511"/>
    </row>
    <row r="404" spans="1:11" ht="12.75" customHeight="1">
      <c r="C404" s="712" t="s">
        <v>3008</v>
      </c>
      <c r="D404" s="746" t="s">
        <v>1897</v>
      </c>
      <c r="E404" s="747"/>
      <c r="F404" s="743" t="s">
        <v>3009</v>
      </c>
      <c r="G404" s="743"/>
      <c r="H404" s="743"/>
    </row>
    <row r="405" spans="1:11" ht="12.75" customHeight="1">
      <c r="C405" s="748" t="s">
        <v>1304</v>
      </c>
      <c r="D405" s="746" t="s">
        <v>1899</v>
      </c>
      <c r="E405" s="4665" t="s">
        <v>3106</v>
      </c>
      <c r="F405" s="4665"/>
      <c r="G405" s="4665"/>
      <c r="H405" s="4665"/>
    </row>
    <row r="406" spans="1:11" ht="12.75" customHeight="1">
      <c r="C406" s="1514" t="s">
        <v>4296</v>
      </c>
      <c r="E406" s="4665" t="s">
        <v>3243</v>
      </c>
      <c r="F406" s="4665"/>
      <c r="G406" s="4665"/>
      <c r="H406" s="4665"/>
    </row>
    <row r="407" spans="1:11" ht="12.75" customHeight="1">
      <c r="C407" s="1515"/>
      <c r="D407" s="1513" t="s">
        <v>3105</v>
      </c>
      <c r="E407" s="4668" t="s">
        <v>3244</v>
      </c>
      <c r="F407" s="4668"/>
      <c r="G407" s="4668"/>
      <c r="H407" s="4668"/>
    </row>
    <row r="408" spans="1:11" ht="3" customHeight="1">
      <c r="D408" s="746"/>
      <c r="E408" s="1511"/>
      <c r="F408" s="1511"/>
      <c r="G408" s="1511"/>
      <c r="H408" s="1511"/>
    </row>
    <row r="409" spans="1:11" ht="12.75" customHeight="1">
      <c r="C409" s="712" t="s">
        <v>3008</v>
      </c>
      <c r="D409" s="746" t="s">
        <v>1897</v>
      </c>
      <c r="E409" s="747"/>
      <c r="F409" s="743" t="s">
        <v>3009</v>
      </c>
      <c r="G409" s="743"/>
      <c r="H409" s="743"/>
    </row>
    <row r="410" spans="1:11" ht="12.75" customHeight="1">
      <c r="C410" s="748" t="s">
        <v>1304</v>
      </c>
      <c r="D410" s="746" t="s">
        <v>1899</v>
      </c>
      <c r="E410" s="4665" t="s">
        <v>3106</v>
      </c>
      <c r="F410" s="4665"/>
      <c r="G410" s="4665"/>
      <c r="H410" s="4665"/>
    </row>
    <row r="411" spans="1:11" ht="12.75" customHeight="1">
      <c r="C411" s="1514" t="s">
        <v>4296</v>
      </c>
      <c r="E411" s="4665" t="s">
        <v>3243</v>
      </c>
      <c r="F411" s="4665"/>
      <c r="G411" s="4665"/>
      <c r="H411" s="4665"/>
    </row>
    <row r="412" spans="1:11" ht="12.75" customHeight="1">
      <c r="C412" s="1515"/>
      <c r="D412" s="1513" t="s">
        <v>3105</v>
      </c>
      <c r="E412" s="4668" t="s">
        <v>3244</v>
      </c>
      <c r="F412" s="4668"/>
      <c r="G412" s="4668"/>
      <c r="H412" s="4668"/>
    </row>
    <row r="413" spans="1:11" ht="6" customHeight="1">
      <c r="D413" s="746"/>
      <c r="E413" s="1511"/>
      <c r="F413" s="1511"/>
      <c r="G413" s="1511"/>
      <c r="H413" s="1511"/>
    </row>
    <row r="414" spans="1:11">
      <c r="A414" s="717" t="s">
        <v>3101</v>
      </c>
      <c r="B414" s="744" t="str">
        <f>IF('Part VI-Revenues &amp; Expenses'!$O$58=0,"",'Part VI-Revenues &amp; Expenses'!$O$58)</f>
        <v/>
      </c>
      <c r="C414" s="717" t="s">
        <v>4294</v>
      </c>
      <c r="D414" s="745" t="s">
        <v>4295</v>
      </c>
    </row>
    <row r="415" spans="1:11" ht="1.9" customHeight="1"/>
    <row r="416" spans="1:11" ht="12.75" customHeight="1">
      <c r="C416" s="712" t="s">
        <v>3008</v>
      </c>
      <c r="D416" s="746" t="s">
        <v>1897</v>
      </c>
      <c r="E416" s="747"/>
      <c r="F416" s="4665" t="s">
        <v>3009</v>
      </c>
      <c r="G416" s="4665"/>
      <c r="H416" s="4665"/>
      <c r="K416" s="699" t="s">
        <v>232</v>
      </c>
    </row>
    <row r="417" spans="1:8" ht="12.75" customHeight="1">
      <c r="C417" s="748" t="s">
        <v>1304</v>
      </c>
      <c r="D417" s="746" t="s">
        <v>1899</v>
      </c>
      <c r="E417" s="4665" t="s">
        <v>3107</v>
      </c>
      <c r="F417" s="4665"/>
      <c r="G417" s="4665"/>
      <c r="H417" s="4665"/>
    </row>
    <row r="418" spans="1:8" ht="12.75" customHeight="1">
      <c r="E418" s="4665" t="s">
        <v>3243</v>
      </c>
      <c r="F418" s="4665"/>
      <c r="G418" s="4665"/>
      <c r="H418" s="4665"/>
    </row>
    <row r="419" spans="1:8" ht="12.75" customHeight="1">
      <c r="D419" s="749" t="s">
        <v>3105</v>
      </c>
      <c r="E419" s="4665" t="s">
        <v>3244</v>
      </c>
      <c r="F419" s="4665"/>
      <c r="G419" s="4665"/>
      <c r="H419" s="4665"/>
    </row>
    <row r="420" spans="1:8" ht="9" customHeight="1" thickBot="1"/>
    <row r="421" spans="1:8" ht="16.149999999999999" customHeight="1" thickBot="1">
      <c r="A421" s="4666">
        <v>70</v>
      </c>
      <c r="B421" s="4667"/>
      <c r="C421" s="1516" t="s">
        <v>1000</v>
      </c>
    </row>
    <row r="422" spans="1:8" ht="9" customHeight="1">
      <c r="A422" s="702"/>
    </row>
    <row r="423" spans="1:8" ht="28.15" customHeight="1">
      <c r="A423" s="4670" t="s">
        <v>4302</v>
      </c>
      <c r="B423" s="4670"/>
      <c r="C423" s="4670"/>
      <c r="D423" s="4670"/>
      <c r="E423" s="4670"/>
      <c r="F423" s="4670"/>
      <c r="G423" s="4670"/>
      <c r="H423" s="4670"/>
    </row>
    <row r="424" spans="1:8" ht="9" customHeight="1">
      <c r="A424" s="702"/>
    </row>
    <row r="425" spans="1:8">
      <c r="A425" s="717" t="s">
        <v>3101</v>
      </c>
      <c r="B425" s="744" t="str">
        <f>IF('Part VI-Revenues &amp; Expenses'!$K$57=0,"",'Part VI-Revenues &amp; Expenses'!$K$57)</f>
        <v/>
      </c>
      <c r="C425" s="717" t="s">
        <v>4291</v>
      </c>
      <c r="D425" s="745" t="s">
        <v>4292</v>
      </c>
    </row>
    <row r="426" spans="1:8" ht="1.9" customHeight="1"/>
    <row r="427" spans="1:8" ht="12.75" customHeight="1">
      <c r="C427" s="712" t="s">
        <v>3008</v>
      </c>
      <c r="D427" s="746" t="s">
        <v>1897</v>
      </c>
      <c r="E427" s="747"/>
      <c r="F427" s="4665" t="s">
        <v>3009</v>
      </c>
      <c r="G427" s="4665"/>
      <c r="H427" s="4665"/>
    </row>
    <row r="428" spans="1:8" ht="12.75" customHeight="1">
      <c r="C428" s="748" t="s">
        <v>1304</v>
      </c>
      <c r="D428" s="746" t="s">
        <v>1899</v>
      </c>
      <c r="E428" s="4665" t="s">
        <v>3106</v>
      </c>
      <c r="F428" s="4665"/>
      <c r="G428" s="4665"/>
      <c r="H428" s="4665"/>
    </row>
    <row r="429" spans="1:8" ht="12.75" customHeight="1">
      <c r="C429" s="1514" t="s">
        <v>4296</v>
      </c>
      <c r="E429" s="4665" t="s">
        <v>3243</v>
      </c>
      <c r="F429" s="4665"/>
      <c r="G429" s="4665"/>
      <c r="H429" s="4665"/>
    </row>
    <row r="430" spans="1:8" ht="12.75" customHeight="1">
      <c r="C430" s="1515"/>
      <c r="D430" s="1513" t="s">
        <v>3105</v>
      </c>
      <c r="E430" s="4668" t="s">
        <v>3244</v>
      </c>
      <c r="F430" s="4668"/>
      <c r="G430" s="4668"/>
      <c r="H430" s="4668"/>
    </row>
    <row r="431" spans="1:8" ht="3" customHeight="1">
      <c r="D431" s="746"/>
      <c r="E431" s="1511"/>
      <c r="F431" s="1511"/>
      <c r="G431" s="1511"/>
      <c r="H431" s="1511"/>
    </row>
    <row r="432" spans="1:8" ht="12.75" customHeight="1">
      <c r="C432" s="712" t="s">
        <v>3008</v>
      </c>
      <c r="D432" s="746" t="s">
        <v>1897</v>
      </c>
      <c r="E432" s="747"/>
      <c r="F432" s="743" t="s">
        <v>3009</v>
      </c>
      <c r="G432" s="743"/>
      <c r="H432" s="743"/>
    </row>
    <row r="433" spans="1:8" ht="12.75" customHeight="1">
      <c r="C433" s="748" t="s">
        <v>1304</v>
      </c>
      <c r="D433" s="746" t="s">
        <v>1899</v>
      </c>
      <c r="E433" s="4665" t="s">
        <v>3106</v>
      </c>
      <c r="F433" s="4665"/>
      <c r="G433" s="4665"/>
      <c r="H433" s="4665"/>
    </row>
    <row r="434" spans="1:8" ht="12.75" customHeight="1">
      <c r="C434" s="1514" t="s">
        <v>4296</v>
      </c>
      <c r="E434" s="4665" t="s">
        <v>3243</v>
      </c>
      <c r="F434" s="4665"/>
      <c r="G434" s="4665"/>
      <c r="H434" s="4665"/>
    </row>
    <row r="435" spans="1:8" ht="12.75" customHeight="1">
      <c r="C435" s="1515"/>
      <c r="D435" s="1513" t="s">
        <v>3105</v>
      </c>
      <c r="E435" s="4668" t="s">
        <v>3244</v>
      </c>
      <c r="F435" s="4668"/>
      <c r="G435" s="4668"/>
      <c r="H435" s="4668"/>
    </row>
    <row r="436" spans="1:8" ht="3" customHeight="1">
      <c r="D436" s="746"/>
      <c r="E436" s="1511"/>
      <c r="F436" s="1511"/>
      <c r="G436" s="1511"/>
      <c r="H436" s="1511"/>
    </row>
    <row r="437" spans="1:8" ht="12.75" customHeight="1">
      <c r="C437" s="712" t="s">
        <v>3008</v>
      </c>
      <c r="D437" s="746" t="s">
        <v>1897</v>
      </c>
      <c r="E437" s="747"/>
      <c r="F437" s="743" t="s">
        <v>3009</v>
      </c>
      <c r="G437" s="743"/>
      <c r="H437" s="743"/>
    </row>
    <row r="438" spans="1:8" ht="12.75" customHeight="1">
      <c r="C438" s="748" t="s">
        <v>1304</v>
      </c>
      <c r="D438" s="746" t="s">
        <v>1899</v>
      </c>
      <c r="E438" s="4665" t="s">
        <v>3106</v>
      </c>
      <c r="F438" s="4665"/>
      <c r="G438" s="4665"/>
      <c r="H438" s="4665"/>
    </row>
    <row r="439" spans="1:8" ht="12.75" customHeight="1">
      <c r="C439" s="1514" t="s">
        <v>4296</v>
      </c>
      <c r="E439" s="4665" t="s">
        <v>3243</v>
      </c>
      <c r="F439" s="4665"/>
      <c r="G439" s="4665"/>
      <c r="H439" s="4665"/>
    </row>
    <row r="440" spans="1:8" ht="12.75" customHeight="1">
      <c r="C440" s="1515"/>
      <c r="D440" s="1513" t="s">
        <v>3105</v>
      </c>
      <c r="E440" s="4668" t="s">
        <v>3244</v>
      </c>
      <c r="F440" s="4668"/>
      <c r="G440" s="4668"/>
      <c r="H440" s="4668"/>
    </row>
    <row r="441" spans="1:8" ht="6" customHeight="1">
      <c r="D441" s="746"/>
      <c r="E441" s="1511"/>
      <c r="F441" s="1511"/>
      <c r="G441" s="1511"/>
      <c r="H441" s="1511"/>
    </row>
    <row r="442" spans="1:8">
      <c r="A442" s="717" t="s">
        <v>3101</v>
      </c>
      <c r="B442" s="744">
        <f>IF('Part VI-Revenues &amp; Expenses'!$L$57=0,"",'Part VI-Revenues &amp; Expenses'!$L$57)</f>
        <v>2</v>
      </c>
      <c r="C442" s="717" t="s">
        <v>3102</v>
      </c>
      <c r="D442" s="745" t="s">
        <v>3245</v>
      </c>
    </row>
    <row r="443" spans="1:8" ht="1.9" customHeight="1"/>
    <row r="444" spans="1:8" ht="12.75" customHeight="1">
      <c r="C444" s="712" t="s">
        <v>3008</v>
      </c>
      <c r="D444" s="746" t="s">
        <v>1897</v>
      </c>
      <c r="E444" s="747"/>
      <c r="F444" s="743" t="s">
        <v>3009</v>
      </c>
      <c r="G444" s="743"/>
      <c r="H444" s="743"/>
    </row>
    <row r="445" spans="1:8" ht="12.75" customHeight="1">
      <c r="C445" s="748" t="s">
        <v>1304</v>
      </c>
      <c r="D445" s="746" t="s">
        <v>1899</v>
      </c>
      <c r="E445" s="4665" t="s">
        <v>3106</v>
      </c>
      <c r="F445" s="4665"/>
      <c r="G445" s="4665"/>
      <c r="H445" s="4665"/>
    </row>
    <row r="446" spans="1:8" ht="12.75" customHeight="1">
      <c r="C446" s="1514" t="s">
        <v>4296</v>
      </c>
      <c r="E446" s="4665" t="s">
        <v>3243</v>
      </c>
      <c r="F446" s="4665"/>
      <c r="G446" s="4665"/>
      <c r="H446" s="4665"/>
    </row>
    <row r="447" spans="1:8" ht="12.75" customHeight="1">
      <c r="C447" s="1515"/>
      <c r="D447" s="1512" t="s">
        <v>3105</v>
      </c>
      <c r="E447" s="4669" t="s">
        <v>3244</v>
      </c>
      <c r="F447" s="4669"/>
      <c r="G447" s="4669"/>
      <c r="H447" s="4669"/>
    </row>
    <row r="448" spans="1:8" ht="3" customHeight="1">
      <c r="D448" s="746"/>
      <c r="E448" s="1511"/>
      <c r="F448" s="1511"/>
      <c r="G448" s="1511"/>
      <c r="H448" s="1511"/>
    </row>
    <row r="449" spans="1:8" ht="12.75" customHeight="1">
      <c r="C449" s="712" t="s">
        <v>3008</v>
      </c>
      <c r="D449" s="746" t="s">
        <v>1897</v>
      </c>
      <c r="E449" s="747"/>
      <c r="F449" s="743" t="s">
        <v>3009</v>
      </c>
      <c r="G449" s="743"/>
      <c r="H449" s="743"/>
    </row>
    <row r="450" spans="1:8" ht="12.75" customHeight="1">
      <c r="C450" s="748" t="s">
        <v>1304</v>
      </c>
      <c r="D450" s="746" t="s">
        <v>1899</v>
      </c>
      <c r="E450" s="4665" t="s">
        <v>3106</v>
      </c>
      <c r="F450" s="4665"/>
      <c r="G450" s="4665"/>
      <c r="H450" s="4665"/>
    </row>
    <row r="451" spans="1:8" ht="12.75" customHeight="1">
      <c r="C451" s="1514" t="s">
        <v>4296</v>
      </c>
      <c r="E451" s="4665" t="s">
        <v>3243</v>
      </c>
      <c r="F451" s="4665"/>
      <c r="G451" s="4665"/>
      <c r="H451" s="4665"/>
    </row>
    <row r="452" spans="1:8" ht="12.75" customHeight="1">
      <c r="C452" s="1515"/>
      <c r="D452" s="1513" t="s">
        <v>3105</v>
      </c>
      <c r="E452" s="4668" t="s">
        <v>3244</v>
      </c>
      <c r="F452" s="4668"/>
      <c r="G452" s="4668"/>
      <c r="H452" s="4668"/>
    </row>
    <row r="453" spans="1:8" ht="3" customHeight="1">
      <c r="D453" s="746"/>
      <c r="E453" s="1511"/>
      <c r="F453" s="1511"/>
      <c r="G453" s="1511"/>
      <c r="H453" s="1511"/>
    </row>
    <row r="454" spans="1:8" ht="12.75" customHeight="1">
      <c r="C454" s="712" t="s">
        <v>3008</v>
      </c>
      <c r="D454" s="746" t="s">
        <v>1897</v>
      </c>
      <c r="E454" s="747"/>
      <c r="F454" s="743" t="s">
        <v>3009</v>
      </c>
      <c r="G454" s="743"/>
      <c r="H454" s="743"/>
    </row>
    <row r="455" spans="1:8" ht="12.75" customHeight="1">
      <c r="C455" s="748" t="s">
        <v>1304</v>
      </c>
      <c r="D455" s="746" t="s">
        <v>1899</v>
      </c>
      <c r="E455" s="4665" t="s">
        <v>3106</v>
      </c>
      <c r="F455" s="4665"/>
      <c r="G455" s="4665"/>
      <c r="H455" s="4665"/>
    </row>
    <row r="456" spans="1:8" ht="12.75" customHeight="1">
      <c r="C456" s="1514" t="s">
        <v>4296</v>
      </c>
      <c r="E456" s="4665" t="s">
        <v>3243</v>
      </c>
      <c r="F456" s="4665"/>
      <c r="G456" s="4665"/>
      <c r="H456" s="4665"/>
    </row>
    <row r="457" spans="1:8" ht="12.75" customHeight="1">
      <c r="C457" s="1515"/>
      <c r="D457" s="1513" t="s">
        <v>3105</v>
      </c>
      <c r="E457" s="4668" t="s">
        <v>3244</v>
      </c>
      <c r="F457" s="4668"/>
      <c r="G457" s="4668"/>
      <c r="H457" s="4668"/>
    </row>
    <row r="458" spans="1:8" ht="6" customHeight="1">
      <c r="D458" s="746"/>
      <c r="E458" s="1511"/>
      <c r="F458" s="1511"/>
      <c r="G458" s="1511"/>
      <c r="H458" s="1511"/>
    </row>
    <row r="459" spans="1:8">
      <c r="A459" s="717" t="s">
        <v>3101</v>
      </c>
      <c r="B459" s="744">
        <f>IF('Part VI-Revenues &amp; Expenses'!$M$57=0,"",'Part VI-Revenues &amp; Expenses'!$M$57)</f>
        <v>2</v>
      </c>
      <c r="C459" s="717" t="s">
        <v>3103</v>
      </c>
      <c r="D459" s="745" t="s">
        <v>3246</v>
      </c>
    </row>
    <row r="460" spans="1:8" ht="1.9" customHeight="1"/>
    <row r="461" spans="1:8" ht="12.75" customHeight="1">
      <c r="C461" s="712" t="s">
        <v>3008</v>
      </c>
      <c r="D461" s="746" t="s">
        <v>1897</v>
      </c>
      <c r="E461" s="747"/>
      <c r="F461" s="743" t="s">
        <v>3009</v>
      </c>
      <c r="G461" s="743"/>
      <c r="H461" s="743"/>
    </row>
    <row r="462" spans="1:8" ht="12.75" customHeight="1">
      <c r="C462" s="748" t="s">
        <v>1304</v>
      </c>
      <c r="D462" s="746" t="s">
        <v>1899</v>
      </c>
      <c r="E462" s="4665" t="s">
        <v>3106</v>
      </c>
      <c r="F462" s="4665"/>
      <c r="G462" s="4665"/>
      <c r="H462" s="4665"/>
    </row>
    <row r="463" spans="1:8" ht="12.75" customHeight="1">
      <c r="C463" s="1514" t="s">
        <v>4296</v>
      </c>
      <c r="E463" s="4665" t="s">
        <v>3243</v>
      </c>
      <c r="F463" s="4665"/>
      <c r="G463" s="4665"/>
      <c r="H463" s="4665"/>
    </row>
    <row r="464" spans="1:8" ht="12.75" customHeight="1">
      <c r="C464" s="1515"/>
      <c r="D464" s="1512" t="s">
        <v>3105</v>
      </c>
      <c r="E464" s="4669" t="s">
        <v>3244</v>
      </c>
      <c r="F464" s="4669"/>
      <c r="G464" s="4669"/>
      <c r="H464" s="4669"/>
    </row>
    <row r="465" spans="1:8" ht="3" customHeight="1">
      <c r="D465" s="746"/>
      <c r="E465" s="1511"/>
      <c r="F465" s="1511"/>
      <c r="G465" s="1511"/>
      <c r="H465" s="1511"/>
    </row>
    <row r="466" spans="1:8" ht="12.75" customHeight="1">
      <c r="C466" s="712" t="s">
        <v>3008</v>
      </c>
      <c r="D466" s="746" t="s">
        <v>1897</v>
      </c>
      <c r="E466" s="747"/>
      <c r="F466" s="743" t="s">
        <v>3009</v>
      </c>
      <c r="G466" s="743"/>
      <c r="H466" s="743"/>
    </row>
    <row r="467" spans="1:8" ht="12.75" customHeight="1">
      <c r="C467" s="748" t="s">
        <v>1304</v>
      </c>
      <c r="D467" s="746" t="s">
        <v>1899</v>
      </c>
      <c r="E467" s="4665" t="s">
        <v>3106</v>
      </c>
      <c r="F467" s="4665"/>
      <c r="G467" s="4665"/>
      <c r="H467" s="4665"/>
    </row>
    <row r="468" spans="1:8" ht="12.75" customHeight="1">
      <c r="C468" s="1514" t="s">
        <v>4296</v>
      </c>
      <c r="E468" s="4665" t="s">
        <v>3243</v>
      </c>
      <c r="F468" s="4665"/>
      <c r="G468" s="4665"/>
      <c r="H468" s="4665"/>
    </row>
    <row r="469" spans="1:8" ht="12.75" customHeight="1">
      <c r="C469" s="1515"/>
      <c r="D469" s="1513" t="s">
        <v>3105</v>
      </c>
      <c r="E469" s="4668" t="s">
        <v>3244</v>
      </c>
      <c r="F469" s="4668"/>
      <c r="G469" s="4668"/>
      <c r="H469" s="4668"/>
    </row>
    <row r="470" spans="1:8" ht="3" customHeight="1">
      <c r="D470" s="746"/>
      <c r="E470" s="1511"/>
      <c r="F470" s="1511"/>
      <c r="G470" s="1511"/>
      <c r="H470" s="1511"/>
    </row>
    <row r="471" spans="1:8" ht="12.75" customHeight="1">
      <c r="C471" s="712" t="s">
        <v>3008</v>
      </c>
      <c r="D471" s="746" t="s">
        <v>1897</v>
      </c>
      <c r="E471" s="747"/>
      <c r="F471" s="743" t="s">
        <v>3009</v>
      </c>
      <c r="G471" s="743"/>
      <c r="H471" s="743"/>
    </row>
    <row r="472" spans="1:8" ht="12.75" customHeight="1">
      <c r="C472" s="748" t="s">
        <v>1304</v>
      </c>
      <c r="D472" s="746" t="s">
        <v>1899</v>
      </c>
      <c r="E472" s="4665" t="s">
        <v>3106</v>
      </c>
      <c r="F472" s="4665"/>
      <c r="G472" s="4665"/>
      <c r="H472" s="4665"/>
    </row>
    <row r="473" spans="1:8" ht="12.75" customHeight="1">
      <c r="C473" s="1514" t="s">
        <v>4296</v>
      </c>
      <c r="E473" s="4665" t="s">
        <v>3243</v>
      </c>
      <c r="F473" s="4665"/>
      <c r="G473" s="4665"/>
      <c r="H473" s="4665"/>
    </row>
    <row r="474" spans="1:8" ht="12.75" customHeight="1">
      <c r="C474" s="1515"/>
      <c r="D474" s="1513" t="s">
        <v>3105</v>
      </c>
      <c r="E474" s="4668" t="s">
        <v>3244</v>
      </c>
      <c r="F474" s="4668"/>
      <c r="G474" s="4668"/>
      <c r="H474" s="4668"/>
    </row>
    <row r="475" spans="1:8" ht="6" customHeight="1">
      <c r="D475" s="746"/>
      <c r="E475" s="1511"/>
      <c r="F475" s="1511"/>
      <c r="G475" s="1511"/>
      <c r="H475" s="1511"/>
    </row>
    <row r="476" spans="1:8">
      <c r="A476" s="717" t="s">
        <v>3101</v>
      </c>
      <c r="B476" s="744">
        <f>IF('Part VI-Revenues &amp; Expenses'!$N$57=0,"",'Part VI-Revenues &amp; Expenses'!$N$57)</f>
        <v>2</v>
      </c>
      <c r="C476" s="717" t="s">
        <v>3104</v>
      </c>
      <c r="D476" s="745" t="s">
        <v>3247</v>
      </c>
    </row>
    <row r="477" spans="1:8" ht="1.9" customHeight="1"/>
    <row r="478" spans="1:8" ht="12.75" customHeight="1">
      <c r="C478" s="712" t="s">
        <v>3008</v>
      </c>
      <c r="D478" s="746" t="s">
        <v>1897</v>
      </c>
      <c r="E478" s="747"/>
      <c r="F478" s="743" t="s">
        <v>3009</v>
      </c>
      <c r="G478" s="743"/>
      <c r="H478" s="743"/>
    </row>
    <row r="479" spans="1:8" ht="12.75" customHeight="1">
      <c r="C479" s="748" t="s">
        <v>1304</v>
      </c>
      <c r="D479" s="746" t="s">
        <v>1899</v>
      </c>
      <c r="E479" s="4665" t="s">
        <v>3106</v>
      </c>
      <c r="F479" s="4665"/>
      <c r="G479" s="4665"/>
      <c r="H479" s="4665"/>
    </row>
    <row r="480" spans="1:8" ht="12.75" customHeight="1">
      <c r="C480" s="1514" t="s">
        <v>4296</v>
      </c>
      <c r="E480" s="4665" t="s">
        <v>3243</v>
      </c>
      <c r="F480" s="4665"/>
      <c r="G480" s="4665"/>
      <c r="H480" s="4665"/>
    </row>
    <row r="481" spans="1:11" ht="12.75" customHeight="1">
      <c r="C481" s="1515"/>
      <c r="D481" s="1512" t="s">
        <v>3105</v>
      </c>
      <c r="E481" s="4669" t="s">
        <v>3244</v>
      </c>
      <c r="F481" s="4669"/>
      <c r="G481" s="4669"/>
      <c r="H481" s="4669"/>
    </row>
    <row r="482" spans="1:11" ht="3" customHeight="1">
      <c r="D482" s="746"/>
      <c r="E482" s="1511"/>
      <c r="F482" s="1511"/>
      <c r="G482" s="1511"/>
      <c r="H482" s="1511"/>
    </row>
    <row r="483" spans="1:11" ht="12.75" customHeight="1">
      <c r="C483" s="712" t="s">
        <v>3008</v>
      </c>
      <c r="D483" s="746" t="s">
        <v>1897</v>
      </c>
      <c r="E483" s="747"/>
      <c r="F483" s="743" t="s">
        <v>3009</v>
      </c>
      <c r="G483" s="743"/>
      <c r="H483" s="743"/>
    </row>
    <row r="484" spans="1:11" ht="12.75" customHeight="1">
      <c r="C484" s="748" t="s">
        <v>1304</v>
      </c>
      <c r="D484" s="746" t="s">
        <v>1899</v>
      </c>
      <c r="E484" s="4665" t="s">
        <v>3106</v>
      </c>
      <c r="F484" s="4665"/>
      <c r="G484" s="4665"/>
      <c r="H484" s="4665"/>
    </row>
    <row r="485" spans="1:11" ht="12.75" customHeight="1">
      <c r="C485" s="1514" t="s">
        <v>4296</v>
      </c>
      <c r="E485" s="4665" t="s">
        <v>3243</v>
      </c>
      <c r="F485" s="4665"/>
      <c r="G485" s="4665"/>
      <c r="H485" s="4665"/>
    </row>
    <row r="486" spans="1:11" ht="12.75" customHeight="1">
      <c r="C486" s="1515"/>
      <c r="D486" s="1513" t="s">
        <v>3105</v>
      </c>
      <c r="E486" s="4668" t="s">
        <v>3244</v>
      </c>
      <c r="F486" s="4668"/>
      <c r="G486" s="4668"/>
      <c r="H486" s="4668"/>
    </row>
    <row r="487" spans="1:11" ht="3" customHeight="1">
      <c r="D487" s="746"/>
      <c r="E487" s="1511"/>
      <c r="F487" s="1511"/>
      <c r="G487" s="1511"/>
      <c r="H487" s="1511"/>
    </row>
    <row r="488" spans="1:11" ht="12.75" customHeight="1">
      <c r="C488" s="712" t="s">
        <v>3008</v>
      </c>
      <c r="D488" s="746" t="s">
        <v>1897</v>
      </c>
      <c r="E488" s="747"/>
      <c r="F488" s="743" t="s">
        <v>3009</v>
      </c>
      <c r="G488" s="743"/>
      <c r="H488" s="743"/>
    </row>
    <row r="489" spans="1:11" ht="12.75" customHeight="1">
      <c r="C489" s="748" t="s">
        <v>1304</v>
      </c>
      <c r="D489" s="746" t="s">
        <v>1899</v>
      </c>
      <c r="E489" s="4665" t="s">
        <v>3106</v>
      </c>
      <c r="F489" s="4665"/>
      <c r="G489" s="4665"/>
      <c r="H489" s="4665"/>
    </row>
    <row r="490" spans="1:11" ht="12.75" customHeight="1">
      <c r="C490" s="1514" t="s">
        <v>4296</v>
      </c>
      <c r="E490" s="4665" t="s">
        <v>3243</v>
      </c>
      <c r="F490" s="4665"/>
      <c r="G490" s="4665"/>
      <c r="H490" s="4665"/>
    </row>
    <row r="491" spans="1:11" ht="12.75" customHeight="1">
      <c r="C491" s="1515"/>
      <c r="D491" s="1513" t="s">
        <v>3105</v>
      </c>
      <c r="E491" s="4668" t="s">
        <v>3244</v>
      </c>
      <c r="F491" s="4668"/>
      <c r="G491" s="4668"/>
      <c r="H491" s="4668"/>
    </row>
    <row r="492" spans="1:11" ht="6" customHeight="1">
      <c r="D492" s="746"/>
      <c r="E492" s="1511"/>
      <c r="F492" s="1511"/>
      <c r="G492" s="1511"/>
      <c r="H492" s="1511"/>
    </row>
    <row r="493" spans="1:11">
      <c r="A493" s="717" t="s">
        <v>3101</v>
      </c>
      <c r="B493" s="744" t="str">
        <f>IF('Part VI-Revenues &amp; Expenses'!$O$57=0,"",'Part VI-Revenues &amp; Expenses'!$O$57)</f>
        <v/>
      </c>
      <c r="C493" s="717" t="s">
        <v>4294</v>
      </c>
      <c r="D493" s="745" t="s">
        <v>4295</v>
      </c>
    </row>
    <row r="494" spans="1:11" ht="1.9" customHeight="1"/>
    <row r="495" spans="1:11" ht="12.75" customHeight="1">
      <c r="C495" s="712" t="s">
        <v>3008</v>
      </c>
      <c r="D495" s="746" t="s">
        <v>1897</v>
      </c>
      <c r="E495" s="747"/>
      <c r="F495" s="4665" t="s">
        <v>3009</v>
      </c>
      <c r="G495" s="4665"/>
      <c r="H495" s="4665"/>
      <c r="K495" s="699" t="s">
        <v>232</v>
      </c>
    </row>
    <row r="496" spans="1:11" ht="12.75" customHeight="1">
      <c r="C496" s="748" t="s">
        <v>1304</v>
      </c>
      <c r="D496" s="746" t="s">
        <v>1899</v>
      </c>
      <c r="E496" s="4665" t="s">
        <v>3107</v>
      </c>
      <c r="F496" s="4665"/>
      <c r="G496" s="4665"/>
      <c r="H496" s="4665"/>
    </row>
    <row r="497" spans="1:8" ht="12.75" customHeight="1">
      <c r="E497" s="4665" t="s">
        <v>3243</v>
      </c>
      <c r="F497" s="4665"/>
      <c r="G497" s="4665"/>
      <c r="H497" s="4665"/>
    </row>
    <row r="498" spans="1:8" ht="12.75" customHeight="1">
      <c r="D498" s="749" t="s">
        <v>3105</v>
      </c>
      <c r="E498" s="4665" t="s">
        <v>3244</v>
      </c>
      <c r="F498" s="4665"/>
      <c r="G498" s="4665"/>
      <c r="H498" s="4665"/>
    </row>
    <row r="499" spans="1:8" ht="9" customHeight="1" thickBot="1"/>
    <row r="500" spans="1:8" ht="16.149999999999999" customHeight="1" thickBot="1">
      <c r="A500" s="4666">
        <v>80</v>
      </c>
      <c r="B500" s="4667"/>
      <c r="C500" s="1516" t="s">
        <v>1000</v>
      </c>
    </row>
    <row r="501" spans="1:8" ht="9" customHeight="1">
      <c r="A501" s="702"/>
    </row>
    <row r="502" spans="1:8" ht="28.15" customHeight="1">
      <c r="A502" s="4670" t="s">
        <v>4303</v>
      </c>
      <c r="B502" s="4670"/>
      <c r="C502" s="4670"/>
      <c r="D502" s="4670"/>
      <c r="E502" s="4670"/>
      <c r="F502" s="4670"/>
      <c r="G502" s="4670"/>
      <c r="H502" s="4670"/>
    </row>
    <row r="503" spans="1:8" ht="9" customHeight="1">
      <c r="A503" s="702"/>
    </row>
    <row r="504" spans="1:8">
      <c r="A504" s="717" t="s">
        <v>3101</v>
      </c>
      <c r="B504" s="744" t="str">
        <f>IF('Part VI-Revenues &amp; Expenses'!$K$56=0,"",'Part VI-Revenues &amp; Expenses'!$K$56)</f>
        <v/>
      </c>
      <c r="C504" s="717" t="s">
        <v>4291</v>
      </c>
      <c r="D504" s="745" t="s">
        <v>4292</v>
      </c>
    </row>
    <row r="505" spans="1:8" ht="1.9" customHeight="1"/>
    <row r="506" spans="1:8" ht="12.75" customHeight="1">
      <c r="C506" s="712" t="s">
        <v>3008</v>
      </c>
      <c r="D506" s="746" t="s">
        <v>1897</v>
      </c>
      <c r="E506" s="747"/>
      <c r="F506" s="4665" t="s">
        <v>3009</v>
      </c>
      <c r="G506" s="4665"/>
      <c r="H506" s="4665"/>
    </row>
    <row r="507" spans="1:8" ht="12.75" customHeight="1">
      <c r="C507" s="748" t="s">
        <v>1304</v>
      </c>
      <c r="D507" s="746" t="s">
        <v>1899</v>
      </c>
      <c r="E507" s="4665" t="s">
        <v>3106</v>
      </c>
      <c r="F507" s="4665"/>
      <c r="G507" s="4665"/>
      <c r="H507" s="4665"/>
    </row>
    <row r="508" spans="1:8" ht="12.75" customHeight="1">
      <c r="C508" s="1514" t="s">
        <v>4296</v>
      </c>
      <c r="E508" s="4665" t="s">
        <v>3243</v>
      </c>
      <c r="F508" s="4665"/>
      <c r="G508" s="4665"/>
      <c r="H508" s="4665"/>
    </row>
    <row r="509" spans="1:8" ht="12.75" customHeight="1">
      <c r="C509" s="1515"/>
      <c r="D509" s="1513" t="s">
        <v>3105</v>
      </c>
      <c r="E509" s="4668" t="s">
        <v>3244</v>
      </c>
      <c r="F509" s="4668"/>
      <c r="G509" s="4668"/>
      <c r="H509" s="4668"/>
    </row>
    <row r="510" spans="1:8" ht="3" customHeight="1">
      <c r="D510" s="746"/>
      <c r="E510" s="1511"/>
      <c r="F510" s="1511"/>
      <c r="G510" s="1511"/>
      <c r="H510" s="1511"/>
    </row>
    <row r="511" spans="1:8" ht="12.75" customHeight="1">
      <c r="C511" s="712" t="s">
        <v>3008</v>
      </c>
      <c r="D511" s="746" t="s">
        <v>1897</v>
      </c>
      <c r="E511" s="747"/>
      <c r="F511" s="743" t="s">
        <v>3009</v>
      </c>
      <c r="G511" s="743"/>
      <c r="H511" s="743"/>
    </row>
    <row r="512" spans="1:8" ht="12.75" customHeight="1">
      <c r="C512" s="748" t="s">
        <v>1304</v>
      </c>
      <c r="D512" s="746" t="s">
        <v>1899</v>
      </c>
      <c r="E512" s="4665" t="s">
        <v>3106</v>
      </c>
      <c r="F512" s="4665"/>
      <c r="G512" s="4665"/>
      <c r="H512" s="4665"/>
    </row>
    <row r="513" spans="1:8" ht="12.75" customHeight="1">
      <c r="C513" s="1514" t="s">
        <v>4296</v>
      </c>
      <c r="E513" s="4665" t="s">
        <v>3243</v>
      </c>
      <c r="F513" s="4665"/>
      <c r="G513" s="4665"/>
      <c r="H513" s="4665"/>
    </row>
    <row r="514" spans="1:8" ht="12.75" customHeight="1">
      <c r="C514" s="1515"/>
      <c r="D514" s="1513" t="s">
        <v>3105</v>
      </c>
      <c r="E514" s="4668" t="s">
        <v>3244</v>
      </c>
      <c r="F514" s="4668"/>
      <c r="G514" s="4668"/>
      <c r="H514" s="4668"/>
    </row>
    <row r="515" spans="1:8" ht="3" customHeight="1">
      <c r="D515" s="746"/>
      <c r="E515" s="1511"/>
      <c r="F515" s="1511"/>
      <c r="G515" s="1511"/>
      <c r="H515" s="1511"/>
    </row>
    <row r="516" spans="1:8" ht="12.75" customHeight="1">
      <c r="C516" s="712" t="s">
        <v>3008</v>
      </c>
      <c r="D516" s="746" t="s">
        <v>1897</v>
      </c>
      <c r="E516" s="747"/>
      <c r="F516" s="743" t="s">
        <v>3009</v>
      </c>
      <c r="G516" s="743"/>
      <c r="H516" s="743"/>
    </row>
    <row r="517" spans="1:8" ht="12.75" customHeight="1">
      <c r="C517" s="748" t="s">
        <v>1304</v>
      </c>
      <c r="D517" s="746" t="s">
        <v>1899</v>
      </c>
      <c r="E517" s="4665" t="s">
        <v>3106</v>
      </c>
      <c r="F517" s="4665"/>
      <c r="G517" s="4665"/>
      <c r="H517" s="4665"/>
    </row>
    <row r="518" spans="1:8" ht="12.75" customHeight="1">
      <c r="C518" s="1514" t="s">
        <v>4296</v>
      </c>
      <c r="E518" s="4665" t="s">
        <v>3243</v>
      </c>
      <c r="F518" s="4665"/>
      <c r="G518" s="4665"/>
      <c r="H518" s="4665"/>
    </row>
    <row r="519" spans="1:8" ht="12.75" customHeight="1">
      <c r="C519" s="1515"/>
      <c r="D519" s="1513" t="s">
        <v>3105</v>
      </c>
      <c r="E519" s="4668" t="s">
        <v>3244</v>
      </c>
      <c r="F519" s="4668"/>
      <c r="G519" s="4668"/>
      <c r="H519" s="4668"/>
    </row>
    <row r="520" spans="1:8" ht="6" customHeight="1">
      <c r="D520" s="746"/>
      <c r="E520" s="1511"/>
      <c r="F520" s="1511"/>
      <c r="G520" s="1511"/>
      <c r="H520" s="1511"/>
    </row>
    <row r="521" spans="1:8">
      <c r="A521" s="717" t="s">
        <v>3101</v>
      </c>
      <c r="B521" s="744" t="str">
        <f>IF('Part VI-Revenues &amp; Expenses'!$L$56=0,"",'Part VI-Revenues &amp; Expenses'!$L$56)</f>
        <v/>
      </c>
      <c r="C521" s="717" t="s">
        <v>3102</v>
      </c>
      <c r="D521" s="745" t="s">
        <v>3245</v>
      </c>
    </row>
    <row r="522" spans="1:8" ht="1.9" customHeight="1"/>
    <row r="523" spans="1:8" ht="12.75" customHeight="1">
      <c r="C523" s="712" t="s">
        <v>3008</v>
      </c>
      <c r="D523" s="746" t="s">
        <v>1897</v>
      </c>
      <c r="E523" s="747"/>
      <c r="F523" s="743" t="s">
        <v>3009</v>
      </c>
      <c r="G523" s="743"/>
      <c r="H523" s="743"/>
    </row>
    <row r="524" spans="1:8" ht="12.75" customHeight="1">
      <c r="C524" s="748" t="s">
        <v>1304</v>
      </c>
      <c r="D524" s="746" t="s">
        <v>1899</v>
      </c>
      <c r="E524" s="4665" t="s">
        <v>3106</v>
      </c>
      <c r="F524" s="4665"/>
      <c r="G524" s="4665"/>
      <c r="H524" s="4665"/>
    </row>
    <row r="525" spans="1:8" ht="12.75" customHeight="1">
      <c r="C525" s="1514" t="s">
        <v>4296</v>
      </c>
      <c r="E525" s="4665" t="s">
        <v>3243</v>
      </c>
      <c r="F525" s="4665"/>
      <c r="G525" s="4665"/>
      <c r="H525" s="4665"/>
    </row>
    <row r="526" spans="1:8" ht="12.75" customHeight="1">
      <c r="C526" s="1515"/>
      <c r="D526" s="1512" t="s">
        <v>3105</v>
      </c>
      <c r="E526" s="4669" t="s">
        <v>3244</v>
      </c>
      <c r="F526" s="4669"/>
      <c r="G526" s="4669"/>
      <c r="H526" s="4669"/>
    </row>
    <row r="527" spans="1:8" ht="3" customHeight="1">
      <c r="D527" s="746"/>
      <c r="E527" s="1511"/>
      <c r="F527" s="1511"/>
      <c r="G527" s="1511"/>
      <c r="H527" s="1511"/>
    </row>
    <row r="528" spans="1:8" ht="12.75" customHeight="1">
      <c r="C528" s="712" t="s">
        <v>3008</v>
      </c>
      <c r="D528" s="746" t="s">
        <v>1897</v>
      </c>
      <c r="E528" s="747"/>
      <c r="F528" s="743" t="s">
        <v>3009</v>
      </c>
      <c r="G528" s="743"/>
      <c r="H528" s="743"/>
    </row>
    <row r="529" spans="1:8" ht="12.75" customHeight="1">
      <c r="C529" s="748" t="s">
        <v>1304</v>
      </c>
      <c r="D529" s="746" t="s">
        <v>1899</v>
      </c>
      <c r="E529" s="4665" t="s">
        <v>3106</v>
      </c>
      <c r="F529" s="4665"/>
      <c r="G529" s="4665"/>
      <c r="H529" s="4665"/>
    </row>
    <row r="530" spans="1:8" ht="12.75" customHeight="1">
      <c r="C530" s="1514" t="s">
        <v>4296</v>
      </c>
      <c r="E530" s="4665" t="s">
        <v>3243</v>
      </c>
      <c r="F530" s="4665"/>
      <c r="G530" s="4665"/>
      <c r="H530" s="4665"/>
    </row>
    <row r="531" spans="1:8" ht="12.75" customHeight="1">
      <c r="C531" s="1515"/>
      <c r="D531" s="1513" t="s">
        <v>3105</v>
      </c>
      <c r="E531" s="4668" t="s">
        <v>3244</v>
      </c>
      <c r="F531" s="4668"/>
      <c r="G531" s="4668"/>
      <c r="H531" s="4668"/>
    </row>
    <row r="532" spans="1:8" ht="3" customHeight="1">
      <c r="D532" s="746"/>
      <c r="E532" s="1511"/>
      <c r="F532" s="1511"/>
      <c r="G532" s="1511"/>
      <c r="H532" s="1511"/>
    </row>
    <row r="533" spans="1:8" ht="12.75" customHeight="1">
      <c r="C533" s="712" t="s">
        <v>3008</v>
      </c>
      <c r="D533" s="746" t="s">
        <v>1897</v>
      </c>
      <c r="E533" s="747"/>
      <c r="F533" s="743" t="s">
        <v>3009</v>
      </c>
      <c r="G533" s="743"/>
      <c r="H533" s="743"/>
    </row>
    <row r="534" spans="1:8" ht="12.75" customHeight="1">
      <c r="C534" s="748" t="s">
        <v>1304</v>
      </c>
      <c r="D534" s="746" t="s">
        <v>1899</v>
      </c>
      <c r="E534" s="4665" t="s">
        <v>3106</v>
      </c>
      <c r="F534" s="4665"/>
      <c r="G534" s="4665"/>
      <c r="H534" s="4665"/>
    </row>
    <row r="535" spans="1:8" ht="12.75" customHeight="1">
      <c r="C535" s="1514" t="s">
        <v>4296</v>
      </c>
      <c r="E535" s="4665" t="s">
        <v>3243</v>
      </c>
      <c r="F535" s="4665"/>
      <c r="G535" s="4665"/>
      <c r="H535" s="4665"/>
    </row>
    <row r="536" spans="1:8" ht="12.75" customHeight="1">
      <c r="C536" s="1515"/>
      <c r="D536" s="1513" t="s">
        <v>3105</v>
      </c>
      <c r="E536" s="4668" t="s">
        <v>3244</v>
      </c>
      <c r="F536" s="4668"/>
      <c r="G536" s="4668"/>
      <c r="H536" s="4668"/>
    </row>
    <row r="537" spans="1:8" ht="6" customHeight="1">
      <c r="D537" s="746"/>
      <c r="E537" s="1511"/>
      <c r="F537" s="1511"/>
      <c r="G537" s="1511"/>
      <c r="H537" s="1511"/>
    </row>
    <row r="538" spans="1:8">
      <c r="A538" s="717" t="s">
        <v>3101</v>
      </c>
      <c r="B538" s="744" t="str">
        <f>IF('Part VI-Revenues &amp; Expenses'!$M$56=0,"",'Part VI-Revenues &amp; Expenses'!$M$56)</f>
        <v/>
      </c>
      <c r="C538" s="717" t="s">
        <v>3103</v>
      </c>
      <c r="D538" s="745" t="s">
        <v>3246</v>
      </c>
    </row>
    <row r="539" spans="1:8" ht="1.9" customHeight="1"/>
    <row r="540" spans="1:8" ht="12.75" customHeight="1">
      <c r="C540" s="712" t="s">
        <v>3008</v>
      </c>
      <c r="D540" s="746" t="s">
        <v>1897</v>
      </c>
      <c r="E540" s="747"/>
      <c r="F540" s="743" t="s">
        <v>3009</v>
      </c>
      <c r="G540" s="743"/>
      <c r="H540" s="743"/>
    </row>
    <row r="541" spans="1:8" ht="12.75" customHeight="1">
      <c r="C541" s="748" t="s">
        <v>1304</v>
      </c>
      <c r="D541" s="746" t="s">
        <v>1899</v>
      </c>
      <c r="E541" s="4665" t="s">
        <v>3106</v>
      </c>
      <c r="F541" s="4665"/>
      <c r="G541" s="4665"/>
      <c r="H541" s="4665"/>
    </row>
    <row r="542" spans="1:8" ht="12.75" customHeight="1">
      <c r="C542" s="1514" t="s">
        <v>4296</v>
      </c>
      <c r="E542" s="4665" t="s">
        <v>3243</v>
      </c>
      <c r="F542" s="4665"/>
      <c r="G542" s="4665"/>
      <c r="H542" s="4665"/>
    </row>
    <row r="543" spans="1:8" ht="12.75" customHeight="1">
      <c r="C543" s="1515"/>
      <c r="D543" s="1512" t="s">
        <v>3105</v>
      </c>
      <c r="E543" s="4669" t="s">
        <v>3244</v>
      </c>
      <c r="F543" s="4669"/>
      <c r="G543" s="4669"/>
      <c r="H543" s="4669"/>
    </row>
    <row r="544" spans="1:8" ht="3" customHeight="1">
      <c r="D544" s="746"/>
      <c r="E544" s="1511"/>
      <c r="F544" s="1511"/>
      <c r="G544" s="1511"/>
      <c r="H544" s="1511"/>
    </row>
    <row r="545" spans="1:8" ht="12.75" customHeight="1">
      <c r="C545" s="712" t="s">
        <v>3008</v>
      </c>
      <c r="D545" s="746" t="s">
        <v>1897</v>
      </c>
      <c r="E545" s="747"/>
      <c r="F545" s="743" t="s">
        <v>3009</v>
      </c>
      <c r="G545" s="743"/>
      <c r="H545" s="743"/>
    </row>
    <row r="546" spans="1:8" ht="12.75" customHeight="1">
      <c r="C546" s="748" t="s">
        <v>1304</v>
      </c>
      <c r="D546" s="746" t="s">
        <v>1899</v>
      </c>
      <c r="E546" s="4665" t="s">
        <v>3106</v>
      </c>
      <c r="F546" s="4665"/>
      <c r="G546" s="4665"/>
      <c r="H546" s="4665"/>
    </row>
    <row r="547" spans="1:8" ht="12.75" customHeight="1">
      <c r="C547" s="1514" t="s">
        <v>4296</v>
      </c>
      <c r="E547" s="4665" t="s">
        <v>3243</v>
      </c>
      <c r="F547" s="4665"/>
      <c r="G547" s="4665"/>
      <c r="H547" s="4665"/>
    </row>
    <row r="548" spans="1:8" ht="12.75" customHeight="1">
      <c r="C548" s="1515"/>
      <c r="D548" s="1513" t="s">
        <v>3105</v>
      </c>
      <c r="E548" s="4668" t="s">
        <v>3244</v>
      </c>
      <c r="F548" s="4668"/>
      <c r="G548" s="4668"/>
      <c r="H548" s="4668"/>
    </row>
    <row r="549" spans="1:8" ht="3" customHeight="1">
      <c r="D549" s="746"/>
      <c r="E549" s="1511"/>
      <c r="F549" s="1511"/>
      <c r="G549" s="1511"/>
      <c r="H549" s="1511"/>
    </row>
    <row r="550" spans="1:8" ht="12.75" customHeight="1">
      <c r="C550" s="712" t="s">
        <v>3008</v>
      </c>
      <c r="D550" s="746" t="s">
        <v>1897</v>
      </c>
      <c r="E550" s="747"/>
      <c r="F550" s="743" t="s">
        <v>3009</v>
      </c>
      <c r="G550" s="743"/>
      <c r="H550" s="743"/>
    </row>
    <row r="551" spans="1:8" ht="12.75" customHeight="1">
      <c r="C551" s="748" t="s">
        <v>1304</v>
      </c>
      <c r="D551" s="746" t="s">
        <v>1899</v>
      </c>
      <c r="E551" s="4665" t="s">
        <v>3106</v>
      </c>
      <c r="F551" s="4665"/>
      <c r="G551" s="4665"/>
      <c r="H551" s="4665"/>
    </row>
    <row r="552" spans="1:8" ht="12.75" customHeight="1">
      <c r="C552" s="1514" t="s">
        <v>4296</v>
      </c>
      <c r="E552" s="4665" t="s">
        <v>3243</v>
      </c>
      <c r="F552" s="4665"/>
      <c r="G552" s="4665"/>
      <c r="H552" s="4665"/>
    </row>
    <row r="553" spans="1:8" ht="12.75" customHeight="1">
      <c r="C553" s="1515"/>
      <c r="D553" s="1513" t="s">
        <v>3105</v>
      </c>
      <c r="E553" s="4668" t="s">
        <v>3244</v>
      </c>
      <c r="F553" s="4668"/>
      <c r="G553" s="4668"/>
      <c r="H553" s="4668"/>
    </row>
    <row r="554" spans="1:8" ht="6" customHeight="1">
      <c r="D554" s="746"/>
      <c r="E554" s="1511"/>
      <c r="F554" s="1511"/>
      <c r="G554" s="1511"/>
      <c r="H554" s="1511"/>
    </row>
    <row r="555" spans="1:8">
      <c r="A555" s="717" t="s">
        <v>3101</v>
      </c>
      <c r="B555" s="744" t="str">
        <f>IF('Part VI-Revenues &amp; Expenses'!$N$56=0,"",'Part VI-Revenues &amp; Expenses'!$N$56)</f>
        <v/>
      </c>
      <c r="C555" s="717" t="s">
        <v>3104</v>
      </c>
      <c r="D555" s="745" t="s">
        <v>3247</v>
      </c>
    </row>
    <row r="556" spans="1:8" ht="1.9" customHeight="1"/>
    <row r="557" spans="1:8" ht="12.75" customHeight="1">
      <c r="C557" s="712" t="s">
        <v>3008</v>
      </c>
      <c r="D557" s="746" t="s">
        <v>1897</v>
      </c>
      <c r="E557" s="747"/>
      <c r="F557" s="743" t="s">
        <v>3009</v>
      </c>
      <c r="G557" s="743"/>
      <c r="H557" s="743"/>
    </row>
    <row r="558" spans="1:8" ht="12.75" customHeight="1">
      <c r="C558" s="748" t="s">
        <v>1304</v>
      </c>
      <c r="D558" s="746" t="s">
        <v>1899</v>
      </c>
      <c r="E558" s="4665" t="s">
        <v>3106</v>
      </c>
      <c r="F558" s="4665"/>
      <c r="G558" s="4665"/>
      <c r="H558" s="4665"/>
    </row>
    <row r="559" spans="1:8" ht="12.75" customHeight="1">
      <c r="C559" s="1514" t="s">
        <v>4296</v>
      </c>
      <c r="E559" s="4665" t="s">
        <v>3243</v>
      </c>
      <c r="F559" s="4665"/>
      <c r="G559" s="4665"/>
      <c r="H559" s="4665"/>
    </row>
    <row r="560" spans="1:8" ht="12.75" customHeight="1">
      <c r="C560" s="1515"/>
      <c r="D560" s="1512" t="s">
        <v>3105</v>
      </c>
      <c r="E560" s="4669" t="s">
        <v>3244</v>
      </c>
      <c r="F560" s="4669"/>
      <c r="G560" s="4669"/>
      <c r="H560" s="4669"/>
    </row>
    <row r="561" spans="1:11" ht="3" customHeight="1">
      <c r="D561" s="746"/>
      <c r="E561" s="1511"/>
      <c r="F561" s="1511"/>
      <c r="G561" s="1511"/>
      <c r="H561" s="1511"/>
    </row>
    <row r="562" spans="1:11" ht="12.75" customHeight="1">
      <c r="C562" s="712" t="s">
        <v>3008</v>
      </c>
      <c r="D562" s="746" t="s">
        <v>1897</v>
      </c>
      <c r="E562" s="747"/>
      <c r="F562" s="743" t="s">
        <v>3009</v>
      </c>
      <c r="G562" s="743"/>
      <c r="H562" s="743"/>
    </row>
    <row r="563" spans="1:11" ht="12.75" customHeight="1">
      <c r="C563" s="748" t="s">
        <v>1304</v>
      </c>
      <c r="D563" s="746" t="s">
        <v>1899</v>
      </c>
      <c r="E563" s="4665" t="s">
        <v>3106</v>
      </c>
      <c r="F563" s="4665"/>
      <c r="G563" s="4665"/>
      <c r="H563" s="4665"/>
    </row>
    <row r="564" spans="1:11" ht="12.75" customHeight="1">
      <c r="C564" s="1514" t="s">
        <v>4296</v>
      </c>
      <c r="E564" s="4665" t="s">
        <v>3243</v>
      </c>
      <c r="F564" s="4665"/>
      <c r="G564" s="4665"/>
      <c r="H564" s="4665"/>
    </row>
    <row r="565" spans="1:11" ht="12.75" customHeight="1">
      <c r="C565" s="1515"/>
      <c r="D565" s="1513" t="s">
        <v>3105</v>
      </c>
      <c r="E565" s="4668" t="s">
        <v>3244</v>
      </c>
      <c r="F565" s="4668"/>
      <c r="G565" s="4668"/>
      <c r="H565" s="4668"/>
    </row>
    <row r="566" spans="1:11" ht="3" customHeight="1">
      <c r="D566" s="746"/>
      <c r="E566" s="1511"/>
      <c r="F566" s="1511"/>
      <c r="G566" s="1511"/>
      <c r="H566" s="1511"/>
    </row>
    <row r="567" spans="1:11" ht="12.75" customHeight="1">
      <c r="C567" s="712" t="s">
        <v>3008</v>
      </c>
      <c r="D567" s="746" t="s">
        <v>1897</v>
      </c>
      <c r="E567" s="747"/>
      <c r="F567" s="743" t="s">
        <v>3009</v>
      </c>
      <c r="G567" s="743"/>
      <c r="H567" s="743"/>
    </row>
    <row r="568" spans="1:11" ht="12.75" customHeight="1">
      <c r="C568" s="748" t="s">
        <v>1304</v>
      </c>
      <c r="D568" s="746" t="s">
        <v>1899</v>
      </c>
      <c r="E568" s="4665" t="s">
        <v>3106</v>
      </c>
      <c r="F568" s="4665"/>
      <c r="G568" s="4665"/>
      <c r="H568" s="4665"/>
    </row>
    <row r="569" spans="1:11" ht="12.75" customHeight="1">
      <c r="C569" s="1514" t="s">
        <v>4296</v>
      </c>
      <c r="E569" s="4665" t="s">
        <v>3243</v>
      </c>
      <c r="F569" s="4665"/>
      <c r="G569" s="4665"/>
      <c r="H569" s="4665"/>
    </row>
    <row r="570" spans="1:11" ht="12.75" customHeight="1">
      <c r="C570" s="1515"/>
      <c r="D570" s="1513" t="s">
        <v>3105</v>
      </c>
      <c r="E570" s="4668" t="s">
        <v>3244</v>
      </c>
      <c r="F570" s="4668"/>
      <c r="G570" s="4668"/>
      <c r="H570" s="4668"/>
    </row>
    <row r="571" spans="1:11" ht="6" customHeight="1">
      <c r="D571" s="746"/>
      <c r="E571" s="1511"/>
      <c r="F571" s="1511"/>
      <c r="G571" s="1511"/>
      <c r="H571" s="1511"/>
    </row>
    <row r="572" spans="1:11">
      <c r="A572" s="717" t="s">
        <v>3101</v>
      </c>
      <c r="B572" s="744" t="str">
        <f>IF('Part VI-Revenues &amp; Expenses'!$O$56=0,"",'Part VI-Revenues &amp; Expenses'!$O$56)</f>
        <v/>
      </c>
      <c r="C572" s="717" t="s">
        <v>4294</v>
      </c>
      <c r="D572" s="745" t="s">
        <v>4295</v>
      </c>
    </row>
    <row r="573" spans="1:11" ht="1.9" customHeight="1"/>
    <row r="574" spans="1:11" ht="12.75" customHeight="1">
      <c r="C574" s="712" t="s">
        <v>3008</v>
      </c>
      <c r="D574" s="746" t="s">
        <v>1897</v>
      </c>
      <c r="E574" s="747"/>
      <c r="F574" s="4665" t="s">
        <v>3009</v>
      </c>
      <c r="G574" s="4665"/>
      <c r="H574" s="4665"/>
      <c r="K574" s="699" t="s">
        <v>232</v>
      </c>
    </row>
    <row r="575" spans="1:11" ht="12.75" customHeight="1">
      <c r="C575" s="748" t="s">
        <v>1304</v>
      </c>
      <c r="D575" s="746" t="s">
        <v>1899</v>
      </c>
      <c r="E575" s="4665" t="s">
        <v>3107</v>
      </c>
      <c r="F575" s="4665"/>
      <c r="G575" s="4665"/>
      <c r="H575" s="4665"/>
    </row>
    <row r="576" spans="1:11" ht="12.75" customHeight="1">
      <c r="E576" s="4665" t="s">
        <v>3243</v>
      </c>
      <c r="F576" s="4665"/>
      <c r="G576" s="4665"/>
      <c r="H576" s="4665"/>
    </row>
    <row r="577" spans="4:8" ht="12.75" customHeight="1">
      <c r="D577" s="749" t="s">
        <v>3105</v>
      </c>
      <c r="E577" s="4665" t="s">
        <v>3244</v>
      </c>
      <c r="F577" s="4665"/>
      <c r="G577" s="4665"/>
      <c r="H577" s="4665"/>
    </row>
    <row r="578" spans="4:8" ht="9" customHeight="1"/>
    <row r="579" spans="4:8" ht="7.5" customHeight="1">
      <c r="E579" s="4665"/>
      <c r="F579" s="4665"/>
      <c r="G579" s="4665"/>
      <c r="H579" s="4665"/>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3002</v>
      </c>
      <c r="H1" s="708" t="str">
        <f>'Sensitivity Analysis'!C8</f>
        <v>The Peaks at Turnberry</v>
      </c>
    </row>
    <row r="2" spans="1:14">
      <c r="A2" s="636" t="s">
        <v>3003</v>
      </c>
      <c r="H2" s="699" t="str">
        <f>'Sensitivity Analysis'!E8</f>
        <v>2021-015</v>
      </c>
    </row>
    <row r="3" spans="1:14" ht="3" customHeight="1"/>
    <row r="4" spans="1:14" ht="69.599999999999994" customHeight="1">
      <c r="A4" s="4671" t="s">
        <v>3099</v>
      </c>
      <c r="B4" s="4671"/>
      <c r="C4" s="4671"/>
      <c r="D4" s="4671"/>
      <c r="E4" s="4671"/>
      <c r="F4" s="4671"/>
      <c r="G4" s="4671"/>
      <c r="H4" s="4671"/>
      <c r="I4" s="4671"/>
      <c r="J4" s="4671"/>
      <c r="K4" s="4671"/>
      <c r="L4" s="4713">
        <f>SUM('Part VII-Pro Forma'!B15:B17)/12</f>
        <v>28894.356</v>
      </c>
      <c r="M4" s="4713"/>
      <c r="N4" s="1568" t="s">
        <v>3818</v>
      </c>
    </row>
    <row r="5" spans="1:14" ht="1.5" customHeight="1">
      <c r="C5" s="741"/>
      <c r="D5" s="741"/>
      <c r="E5" s="741"/>
      <c r="F5" s="741"/>
      <c r="G5" s="741"/>
      <c r="H5" s="741"/>
    </row>
    <row r="6" spans="1:14" ht="12.75" customHeight="1">
      <c r="B6" s="742" t="s">
        <v>2325</v>
      </c>
      <c r="C6" s="712" t="s">
        <v>3004</v>
      </c>
      <c r="D6" s="712"/>
      <c r="E6" s="712"/>
      <c r="F6" s="712"/>
      <c r="G6" s="712"/>
      <c r="H6" s="712"/>
    </row>
    <row r="7" spans="1:14" ht="12.75" customHeight="1">
      <c r="B7" s="742" t="s">
        <v>2326</v>
      </c>
      <c r="C7" s="4671" t="s">
        <v>3005</v>
      </c>
      <c r="D7" s="4671"/>
      <c r="E7" s="4671"/>
      <c r="F7" s="4671"/>
      <c r="G7" s="4671"/>
      <c r="H7" s="4671"/>
      <c r="I7" s="4671"/>
      <c r="J7" s="4671"/>
      <c r="K7" s="4671"/>
      <c r="L7" s="4671"/>
      <c r="M7" s="4671"/>
    </row>
    <row r="8" spans="1:14" ht="3" customHeight="1"/>
    <row r="9" spans="1:14">
      <c r="A9" s="699" t="s">
        <v>3006</v>
      </c>
    </row>
    <row r="10" spans="1:14" ht="1.5" customHeight="1"/>
    <row r="11" spans="1:14" ht="26.25" customHeight="1">
      <c r="A11" s="743" t="s">
        <v>1894</v>
      </c>
      <c r="B11" s="4671" t="s">
        <v>3096</v>
      </c>
      <c r="C11" s="4671"/>
      <c r="D11" s="4671"/>
      <c r="E11" s="4671"/>
      <c r="F11" s="4671"/>
      <c r="G11" s="4671"/>
      <c r="H11" s="4671"/>
      <c r="I11" s="4671"/>
      <c r="J11" s="4671"/>
      <c r="K11" s="4671"/>
      <c r="L11" s="4672">
        <f>'Part III-Sources of Funds'!I51+'Part III-Sources of Funds'!I52</f>
        <v>10954980</v>
      </c>
      <c r="M11" s="4672"/>
    </row>
    <row r="12" spans="1:14" ht="1.5" customHeight="1">
      <c r="G12" s="712"/>
      <c r="H12" s="712"/>
    </row>
    <row r="13" spans="1:14" ht="25.9" customHeight="1">
      <c r="A13" s="743" t="s">
        <v>1896</v>
      </c>
      <c r="B13" s="4671" t="s">
        <v>3097</v>
      </c>
      <c r="C13" s="4671"/>
      <c r="D13" s="4671"/>
      <c r="E13" s="4671"/>
      <c r="F13" s="4671"/>
      <c r="G13" s="4671"/>
      <c r="H13" s="4671"/>
      <c r="I13" s="4671"/>
      <c r="J13" s="4671"/>
      <c r="K13" s="4671"/>
      <c r="L13" s="4673" t="s">
        <v>2934</v>
      </c>
      <c r="M13" s="4673"/>
    </row>
    <row r="14" spans="1:14">
      <c r="A14" s="743"/>
      <c r="B14" s="4488"/>
      <c r="C14" s="4488"/>
      <c r="D14" s="4488"/>
      <c r="E14" s="4488"/>
      <c r="F14" s="4488"/>
      <c r="G14" s="4488"/>
      <c r="H14" s="4488"/>
    </row>
    <row r="15" spans="1:14" ht="3" customHeight="1"/>
    <row r="16" spans="1:14">
      <c r="A16" s="743" t="s">
        <v>719</v>
      </c>
      <c r="B16" s="699" t="s">
        <v>3100</v>
      </c>
      <c r="F16" s="735"/>
      <c r="L16" s="4482" t="s">
        <v>2773</v>
      </c>
      <c r="M16" s="4482"/>
    </row>
    <row r="17" spans="1:19" ht="1.5" customHeight="1">
      <c r="L17" s="717"/>
    </row>
    <row r="18" spans="1:19" ht="12" customHeight="1">
      <c r="A18" s="743" t="s">
        <v>2022</v>
      </c>
      <c r="B18" s="712" t="s">
        <v>3098</v>
      </c>
      <c r="C18" s="743"/>
      <c r="D18" s="743"/>
      <c r="E18" s="743"/>
      <c r="L18" s="4488" t="s">
        <v>2626</v>
      </c>
      <c r="M18" s="4488"/>
    </row>
    <row r="19" spans="1:19" ht="12" hidden="1" customHeight="1">
      <c r="B19" s="4488"/>
      <c r="C19" s="4488"/>
      <c r="D19" s="4488"/>
      <c r="E19" s="4488"/>
      <c r="F19" s="4488"/>
      <c r="G19" s="4488"/>
      <c r="H19" s="4488"/>
    </row>
    <row r="20" spans="1:19" ht="13.5" customHeight="1"/>
    <row r="21" spans="1:19" s="498" customFormat="1" ht="12" customHeight="1">
      <c r="A21" s="1637" t="s">
        <v>3007</v>
      </c>
      <c r="K21" s="1638"/>
      <c r="S21" s="1639"/>
    </row>
    <row r="22" spans="1:19" s="498" customFormat="1" ht="3" customHeight="1">
      <c r="K22" s="1638"/>
      <c r="S22" s="1639"/>
    </row>
    <row r="23" spans="1:19" s="498" customFormat="1" ht="42.6" customHeight="1">
      <c r="A23" s="4686" t="s">
        <v>4293</v>
      </c>
      <c r="B23" s="4686"/>
      <c r="C23" s="4686"/>
      <c r="D23" s="4686"/>
      <c r="E23" s="4686"/>
      <c r="F23" s="4686"/>
      <c r="G23" s="4686"/>
      <c r="H23" s="4686"/>
      <c r="I23" s="4686"/>
      <c r="J23" s="4686"/>
      <c r="K23" s="4686"/>
      <c r="L23" s="4686"/>
      <c r="M23" s="4686"/>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3832</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3833</v>
      </c>
      <c r="D26" s="1645"/>
      <c r="E26" s="1657">
        <f>'Part VI-Revenues &amp; Expenses'!K57</f>
        <v>0</v>
      </c>
      <c r="F26" s="1658">
        <f>'Part VI-Revenues &amp; Expenses'!L57</f>
        <v>2</v>
      </c>
      <c r="G26" s="1658">
        <f>'Part VI-Revenues &amp; Expenses'!M57</f>
        <v>2</v>
      </c>
      <c r="H26" s="1658">
        <f>'Part VI-Revenues &amp; Expenses'!N57</f>
        <v>2</v>
      </c>
      <c r="I26" s="1658">
        <f>'Part VI-Revenues &amp; Expenses'!O57</f>
        <v>0</v>
      </c>
      <c r="J26" s="1659">
        <f>'Part VI-Revenues &amp; Expenses'!P57</f>
        <v>6</v>
      </c>
    </row>
    <row r="27" spans="1:19" s="498" customFormat="1" ht="15" customHeight="1">
      <c r="C27" s="1653" t="s">
        <v>1107</v>
      </c>
      <c r="D27" s="1645"/>
      <c r="E27" s="1657">
        <f>'Part VI-Revenues &amp; Expenses'!K58</f>
        <v>0</v>
      </c>
      <c r="F27" s="1658">
        <f>'Part VI-Revenues &amp; Expenses'!L58</f>
        <v>4</v>
      </c>
      <c r="G27" s="1658">
        <f>'Part VI-Revenues &amp; Expenses'!M58</f>
        <v>13</v>
      </c>
      <c r="H27" s="1658">
        <f>'Part VI-Revenues &amp; Expenses'!N58</f>
        <v>6</v>
      </c>
      <c r="I27" s="1658">
        <f>'Part VI-Revenues &amp; Expenses'!O58</f>
        <v>0</v>
      </c>
      <c r="J27" s="1659">
        <f>'Part VI-Revenues &amp; Expenses'!P58</f>
        <v>23</v>
      </c>
    </row>
    <row r="28" spans="1:19" s="498" customFormat="1" ht="15" customHeight="1">
      <c r="C28" s="1653" t="s">
        <v>111</v>
      </c>
      <c r="D28" s="1645"/>
      <c r="E28" s="1657">
        <f>'Part VI-Revenues &amp; Expenses'!K59</f>
        <v>0</v>
      </c>
      <c r="F28" s="1658">
        <f>'Part VI-Revenues &amp; Expenses'!L59</f>
        <v>6</v>
      </c>
      <c r="G28" s="1658">
        <f>'Part VI-Revenues &amp; Expenses'!M59</f>
        <v>9</v>
      </c>
      <c r="H28" s="1658">
        <f>'Part VI-Revenues &amp; Expenses'!N59</f>
        <v>4</v>
      </c>
      <c r="I28" s="1658">
        <f>'Part VI-Revenues &amp; Expenses'!O59</f>
        <v>0</v>
      </c>
      <c r="J28" s="1659">
        <f>'Part VI-Revenues &amp; Expenses'!P59</f>
        <v>19</v>
      </c>
    </row>
    <row r="29" spans="1:19" s="498" customFormat="1" ht="13.15" customHeight="1">
      <c r="C29" s="1653" t="s">
        <v>3834</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3835</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3836</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12</v>
      </c>
      <c r="G32" s="1651">
        <f>'Part VI-Revenues &amp; Expenses'!M63</f>
        <v>24</v>
      </c>
      <c r="H32" s="1651">
        <f>'Part VI-Revenues &amp; Expenses'!N63</f>
        <v>12</v>
      </c>
      <c r="I32" s="1651">
        <f>'Part VI-Revenues &amp; Expenses'!O63</f>
        <v>0</v>
      </c>
      <c r="J32" s="1661">
        <f>'Part VI-Revenues &amp; Expenses'!P63</f>
        <v>48</v>
      </c>
    </row>
    <row r="33" spans="1:12" s="498" customFormat="1" ht="13.15" customHeight="1" thickBot="1">
      <c r="K33" s="1638"/>
    </row>
    <row r="34" spans="1:12" s="498" customFormat="1" ht="14.25" customHeight="1" thickBot="1">
      <c r="A34" s="1638"/>
      <c r="B34" s="4687" t="s">
        <v>6425</v>
      </c>
      <c r="E34" s="4688" t="s">
        <v>6280</v>
      </c>
      <c r="F34" s="4689"/>
      <c r="G34" s="4689"/>
      <c r="H34" s="4689"/>
      <c r="I34" s="4689"/>
      <c r="J34" s="4689"/>
      <c r="K34" s="4689"/>
      <c r="L34" s="4690"/>
    </row>
    <row r="35" spans="1:12" s="498" customFormat="1" ht="14.25" customHeight="1">
      <c r="A35" s="1638"/>
      <c r="B35" s="4687"/>
      <c r="C35" s="4691" t="s">
        <v>6426</v>
      </c>
      <c r="D35" s="4687" t="s">
        <v>6427</v>
      </c>
      <c r="E35" s="4692" t="s">
        <v>6283</v>
      </c>
      <c r="F35" s="4693"/>
      <c r="G35" s="4696" t="s">
        <v>1304</v>
      </c>
      <c r="H35" s="4698" t="s">
        <v>6279</v>
      </c>
      <c r="I35" s="4699"/>
      <c r="J35" s="4699"/>
      <c r="K35" s="4699"/>
      <c r="L35" s="4700"/>
    </row>
    <row r="36" spans="1:12" s="498" customFormat="1" ht="23.25" customHeight="1">
      <c r="A36" s="4691" t="s">
        <v>1000</v>
      </c>
      <c r="B36" s="4687"/>
      <c r="C36" s="4691"/>
      <c r="D36" s="4687"/>
      <c r="E36" s="4694"/>
      <c r="F36" s="4695"/>
      <c r="G36" s="4697"/>
      <c r="H36" s="4701" t="s">
        <v>6281</v>
      </c>
      <c r="I36" s="4702"/>
      <c r="J36" s="4705" t="s">
        <v>1304</v>
      </c>
      <c r="K36" s="4702" t="s">
        <v>6282</v>
      </c>
      <c r="L36" s="4707"/>
    </row>
    <row r="37" spans="1:12" s="498" customFormat="1" ht="23.25" customHeight="1">
      <c r="A37" s="4691"/>
      <c r="B37" s="4687"/>
      <c r="C37" s="4691"/>
      <c r="D37" s="4687"/>
      <c r="E37" s="4694"/>
      <c r="F37" s="4695"/>
      <c r="G37" s="4697"/>
      <c r="H37" s="4701"/>
      <c r="I37" s="4702"/>
      <c r="J37" s="4706"/>
      <c r="K37" s="4702"/>
      <c r="L37" s="4707"/>
    </row>
    <row r="38" spans="1:12" s="498" customFormat="1" ht="23.25" customHeight="1">
      <c r="A38" s="4687"/>
      <c r="B38" s="4687"/>
      <c r="C38" s="4687"/>
      <c r="D38" s="4687"/>
      <c r="E38" s="4694"/>
      <c r="F38" s="4695"/>
      <c r="G38" s="4697"/>
      <c r="H38" s="4703"/>
      <c r="I38" s="4704"/>
      <c r="J38" s="4706"/>
      <c r="K38" s="4704"/>
      <c r="L38" s="4708"/>
    </row>
    <row r="39" spans="1:12" s="498" customFormat="1" ht="13.15" customHeight="1">
      <c r="A39" s="1642">
        <f>'Part VI-Revenues &amp; Expenses'!B18</f>
        <v>50</v>
      </c>
      <c r="B39" s="1643">
        <f>'Part VI-Revenues &amp; Expenses'!E18</f>
        <v>6</v>
      </c>
      <c r="C39" s="1644" t="str">
        <f>_xlfn.CONCAT('Part VI-Revenues &amp; Expenses'!C18," / ",'Part VI-Revenues &amp; Expenses'!D18)</f>
        <v>1 / 1</v>
      </c>
      <c r="D39" s="1643">
        <f>'Part VI-Revenues &amp; Expenses'!F18</f>
        <v>830</v>
      </c>
      <c r="E39" s="4711">
        <f>'Part VI-Revenues &amp; Expenses'!H18</f>
        <v>619</v>
      </c>
      <c r="F39" s="4712"/>
      <c r="G39" s="1645"/>
      <c r="H39" s="4680"/>
      <c r="I39" s="4681"/>
      <c r="J39" s="4681"/>
      <c r="K39" s="4681"/>
      <c r="L39" s="4682"/>
    </row>
    <row r="40" spans="1:12" s="498" customFormat="1" ht="13.15" customHeight="1">
      <c r="A40" s="1646">
        <f>'Part VI-Revenues &amp; Expenses'!B19</f>
        <v>50</v>
      </c>
      <c r="B40" s="1647">
        <f>'Part VI-Revenues &amp; Expenses'!E19</f>
        <v>9</v>
      </c>
      <c r="C40" s="1648" t="str">
        <f>_xlfn.CONCAT('Part VI-Revenues &amp; Expenses'!C19," / ",'Part VI-Revenues &amp; Expenses'!D19)</f>
        <v>2 / 2</v>
      </c>
      <c r="D40" s="1647">
        <f>'Part VI-Revenues &amp; Expenses'!F19</f>
        <v>1083</v>
      </c>
      <c r="E40" s="4678">
        <f>'Part VI-Revenues &amp; Expenses'!H19</f>
        <v>736</v>
      </c>
      <c r="F40" s="4679"/>
      <c r="G40" s="1645"/>
      <c r="H40" s="4675"/>
      <c r="I40" s="4676"/>
      <c r="J40" s="4676"/>
      <c r="K40" s="4676"/>
      <c r="L40" s="4677"/>
    </row>
    <row r="41" spans="1:12" s="498" customFormat="1" ht="13.15" customHeight="1">
      <c r="A41" s="1646">
        <f>'Part VI-Revenues &amp; Expenses'!B20</f>
        <v>50</v>
      </c>
      <c r="B41" s="1647">
        <f>'Part VI-Revenues &amp; Expenses'!E20</f>
        <v>4</v>
      </c>
      <c r="C41" s="1648" t="str">
        <f>_xlfn.CONCAT('Part VI-Revenues &amp; Expenses'!C20," / ",'Part VI-Revenues &amp; Expenses'!D20)</f>
        <v>3 / 2</v>
      </c>
      <c r="D41" s="1647">
        <f>'Part VI-Revenues &amp; Expenses'!F20</f>
        <v>1301</v>
      </c>
      <c r="E41" s="4678">
        <f>'Part VI-Revenues &amp; Expenses'!H20</f>
        <v>849</v>
      </c>
      <c r="F41" s="4679"/>
      <c r="G41" s="1645"/>
      <c r="H41" s="4675"/>
      <c r="I41" s="4676"/>
      <c r="J41" s="4676"/>
      <c r="K41" s="4676"/>
      <c r="L41" s="4677"/>
    </row>
    <row r="42" spans="1:12" s="498" customFormat="1" ht="13.15" customHeight="1">
      <c r="A42" s="1646">
        <f>'Part VI-Revenues &amp; Expenses'!B21</f>
        <v>60</v>
      </c>
      <c r="B42" s="1647">
        <f>'Part VI-Revenues &amp; Expenses'!E21</f>
        <v>4</v>
      </c>
      <c r="C42" s="1648" t="str">
        <f>_xlfn.CONCAT('Part VI-Revenues &amp; Expenses'!C21," / ",'Part VI-Revenues &amp; Expenses'!D21)</f>
        <v>1 / 1</v>
      </c>
      <c r="D42" s="1647">
        <f>'Part VI-Revenues &amp; Expenses'!F21</f>
        <v>830</v>
      </c>
      <c r="E42" s="4678">
        <f>'Part VI-Revenues &amp; Expenses'!H21</f>
        <v>649</v>
      </c>
      <c r="F42" s="4679"/>
      <c r="G42" s="1645"/>
      <c r="H42" s="4675"/>
      <c r="I42" s="4676"/>
      <c r="J42" s="4676"/>
      <c r="K42" s="4676"/>
      <c r="L42" s="4677"/>
    </row>
    <row r="43" spans="1:12" s="498" customFormat="1" ht="13.15" customHeight="1">
      <c r="A43" s="1646">
        <f>'Part VI-Revenues &amp; Expenses'!B22</f>
        <v>60</v>
      </c>
      <c r="B43" s="1647">
        <f>'Part VI-Revenues &amp; Expenses'!E22</f>
        <v>13</v>
      </c>
      <c r="C43" s="1648" t="str">
        <f>_xlfn.CONCAT('Part VI-Revenues &amp; Expenses'!C22," / ",'Part VI-Revenues &amp; Expenses'!D22)</f>
        <v>2 / 2</v>
      </c>
      <c r="D43" s="1647">
        <f>'Part VI-Revenues &amp; Expenses'!F22</f>
        <v>1083</v>
      </c>
      <c r="E43" s="4678">
        <f>'Part VI-Revenues &amp; Expenses'!H22</f>
        <v>766</v>
      </c>
      <c r="F43" s="4679"/>
      <c r="G43" s="1645"/>
      <c r="H43" s="4675"/>
      <c r="I43" s="4676"/>
      <c r="J43" s="4676"/>
      <c r="K43" s="4676"/>
      <c r="L43" s="4677"/>
    </row>
    <row r="44" spans="1:12" s="498" customFormat="1" ht="13.15" customHeight="1">
      <c r="A44" s="1646">
        <f>'Part VI-Revenues &amp; Expenses'!B23</f>
        <v>60</v>
      </c>
      <c r="B44" s="1647">
        <f>'Part VI-Revenues &amp; Expenses'!E23</f>
        <v>6</v>
      </c>
      <c r="C44" s="1648" t="str">
        <f>_xlfn.CONCAT('Part VI-Revenues &amp; Expenses'!C23," / ",'Part VI-Revenues &amp; Expenses'!D23)</f>
        <v>3 / 2</v>
      </c>
      <c r="D44" s="1647">
        <f>'Part VI-Revenues &amp; Expenses'!F23</f>
        <v>1301</v>
      </c>
      <c r="E44" s="4678">
        <f>'Part VI-Revenues &amp; Expenses'!H23</f>
        <v>874</v>
      </c>
      <c r="F44" s="4679"/>
      <c r="G44" s="1645"/>
      <c r="H44" s="4675"/>
      <c r="I44" s="4676"/>
      <c r="J44" s="4676"/>
      <c r="K44" s="4676"/>
      <c r="L44" s="4677"/>
    </row>
    <row r="45" spans="1:12" s="498" customFormat="1" ht="13.15" customHeight="1">
      <c r="A45" s="1646">
        <f>'Part VI-Revenues &amp; Expenses'!B24</f>
        <v>70</v>
      </c>
      <c r="B45" s="1647">
        <f>'Part VI-Revenues &amp; Expenses'!E24</f>
        <v>2</v>
      </c>
      <c r="C45" s="1648" t="str">
        <f>_xlfn.CONCAT('Part VI-Revenues &amp; Expenses'!C24," / ",'Part VI-Revenues &amp; Expenses'!D24)</f>
        <v>1 / 1</v>
      </c>
      <c r="D45" s="1647">
        <f>'Part VI-Revenues &amp; Expenses'!F24</f>
        <v>830</v>
      </c>
      <c r="E45" s="4678">
        <f>'Part VI-Revenues &amp; Expenses'!H24</f>
        <v>679</v>
      </c>
      <c r="F45" s="4679"/>
      <c r="G45" s="1645"/>
      <c r="H45" s="4675"/>
      <c r="I45" s="4676"/>
      <c r="J45" s="4676"/>
      <c r="K45" s="4676"/>
      <c r="L45" s="4677"/>
    </row>
    <row r="46" spans="1:12" s="498" customFormat="1" ht="13.15" customHeight="1">
      <c r="A46" s="1646">
        <f>'Part VI-Revenues &amp; Expenses'!B25</f>
        <v>70</v>
      </c>
      <c r="B46" s="1647">
        <f>'Part VI-Revenues &amp; Expenses'!E25</f>
        <v>2</v>
      </c>
      <c r="C46" s="1648" t="str">
        <f>_xlfn.CONCAT('Part VI-Revenues &amp; Expenses'!C25," / ",'Part VI-Revenues &amp; Expenses'!D25)</f>
        <v>2 / 2</v>
      </c>
      <c r="D46" s="1647">
        <f>'Part VI-Revenues &amp; Expenses'!F25</f>
        <v>1083</v>
      </c>
      <c r="E46" s="4678">
        <f>'Part VI-Revenues &amp; Expenses'!H25</f>
        <v>796</v>
      </c>
      <c r="F46" s="4679"/>
      <c r="G46" s="1645"/>
      <c r="H46" s="4675"/>
      <c r="I46" s="4676"/>
      <c r="J46" s="4676"/>
      <c r="K46" s="4676"/>
      <c r="L46" s="4677"/>
    </row>
    <row r="47" spans="1:12" s="498" customFormat="1" ht="13.15" customHeight="1">
      <c r="A47" s="1646">
        <f>'Part VI-Revenues &amp; Expenses'!B26</f>
        <v>70</v>
      </c>
      <c r="B47" s="1647">
        <f>'Part VI-Revenues &amp; Expenses'!E26</f>
        <v>2</v>
      </c>
      <c r="C47" s="1648" t="str">
        <f>_xlfn.CONCAT('Part VI-Revenues &amp; Expenses'!C26," / ",'Part VI-Revenues &amp; Expenses'!D26)</f>
        <v>3 / 2</v>
      </c>
      <c r="D47" s="1647">
        <f>'Part VI-Revenues &amp; Expenses'!F26</f>
        <v>1301</v>
      </c>
      <c r="E47" s="4678">
        <f>'Part VI-Revenues &amp; Expenses'!H26</f>
        <v>899</v>
      </c>
      <c r="F47" s="4679"/>
      <c r="G47" s="1645"/>
      <c r="H47" s="4675"/>
      <c r="I47" s="4676"/>
      <c r="J47" s="4676"/>
      <c r="K47" s="4676"/>
      <c r="L47" s="4677"/>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8">
        <f>'Part VI-Revenues &amp; Expenses'!H27</f>
        <v>0</v>
      </c>
      <c r="F48" s="4679"/>
      <c r="G48" s="1645"/>
      <c r="H48" s="4675"/>
      <c r="I48" s="4676"/>
      <c r="J48" s="4676"/>
      <c r="K48" s="4676"/>
      <c r="L48" s="4677"/>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8">
        <f>'Part VI-Revenues &amp; Expenses'!H28</f>
        <v>0</v>
      </c>
      <c r="F49" s="4679"/>
      <c r="G49" s="1645"/>
      <c r="H49" s="4675"/>
      <c r="I49" s="4676"/>
      <c r="J49" s="4676"/>
      <c r="K49" s="4676"/>
      <c r="L49" s="4677"/>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8">
        <f>'Part VI-Revenues &amp; Expenses'!H29</f>
        <v>0</v>
      </c>
      <c r="F50" s="4679"/>
      <c r="G50" s="1645"/>
      <c r="H50" s="4675"/>
      <c r="I50" s="4676"/>
      <c r="J50" s="4676"/>
      <c r="K50" s="4676"/>
      <c r="L50" s="4677"/>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8">
        <f>'Part VI-Revenues &amp; Expenses'!H30</f>
        <v>0</v>
      </c>
      <c r="F51" s="4679"/>
      <c r="G51" s="1645"/>
      <c r="H51" s="4675"/>
      <c r="I51" s="4676"/>
      <c r="J51" s="4676"/>
      <c r="K51" s="4676"/>
      <c r="L51" s="4677"/>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8">
        <f>'Part VI-Revenues &amp; Expenses'!H31</f>
        <v>0</v>
      </c>
      <c r="F52" s="4679"/>
      <c r="G52" s="1645"/>
      <c r="H52" s="4675"/>
      <c r="I52" s="4676"/>
      <c r="J52" s="4676"/>
      <c r="K52" s="4676"/>
      <c r="L52" s="4677"/>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8">
        <f>'Part VI-Revenues &amp; Expenses'!H32</f>
        <v>0</v>
      </c>
      <c r="F53" s="4679"/>
      <c r="G53" s="1645"/>
      <c r="H53" s="4675"/>
      <c r="I53" s="4676"/>
      <c r="J53" s="4676"/>
      <c r="K53" s="4676"/>
      <c r="L53" s="4677"/>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8">
        <f>'Part VI-Revenues &amp; Expenses'!H33</f>
        <v>0</v>
      </c>
      <c r="F54" s="4679"/>
      <c r="G54" s="1645"/>
      <c r="H54" s="4675"/>
      <c r="I54" s="4676"/>
      <c r="J54" s="4676"/>
      <c r="K54" s="4676"/>
      <c r="L54" s="4677"/>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8">
        <f>'Part VI-Revenues &amp; Expenses'!H34</f>
        <v>0</v>
      </c>
      <c r="F55" s="4679"/>
      <c r="G55" s="1645"/>
      <c r="H55" s="4675"/>
      <c r="I55" s="4676"/>
      <c r="J55" s="4676"/>
      <c r="K55" s="4676"/>
      <c r="L55" s="4677"/>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8">
        <f>'Part VI-Revenues &amp; Expenses'!H35</f>
        <v>0</v>
      </c>
      <c r="F56" s="4679"/>
      <c r="G56" s="1645"/>
      <c r="H56" s="4675"/>
      <c r="I56" s="4676"/>
      <c r="J56" s="4676"/>
      <c r="K56" s="4676"/>
      <c r="L56" s="4677"/>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8">
        <f>'Part VI-Revenues &amp; Expenses'!H36</f>
        <v>0</v>
      </c>
      <c r="F57" s="4679"/>
      <c r="G57" s="1645"/>
      <c r="H57" s="4675"/>
      <c r="I57" s="4676"/>
      <c r="J57" s="4676"/>
      <c r="K57" s="4676"/>
      <c r="L57" s="4677"/>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8">
        <f>'Part VI-Revenues &amp; Expenses'!H37</f>
        <v>0</v>
      </c>
      <c r="F58" s="4679"/>
      <c r="G58" s="1645"/>
      <c r="H58" s="4675"/>
      <c r="I58" s="4676"/>
      <c r="J58" s="4676"/>
      <c r="K58" s="4676"/>
      <c r="L58" s="4677"/>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8">
        <f>'Part VI-Revenues &amp; Expenses'!H38</f>
        <v>0</v>
      </c>
      <c r="F59" s="4679"/>
      <c r="G59" s="1645"/>
      <c r="H59" s="4675"/>
      <c r="I59" s="4676"/>
      <c r="J59" s="4676"/>
      <c r="K59" s="4676"/>
      <c r="L59" s="4677"/>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8">
        <f>'Part VI-Revenues &amp; Expenses'!H39</f>
        <v>0</v>
      </c>
      <c r="F60" s="4679"/>
      <c r="G60" s="1645"/>
      <c r="H60" s="4675"/>
      <c r="I60" s="4676"/>
      <c r="J60" s="4676"/>
      <c r="K60" s="4676"/>
      <c r="L60" s="4677"/>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8">
        <f>'Part VI-Revenues &amp; Expenses'!H40</f>
        <v>0</v>
      </c>
      <c r="F61" s="4679"/>
      <c r="G61" s="1645"/>
      <c r="H61" s="4675"/>
      <c r="I61" s="4676"/>
      <c r="J61" s="4676"/>
      <c r="K61" s="4676"/>
      <c r="L61" s="4677"/>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8">
        <f>'Part VI-Revenues &amp; Expenses'!H41</f>
        <v>0</v>
      </c>
      <c r="F62" s="4679"/>
      <c r="G62" s="1645"/>
      <c r="H62" s="4675"/>
      <c r="I62" s="4676"/>
      <c r="J62" s="4676"/>
      <c r="K62" s="4676"/>
      <c r="L62" s="4677"/>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8">
        <f>'Part VI-Revenues &amp; Expenses'!H42</f>
        <v>0</v>
      </c>
      <c r="F63" s="4679"/>
      <c r="G63" s="1645"/>
      <c r="H63" s="4675"/>
      <c r="I63" s="4676"/>
      <c r="J63" s="4676"/>
      <c r="K63" s="4676"/>
      <c r="L63" s="4677"/>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8">
        <f>'Part VI-Revenues &amp; Expenses'!H43</f>
        <v>0</v>
      </c>
      <c r="F64" s="4679"/>
      <c r="G64" s="1645"/>
      <c r="H64" s="4675"/>
      <c r="I64" s="4676"/>
      <c r="J64" s="4676"/>
      <c r="K64" s="4676"/>
      <c r="L64" s="4677"/>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8">
        <f>'Part VI-Revenues &amp; Expenses'!H44</f>
        <v>0</v>
      </c>
      <c r="F65" s="4679"/>
      <c r="G65" s="1645"/>
      <c r="H65" s="4675"/>
      <c r="I65" s="4676"/>
      <c r="J65" s="4676"/>
      <c r="K65" s="4676"/>
      <c r="L65" s="4677"/>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8">
        <f>'Part VI-Revenues &amp; Expenses'!H45</f>
        <v>0</v>
      </c>
      <c r="F66" s="4679"/>
      <c r="G66" s="1645"/>
      <c r="H66" s="4675"/>
      <c r="I66" s="4676"/>
      <c r="J66" s="4676"/>
      <c r="K66" s="4676"/>
      <c r="L66" s="4677"/>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8">
        <f>'Part VI-Revenues &amp; Expenses'!H46</f>
        <v>0</v>
      </c>
      <c r="F67" s="4679"/>
      <c r="G67" s="1645"/>
      <c r="H67" s="4675"/>
      <c r="I67" s="4676"/>
      <c r="J67" s="4676"/>
      <c r="K67" s="4676"/>
      <c r="L67" s="4677"/>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8">
        <f>'Part VI-Revenues &amp; Expenses'!H47</f>
        <v>0</v>
      </c>
      <c r="F68" s="4679"/>
      <c r="G68" s="1645"/>
      <c r="H68" s="4675"/>
      <c r="I68" s="4676"/>
      <c r="J68" s="4676"/>
      <c r="K68" s="4676"/>
      <c r="L68" s="4677"/>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09">
        <f>'Part VI-Revenues &amp; Expenses'!H48</f>
        <v>0</v>
      </c>
      <c r="F69" s="4710"/>
      <c r="G69" s="1652"/>
      <c r="H69" s="4683"/>
      <c r="I69" s="4684"/>
      <c r="J69" s="4684"/>
      <c r="K69" s="4684"/>
      <c r="L69" s="4685"/>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5" t="s">
        <v>3634</v>
      </c>
      <c r="C1" s="4725"/>
      <c r="D1" s="4725"/>
      <c r="E1" s="4725"/>
      <c r="F1" s="4725"/>
      <c r="G1" s="4725"/>
      <c r="H1" s="4725"/>
      <c r="I1" s="4725"/>
    </row>
    <row r="2" spans="2:13" ht="15">
      <c r="B2" s="1113" t="s">
        <v>3622</v>
      </c>
      <c r="C2" s="711"/>
      <c r="D2" s="711"/>
      <c r="E2" s="711"/>
      <c r="F2" s="711"/>
      <c r="G2" s="711"/>
      <c r="H2" s="711"/>
      <c r="I2" s="711"/>
    </row>
    <row r="3" spans="2:13" ht="14.25">
      <c r="B3" s="1114" t="s">
        <v>3629</v>
      </c>
      <c r="C3" s="711"/>
      <c r="D3" s="711"/>
      <c r="E3" s="711"/>
      <c r="F3" s="711"/>
      <c r="G3" s="711"/>
      <c r="H3" s="711"/>
      <c r="I3" s="711"/>
    </row>
    <row r="4" spans="2:13">
      <c r="B4" s="4726" t="s">
        <v>3010</v>
      </c>
      <c r="C4" s="4726"/>
      <c r="D4" s="4726"/>
      <c r="E4" s="4731" t="s">
        <v>3011</v>
      </c>
      <c r="F4" s="4733"/>
      <c r="G4" s="4731" t="s">
        <v>587</v>
      </c>
      <c r="H4" s="4732"/>
      <c r="I4" s="4733"/>
      <c r="J4" s="1107" t="s">
        <v>2859</v>
      </c>
      <c r="K4" s="1107"/>
      <c r="L4" s="1115"/>
      <c r="M4" s="1115"/>
    </row>
    <row r="5" spans="2:13">
      <c r="B5" s="4727" t="str">
        <f>'Closing term sheet'!C8</f>
        <v>The Peaks at Turnberry, LP</v>
      </c>
      <c r="C5" s="4728"/>
      <c r="D5" s="4728"/>
      <c r="E5" s="4737"/>
      <c r="F5" s="4738"/>
      <c r="G5" s="4734" t="str">
        <f>'Closing term sheet'!C28</f>
        <v>The Peaks at Turnberry</v>
      </c>
      <c r="H5" s="4735"/>
      <c r="I5" s="4736"/>
      <c r="K5" s="699"/>
    </row>
    <row r="6" spans="2:13" ht="4.5" customHeight="1">
      <c r="D6" s="1116"/>
      <c r="E6" s="1116"/>
      <c r="F6" s="1116"/>
      <c r="G6" s="1116"/>
      <c r="H6" s="1116"/>
      <c r="I6" s="1116"/>
      <c r="K6" s="699"/>
    </row>
    <row r="7" spans="2:13">
      <c r="B7" s="4720" t="s">
        <v>3012</v>
      </c>
      <c r="C7" s="4720"/>
      <c r="D7" s="1117"/>
      <c r="E7" s="1117"/>
      <c r="F7" s="1117"/>
      <c r="G7" s="1117"/>
      <c r="H7" s="4729" t="str">
        <f>'Preview term'!E9</f>
        <v>To Be Applied For</v>
      </c>
      <c r="I7" s="4730"/>
    </row>
    <row r="8" spans="2:13" ht="4.5" customHeight="1">
      <c r="B8" s="1117"/>
      <c r="C8" s="1117"/>
      <c r="D8" s="1117"/>
      <c r="E8" s="1117"/>
      <c r="F8" s="1117"/>
      <c r="G8" s="1117"/>
      <c r="H8" s="1117"/>
      <c r="I8" s="1117"/>
      <c r="J8" s="1117"/>
    </row>
    <row r="9" spans="2:13">
      <c r="B9" s="1118" t="s">
        <v>3013</v>
      </c>
      <c r="C9" s="1118"/>
      <c r="D9" s="1117"/>
      <c r="E9" s="719" t="s">
        <v>3624</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3621</v>
      </c>
      <c r="C11" s="1117"/>
      <c r="D11" s="1121"/>
      <c r="E11" s="1117"/>
      <c r="F11" s="1117"/>
      <c r="G11" s="1117"/>
      <c r="H11" s="1117"/>
      <c r="I11" s="1117"/>
    </row>
    <row r="12" spans="2:13">
      <c r="B12" s="1122" t="s">
        <v>3014</v>
      </c>
      <c r="C12" s="1123"/>
      <c r="D12" s="1123"/>
      <c r="E12" s="1123"/>
      <c r="F12" s="1123"/>
      <c r="G12" s="1123"/>
      <c r="H12" s="1123"/>
      <c r="I12" s="1124" t="s">
        <v>1691</v>
      </c>
    </row>
    <row r="13" spans="2:13">
      <c r="B13" s="1125"/>
      <c r="C13" s="1126"/>
      <c r="D13" s="1117"/>
      <c r="E13" s="719" t="s">
        <v>3015</v>
      </c>
      <c r="F13" s="1117"/>
      <c r="G13" s="1117"/>
      <c r="H13" s="1117"/>
      <c r="I13" s="1127"/>
    </row>
    <row r="14" spans="2:13" ht="7.5" customHeight="1">
      <c r="B14" s="1128"/>
      <c r="C14" s="1117"/>
      <c r="D14" s="1117"/>
      <c r="E14" s="1117"/>
      <c r="F14" s="1121"/>
      <c r="G14" s="1117"/>
      <c r="H14" s="1117"/>
      <c r="I14" s="1127"/>
    </row>
    <row r="15" spans="2:13">
      <c r="B15" s="1128" t="s">
        <v>3108</v>
      </c>
      <c r="C15" s="1117"/>
      <c r="D15" s="1117"/>
      <c r="E15" s="1117"/>
      <c r="F15" s="739"/>
      <c r="G15" s="1117"/>
      <c r="H15" s="1117"/>
      <c r="I15" s="1129"/>
    </row>
    <row r="16" spans="2:13">
      <c r="B16" s="1130" t="s">
        <v>3625</v>
      </c>
      <c r="C16" s="1117"/>
      <c r="D16" s="1117"/>
      <c r="E16" s="1131" t="s">
        <v>3179</v>
      </c>
      <c r="F16" s="1117"/>
      <c r="G16" s="1117"/>
      <c r="H16" s="1117"/>
      <c r="I16" s="1129"/>
    </row>
    <row r="17" spans="2:9" ht="7.5" customHeight="1">
      <c r="B17" s="1125"/>
      <c r="C17" s="1117"/>
      <c r="D17" s="1117"/>
      <c r="E17" s="1117"/>
      <c r="F17" s="1117"/>
      <c r="G17" s="1117"/>
      <c r="H17" s="1117"/>
      <c r="I17" s="1127"/>
    </row>
    <row r="18" spans="2:9">
      <c r="B18" s="1128" t="s">
        <v>3016</v>
      </c>
      <c r="C18" s="1117"/>
      <c r="D18" s="1117"/>
      <c r="E18" s="1117"/>
      <c r="F18" s="1117"/>
      <c r="G18" s="1117"/>
      <c r="H18" s="1117"/>
      <c r="I18" s="1132" t="s">
        <v>1691</v>
      </c>
    </row>
    <row r="19" spans="2:9">
      <c r="B19" s="1133" t="s">
        <v>3626</v>
      </c>
      <c r="C19" s="1117"/>
      <c r="D19" s="1117"/>
      <c r="E19" s="1117"/>
      <c r="F19" s="1117"/>
      <c r="G19" s="1117"/>
      <c r="H19" s="1117"/>
      <c r="I19" s="1134"/>
    </row>
    <row r="20" spans="2:9" ht="7.5" customHeight="1">
      <c r="B20" s="1128"/>
      <c r="C20" s="1117"/>
      <c r="D20" s="1117"/>
      <c r="E20" s="1117"/>
      <c r="F20" s="1117"/>
      <c r="G20" s="1117"/>
      <c r="H20" s="1117"/>
      <c r="I20" s="1134"/>
    </row>
    <row r="21" spans="2:9">
      <c r="B21" s="1128" t="s">
        <v>3623</v>
      </c>
      <c r="C21" s="1117"/>
      <c r="D21" s="1117"/>
      <c r="E21" s="1117"/>
      <c r="F21" s="1117"/>
      <c r="G21" s="1117"/>
      <c r="H21" s="1117"/>
      <c r="I21" s="1129"/>
    </row>
    <row r="22" spans="2:9">
      <c r="B22" s="1133" t="s">
        <v>3627</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3628</v>
      </c>
      <c r="C25" s="1117"/>
      <c r="D25" s="1117"/>
      <c r="E25" s="1117"/>
      <c r="F25" s="1117"/>
      <c r="G25" s="1117"/>
      <c r="H25" s="1117"/>
      <c r="I25" s="1117"/>
    </row>
    <row r="26" spans="2:9" ht="3" customHeight="1">
      <c r="B26" s="1138"/>
      <c r="C26" s="1123"/>
      <c r="D26" s="1123"/>
      <c r="E26" s="1123"/>
      <c r="F26" s="1123"/>
      <c r="G26" s="1123"/>
      <c r="H26" s="1123"/>
      <c r="I26" s="1139"/>
    </row>
    <row r="27" spans="2:9">
      <c r="B27" s="1128" t="s">
        <v>3017</v>
      </c>
      <c r="C27" s="1117"/>
      <c r="D27" s="1140">
        <v>2</v>
      </c>
      <c r="F27" s="1117"/>
      <c r="G27" s="739" t="s">
        <v>3018</v>
      </c>
      <c r="H27" s="1117"/>
      <c r="I27" s="1141">
        <v>2</v>
      </c>
    </row>
    <row r="28" spans="2:9">
      <c r="B28" s="1125"/>
      <c r="C28" s="1131" t="s">
        <v>3019</v>
      </c>
      <c r="D28" s="1142"/>
      <c r="E28" s="1142"/>
      <c r="F28" s="1142"/>
      <c r="H28" s="1142" t="s">
        <v>3020</v>
      </c>
      <c r="I28" s="1127"/>
    </row>
    <row r="29" spans="2:9">
      <c r="B29" s="1125"/>
      <c r="C29" s="1131" t="s">
        <v>3021</v>
      </c>
      <c r="D29" s="1142"/>
      <c r="E29" s="1142"/>
      <c r="F29" s="1142"/>
      <c r="H29" s="1142" t="s">
        <v>3022</v>
      </c>
      <c r="I29" s="1127"/>
    </row>
    <row r="30" spans="2:9">
      <c r="B30" s="1125"/>
      <c r="C30" s="1131" t="s">
        <v>3023</v>
      </c>
      <c r="D30" s="1142"/>
      <c r="E30" s="1142"/>
      <c r="F30" s="1142"/>
      <c r="H30" s="1142" t="s">
        <v>3024</v>
      </c>
      <c r="I30" s="1127"/>
    </row>
    <row r="31" spans="2:9" ht="3" customHeight="1">
      <c r="B31" s="1135"/>
      <c r="C31" s="1136"/>
      <c r="D31" s="1136"/>
      <c r="E31" s="1136"/>
      <c r="F31" s="1136"/>
      <c r="G31" s="1136"/>
      <c r="H31" s="1136"/>
      <c r="I31" s="1137"/>
    </row>
    <row r="32" spans="2:9" ht="7.5" customHeight="1"/>
    <row r="33" spans="2:9" ht="15" customHeight="1">
      <c r="B33" s="695" t="s">
        <v>3630</v>
      </c>
    </row>
    <row r="34" spans="2:9" ht="3" customHeight="1">
      <c r="B34" s="1138"/>
      <c r="C34" s="1123"/>
      <c r="D34" s="1123"/>
      <c r="E34" s="1123"/>
      <c r="F34" s="1123"/>
      <c r="G34" s="1123"/>
      <c r="H34" s="1123"/>
      <c r="I34" s="1139"/>
    </row>
    <row r="35" spans="2:9">
      <c r="B35" s="1128" t="s">
        <v>3633</v>
      </c>
      <c r="C35" s="1117"/>
      <c r="D35" s="1117"/>
      <c r="F35" s="1143"/>
      <c r="H35" s="4739" t="s">
        <v>3642</v>
      </c>
      <c r="I35" s="4740"/>
    </row>
    <row r="36" spans="2:9">
      <c r="B36" s="1144" t="s">
        <v>3641</v>
      </c>
      <c r="C36" s="1142"/>
      <c r="D36" s="1142"/>
      <c r="E36" s="1117"/>
      <c r="F36" s="1340"/>
      <c r="G36" s="1145"/>
      <c r="H36" s="4739"/>
      <c r="I36" s="4740"/>
    </row>
    <row r="37" spans="2:9">
      <c r="B37" s="1144" t="s">
        <v>3639</v>
      </c>
      <c r="D37" s="1142"/>
      <c r="E37" s="1117"/>
      <c r="F37" s="1341"/>
      <c r="G37" s="1145"/>
      <c r="H37" s="4739"/>
      <c r="I37" s="4740"/>
    </row>
    <row r="38" spans="2:9">
      <c r="B38" s="1144" t="s">
        <v>3640</v>
      </c>
      <c r="D38" s="1117"/>
      <c r="E38" s="1117"/>
      <c r="F38" s="1341"/>
      <c r="G38" s="1145"/>
      <c r="H38" s="1145"/>
      <c r="I38" s="1146"/>
    </row>
    <row r="39" spans="2:9" ht="12.75" customHeight="1">
      <c r="B39" s="1144" t="s">
        <v>3638</v>
      </c>
      <c r="C39" s="1117"/>
      <c r="D39" s="1117"/>
      <c r="E39" s="1117"/>
      <c r="F39" s="1341"/>
      <c r="G39" s="1145"/>
      <c r="H39" s="1145"/>
      <c r="I39" s="1146"/>
    </row>
    <row r="40" spans="2:9">
      <c r="B40" s="1147" t="s">
        <v>3637</v>
      </c>
      <c r="C40" s="1148"/>
      <c r="D40" s="1149"/>
      <c r="E40" s="1150"/>
      <c r="F40" s="1341"/>
      <c r="G40" s="1150"/>
      <c r="H40" s="1339"/>
      <c r="I40" s="1127"/>
    </row>
    <row r="41" spans="2:9">
      <c r="B41" s="1147" t="s">
        <v>3636</v>
      </c>
      <c r="C41" s="1148"/>
      <c r="D41" s="1149"/>
      <c r="E41" s="1117"/>
      <c r="F41" s="1341"/>
      <c r="G41" s="1117"/>
      <c r="H41" s="1117"/>
      <c r="I41" s="1127"/>
    </row>
    <row r="42" spans="2:9">
      <c r="B42" s="1151" t="s">
        <v>3635</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3632</v>
      </c>
    </row>
    <row r="46" spans="2:9" ht="3" customHeight="1">
      <c r="B46" s="1138"/>
      <c r="C46" s="1123"/>
      <c r="D46" s="1123"/>
      <c r="E46" s="1123"/>
      <c r="F46" s="1123"/>
      <c r="G46" s="1123"/>
      <c r="H46" s="1123"/>
      <c r="I46" s="1139"/>
    </row>
    <row r="47" spans="2:9" ht="18">
      <c r="B47" s="1128" t="s">
        <v>3631</v>
      </c>
      <c r="C47" s="1117"/>
      <c r="D47" s="1153"/>
      <c r="E47" s="1154" t="str">
        <f>'Sensitivity Analysis'!H7</f>
        <v>New Construction</v>
      </c>
      <c r="F47" s="703" t="s">
        <v>3643</v>
      </c>
      <c r="H47" s="1117"/>
      <c r="I47" s="1127"/>
    </row>
    <row r="48" spans="2:9">
      <c r="B48" s="1133" t="s">
        <v>3025</v>
      </c>
      <c r="C48" s="1142"/>
      <c r="D48" s="1142" t="s">
        <v>3026</v>
      </c>
      <c r="E48" s="1117"/>
      <c r="F48" s="4748" t="str">
        <f>'Closing term sheet'!$C$30</f>
        <v xml:space="preserve">Off of GA-21 </v>
      </c>
      <c r="G48" s="4749"/>
      <c r="H48" s="4749"/>
      <c r="I48" s="4750"/>
    </row>
    <row r="49" spans="2:9">
      <c r="B49" s="1133" t="s">
        <v>3027</v>
      </c>
      <c r="D49" s="1142" t="s">
        <v>3028</v>
      </c>
      <c r="E49" s="1117"/>
      <c r="F49" s="4751"/>
      <c r="G49" s="4752"/>
      <c r="H49" s="4752"/>
      <c r="I49" s="4753"/>
    </row>
    <row r="50" spans="2:9">
      <c r="B50" s="1133" t="s">
        <v>3029</v>
      </c>
      <c r="D50" s="1117"/>
      <c r="E50" s="1117"/>
      <c r="F50" s="1155"/>
      <c r="G50" s="1156"/>
      <c r="H50" s="1156"/>
      <c r="I50" s="1157"/>
    </row>
    <row r="51" spans="2:9" ht="7.5" customHeight="1">
      <c r="B51" s="1125"/>
      <c r="C51" s="1117"/>
      <c r="D51" s="1117"/>
      <c r="E51" s="1117"/>
      <c r="F51" s="1117"/>
      <c r="G51" s="1117"/>
      <c r="H51" s="1117"/>
      <c r="I51" s="1127"/>
    </row>
    <row r="52" spans="2:9">
      <c r="B52" s="1158" t="s">
        <v>3644</v>
      </c>
      <c r="C52" s="4716" t="str">
        <f>'Part I-Project Information'!F39</f>
        <v>Rincon</v>
      </c>
      <c r="D52" s="4717"/>
      <c r="E52" s="1159" t="s">
        <v>3645</v>
      </c>
      <c r="F52" s="1119" t="s">
        <v>815</v>
      </c>
      <c r="G52" s="1159" t="s">
        <v>3646</v>
      </c>
      <c r="H52" s="1160">
        <f>'Part I-Project Information'!J39</f>
        <v>313265469</v>
      </c>
      <c r="I52" s="1127"/>
    </row>
    <row r="53" spans="2:9">
      <c r="B53" s="1158" t="s">
        <v>3808</v>
      </c>
      <c r="D53" s="1161" t="e">
        <f>VLOOKUP("='Part I-Project Information'!$J$39",'DCA Underwriting Assumptions'!$G$174:$O$333,9)</f>
        <v>#N/A</v>
      </c>
      <c r="I53" s="1127"/>
    </row>
    <row r="54" spans="2:9">
      <c r="B54" s="1158" t="s">
        <v>3809</v>
      </c>
      <c r="D54" s="1117"/>
      <c r="E54" s="1117"/>
      <c r="F54" s="1117"/>
      <c r="G54" s="1117"/>
      <c r="I54" s="1127"/>
    </row>
    <row r="55" spans="2:9">
      <c r="B55" s="1151" t="s">
        <v>3810</v>
      </c>
      <c r="D55" s="1162" t="e">
        <f>'Closing term sheet'!$D$33</f>
        <v>#VALUE!</v>
      </c>
      <c r="E55" s="1163"/>
      <c r="F55" s="719" t="s">
        <v>3030</v>
      </c>
      <c r="G55" s="1117"/>
      <c r="H55" s="1117"/>
      <c r="I55" s="1127"/>
    </row>
    <row r="56" spans="2:9">
      <c r="B56" s="1151" t="s">
        <v>3812</v>
      </c>
      <c r="D56" s="1164">
        <f>'Closing term sheet'!$D$63</f>
        <v>8687101</v>
      </c>
      <c r="E56" s="1165"/>
      <c r="F56" s="719" t="s">
        <v>3031</v>
      </c>
      <c r="G56" s="1117"/>
      <c r="H56" s="1117"/>
      <c r="I56" s="1127"/>
    </row>
    <row r="57" spans="2:9">
      <c r="B57" s="1144" t="s">
        <v>3811</v>
      </c>
      <c r="D57" s="1166"/>
      <c r="F57" s="719" t="s">
        <v>3032</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22" t="s">
        <v>3033</v>
      </c>
      <c r="C61" s="4723"/>
      <c r="D61" s="4723"/>
      <c r="E61" s="4723"/>
      <c r="F61" s="4723"/>
      <c r="G61" s="4723"/>
      <c r="H61" s="4723"/>
      <c r="I61" s="4724"/>
    </row>
    <row r="62" spans="2:9" ht="7.5" customHeight="1">
      <c r="B62" s="4718"/>
      <c r="C62" s="4719"/>
      <c r="D62" s="4719"/>
      <c r="E62" s="1117"/>
      <c r="F62" s="1117"/>
      <c r="G62" s="1167"/>
      <c r="H62" s="1117"/>
      <c r="I62" s="1127"/>
    </row>
    <row r="63" spans="2:9">
      <c r="B63" s="1168" t="s">
        <v>3035</v>
      </c>
      <c r="C63" s="1117"/>
      <c r="D63" s="1162">
        <v>4</v>
      </c>
      <c r="F63" s="1117"/>
      <c r="G63" s="4720" t="s">
        <v>3034</v>
      </c>
      <c r="H63" s="4720"/>
      <c r="I63" s="4721"/>
    </row>
    <row r="64" spans="2:9">
      <c r="B64" s="1125"/>
      <c r="C64" s="1142" t="s">
        <v>3038</v>
      </c>
      <c r="D64" s="1142" t="s">
        <v>3039</v>
      </c>
      <c r="F64" s="1117"/>
      <c r="G64" s="731" t="s">
        <v>3036</v>
      </c>
      <c r="H64" s="1117"/>
      <c r="I64" s="1169" t="e">
        <f>'Closing term sheet'!$D$35</f>
        <v>#VALUE!</v>
      </c>
    </row>
    <row r="65" spans="2:9">
      <c r="B65" s="1125"/>
      <c r="C65" s="1142" t="s">
        <v>3040</v>
      </c>
      <c r="D65" s="1142" t="s">
        <v>3041</v>
      </c>
      <c r="F65" s="1117"/>
      <c r="G65" s="1170" t="s">
        <v>3037</v>
      </c>
      <c r="H65" s="1117"/>
      <c r="I65" s="1169">
        <f>C42</f>
        <v>0</v>
      </c>
    </row>
    <row r="66" spans="2:9">
      <c r="B66" s="1133"/>
      <c r="C66" s="1142" t="s">
        <v>3042</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3043</v>
      </c>
      <c r="C70" s="1117"/>
      <c r="D70" s="1117"/>
      <c r="E70" s="1117"/>
      <c r="F70" s="1117"/>
      <c r="G70" s="1117"/>
      <c r="H70" s="1117"/>
      <c r="I70" s="1127"/>
    </row>
    <row r="71" spans="2:9" ht="7.5" customHeight="1">
      <c r="B71" s="1125"/>
      <c r="C71" s="1117"/>
      <c r="D71" s="1117"/>
      <c r="E71" s="1117"/>
      <c r="F71" s="1117"/>
      <c r="G71" s="1117"/>
      <c r="H71" s="1117"/>
      <c r="I71" s="1127"/>
    </row>
    <row r="72" spans="2:9">
      <c r="B72" s="1128" t="s">
        <v>3044</v>
      </c>
      <c r="D72" s="1117"/>
      <c r="E72" s="1117"/>
      <c r="F72" s="1117"/>
      <c r="G72" s="1117"/>
      <c r="H72" s="1117"/>
      <c r="I72" s="1153"/>
    </row>
    <row r="73" spans="2:9" ht="7.5" customHeight="1">
      <c r="B73" s="1125"/>
      <c r="C73" s="1117"/>
      <c r="D73" s="1117"/>
      <c r="E73" s="1117"/>
      <c r="F73" s="1117"/>
      <c r="G73" s="1117"/>
      <c r="H73" s="1117"/>
      <c r="I73" s="1127"/>
    </row>
    <row r="74" spans="2:9">
      <c r="B74" s="1125" t="s">
        <v>3045</v>
      </c>
      <c r="D74" s="1117"/>
      <c r="E74" s="1117"/>
      <c r="F74" s="1117" t="s">
        <v>3109</v>
      </c>
      <c r="G74" s="1117"/>
      <c r="H74" s="1117"/>
      <c r="I74" s="1172"/>
    </row>
    <row r="75" spans="2:9">
      <c r="B75" s="1125"/>
      <c r="E75" s="1117"/>
      <c r="F75" s="1117" t="s">
        <v>3110</v>
      </c>
      <c r="G75" s="1117"/>
      <c r="H75" s="1117"/>
      <c r="I75" s="1172"/>
    </row>
    <row r="76" spans="2:9">
      <c r="B76" s="1125"/>
      <c r="E76" s="1117"/>
      <c r="F76" s="1117" t="s">
        <v>3111</v>
      </c>
      <c r="G76" s="1117"/>
      <c r="H76" s="1117"/>
      <c r="I76" s="1172"/>
    </row>
    <row r="77" spans="2:9">
      <c r="B77" s="1125"/>
      <c r="E77" s="1117"/>
      <c r="F77" s="739" t="s">
        <v>3112</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22" t="s">
        <v>3046</v>
      </c>
      <c r="C81" s="4723"/>
      <c r="D81" s="4723"/>
      <c r="E81" s="4723"/>
      <c r="F81" s="4723"/>
      <c r="G81" s="4723"/>
      <c r="H81" s="4723"/>
      <c r="I81" s="4724"/>
    </row>
    <row r="82" spans="2:9">
      <c r="B82" s="1125"/>
      <c r="C82" s="1117"/>
      <c r="D82" s="1117"/>
      <c r="E82" s="1117"/>
      <c r="F82" s="1117"/>
      <c r="G82" s="1117"/>
      <c r="H82" s="1117"/>
      <c r="I82" s="1127"/>
    </row>
    <row r="83" spans="2:9">
      <c r="B83" s="1128" t="s">
        <v>3047</v>
      </c>
      <c r="C83" s="1117"/>
      <c r="D83" s="1117"/>
      <c r="E83" s="1117"/>
      <c r="F83" s="1117"/>
      <c r="G83" s="1117"/>
      <c r="H83" s="1117"/>
      <c r="I83" s="1127"/>
    </row>
    <row r="84" spans="2:9">
      <c r="B84" s="1125"/>
      <c r="C84" s="739" t="s">
        <v>3048</v>
      </c>
      <c r="D84" s="1117"/>
      <c r="E84" s="1117"/>
      <c r="F84" s="4744">
        <f>'Closing term sheet'!D63</f>
        <v>8687101</v>
      </c>
      <c r="G84" s="4744"/>
      <c r="H84" s="1117"/>
      <c r="I84" s="1127"/>
    </row>
    <row r="85" spans="2:9">
      <c r="B85" s="1125"/>
      <c r="C85" s="739" t="s">
        <v>3049</v>
      </c>
      <c r="D85" s="1117"/>
      <c r="E85" s="1117"/>
      <c r="F85" s="4715">
        <f>'Part III-Sources of Funds'!I47+'Part III-Sources of Funds'!L47</f>
        <v>3885.003364960764</v>
      </c>
      <c r="G85" s="4715"/>
      <c r="H85" s="1117"/>
      <c r="I85" s="1127"/>
    </row>
    <row r="86" spans="2:9">
      <c r="B86" s="1125"/>
      <c r="C86" s="739" t="s">
        <v>3050</v>
      </c>
      <c r="D86" s="1117"/>
      <c r="E86" s="1117"/>
      <c r="F86" s="4714"/>
      <c r="G86" s="4714"/>
      <c r="H86" s="1117"/>
      <c r="I86" s="1127"/>
    </row>
    <row r="87" spans="2:9">
      <c r="B87" s="1125"/>
      <c r="C87" s="1142" t="s">
        <v>3051</v>
      </c>
      <c r="D87" s="1117"/>
      <c r="E87" s="1117"/>
      <c r="F87" s="4715">
        <v>11000</v>
      </c>
      <c r="G87" s="4715"/>
      <c r="H87" s="1117"/>
      <c r="I87" s="1127"/>
    </row>
    <row r="88" spans="2:9">
      <c r="B88" s="1125"/>
      <c r="C88" s="739" t="s">
        <v>3052</v>
      </c>
      <c r="D88" s="1117"/>
      <c r="E88" s="1117"/>
      <c r="F88" s="4747"/>
      <c r="G88" s="4747"/>
      <c r="H88" s="1117"/>
      <c r="I88" s="1127"/>
    </row>
    <row r="89" spans="2:9">
      <c r="B89" s="1125"/>
      <c r="C89" s="719" t="s">
        <v>3053</v>
      </c>
      <c r="D89" s="1117"/>
      <c r="E89" s="1117"/>
      <c r="F89" s="4742">
        <f>SUM(F84:G88)</f>
        <v>8701986.0033649616</v>
      </c>
      <c r="G89" s="4742"/>
      <c r="H89" s="1117"/>
      <c r="I89" s="1127"/>
    </row>
    <row r="90" spans="2:9">
      <c r="B90" s="1125"/>
      <c r="C90" s="1117"/>
      <c r="D90" s="1117"/>
      <c r="E90" s="1117"/>
      <c r="F90" s="4743"/>
      <c r="G90" s="4743"/>
      <c r="H90" s="1117"/>
      <c r="I90" s="1127"/>
    </row>
    <row r="91" spans="2:9">
      <c r="B91" s="1128" t="s">
        <v>3054</v>
      </c>
      <c r="C91" s="1117"/>
      <c r="D91" s="1117"/>
      <c r="E91" s="1117"/>
      <c r="F91" s="1117"/>
      <c r="G91" s="1117"/>
      <c r="H91" s="1117"/>
      <c r="I91" s="1127"/>
    </row>
    <row r="92" spans="2:9">
      <c r="B92" s="1125"/>
      <c r="C92" s="739" t="s">
        <v>3055</v>
      </c>
      <c r="D92" s="1117"/>
      <c r="E92" s="1117"/>
      <c r="F92" s="4744"/>
      <c r="G92" s="4744"/>
      <c r="H92" s="1117"/>
      <c r="I92" s="1127"/>
    </row>
    <row r="93" spans="2:9">
      <c r="B93" s="1125"/>
      <c r="C93" s="739" t="s">
        <v>3056</v>
      </c>
      <c r="D93" s="1117"/>
      <c r="E93" s="1117"/>
      <c r="F93" s="4745"/>
      <c r="G93" s="4745"/>
      <c r="H93" s="1117"/>
      <c r="I93" s="1127"/>
    </row>
    <row r="94" spans="2:9">
      <c r="B94" s="1125"/>
      <c r="C94" s="739" t="s">
        <v>3057</v>
      </c>
      <c r="D94" s="1117"/>
      <c r="E94" s="1117"/>
      <c r="F94" s="4746" t="s">
        <v>2934</v>
      </c>
      <c r="G94" s="4741"/>
      <c r="H94" s="1117"/>
      <c r="I94" s="1127"/>
    </row>
    <row r="95" spans="2:9">
      <c r="B95" s="1125"/>
      <c r="C95" s="719" t="s">
        <v>3058</v>
      </c>
      <c r="D95" s="1117"/>
      <c r="E95" s="1117"/>
      <c r="F95" s="4742">
        <f>+SUM(F92:G94)</f>
        <v>0</v>
      </c>
      <c r="G95" s="4742"/>
      <c r="H95" s="1117"/>
      <c r="I95" s="1127"/>
    </row>
    <row r="96" spans="2:9">
      <c r="B96" s="1125"/>
      <c r="C96" s="1117"/>
      <c r="D96" s="1117"/>
      <c r="E96" s="1117"/>
      <c r="F96" s="1117"/>
      <c r="G96" s="1117"/>
      <c r="H96" s="1117"/>
      <c r="I96" s="1127"/>
    </row>
    <row r="97" spans="2:9">
      <c r="B97" s="1128" t="s">
        <v>3059</v>
      </c>
      <c r="C97" s="1117"/>
      <c r="D97" s="1117"/>
      <c r="E97" s="1117"/>
      <c r="F97" s="1117"/>
      <c r="G97" s="1117"/>
      <c r="H97" s="1117"/>
      <c r="I97" s="1127"/>
    </row>
    <row r="98" spans="2:9">
      <c r="B98" s="1125"/>
      <c r="C98" s="739" t="s">
        <v>3060</v>
      </c>
      <c r="D98" s="1117"/>
      <c r="E98" s="1117"/>
      <c r="F98" s="4744"/>
      <c r="G98" s="4744"/>
      <c r="H98" s="1117"/>
      <c r="I98" s="1127"/>
    </row>
    <row r="99" spans="2:9">
      <c r="B99" s="1125"/>
      <c r="C99" s="739" t="s">
        <v>3061</v>
      </c>
      <c r="D99" s="1117"/>
      <c r="E99" s="1117"/>
      <c r="F99" s="4745"/>
      <c r="G99" s="4745"/>
      <c r="H99" s="1117"/>
      <c r="I99" s="1127"/>
    </row>
    <row r="100" spans="2:9">
      <c r="B100" s="1125"/>
      <c r="C100" s="739" t="s">
        <v>3062</v>
      </c>
      <c r="D100" s="1117"/>
      <c r="E100" s="1117"/>
      <c r="F100" s="4747"/>
      <c r="G100" s="4747"/>
      <c r="H100" s="1117"/>
      <c r="I100" s="1127"/>
    </row>
    <row r="101" spans="2:9">
      <c r="B101" s="1125"/>
      <c r="C101" s="719" t="s">
        <v>3063</v>
      </c>
      <c r="D101" s="1117"/>
      <c r="E101" s="1117"/>
      <c r="F101" s="4742">
        <f>+SUM(F98:G100)</f>
        <v>0</v>
      </c>
      <c r="G101" s="4742"/>
      <c r="H101" s="1117"/>
      <c r="I101" s="1127"/>
    </row>
    <row r="102" spans="2:9">
      <c r="B102" s="1125"/>
      <c r="C102" s="1117"/>
      <c r="D102" s="1117"/>
      <c r="E102" s="1117"/>
      <c r="F102" s="1117"/>
      <c r="G102" s="1117"/>
      <c r="H102" s="1117"/>
      <c r="I102" s="1127"/>
    </row>
    <row r="103" spans="2:9">
      <c r="B103" s="1168" t="s">
        <v>3064</v>
      </c>
      <c r="C103" s="739"/>
      <c r="D103" s="1117"/>
      <c r="E103" s="1117"/>
      <c r="F103" s="4741">
        <f>'Part III-Sources of Funds'!I48+'Part III-Sources of Funds'!I49</f>
        <v>0</v>
      </c>
      <c r="G103" s="4741"/>
      <c r="H103" s="1117"/>
      <c r="I103" s="1127"/>
    </row>
    <row r="104" spans="2:9">
      <c r="B104" s="1125"/>
      <c r="C104" s="1117"/>
      <c r="D104" s="1117"/>
      <c r="E104" s="1117"/>
      <c r="F104" s="1117"/>
      <c r="G104" s="1117"/>
      <c r="H104" s="1117"/>
      <c r="I104" s="1173" t="s">
        <v>3065</v>
      </c>
    </row>
    <row r="105" spans="2:9">
      <c r="B105" s="1128" t="s">
        <v>3066</v>
      </c>
      <c r="C105" s="1117"/>
      <c r="D105" s="1117"/>
      <c r="E105" s="1117"/>
      <c r="F105" s="4741">
        <f>+F103+F101+F95+F89</f>
        <v>8701986.0033649616</v>
      </c>
      <c r="G105" s="4741"/>
      <c r="H105" s="1117"/>
      <c r="I105" s="1127"/>
    </row>
    <row r="106" spans="2:9">
      <c r="B106" s="1135"/>
      <c r="C106" s="1136"/>
      <c r="D106" s="1136"/>
      <c r="E106" s="1136"/>
      <c r="F106" s="1136"/>
      <c r="G106" s="1136"/>
      <c r="H106" s="1136"/>
      <c r="I106" s="1137"/>
    </row>
    <row r="108" spans="2:9">
      <c r="C108" s="1174" t="s">
        <v>2770</v>
      </c>
    </row>
    <row r="109" spans="2:9">
      <c r="C109" s="1174" t="s">
        <v>2773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I1757" zoomScale="118" zoomScaleNormal="118" workbookViewId="0">
      <selection activeCell="I1757" sqref="A1:XFD1048576"/>
    </sheetView>
  </sheetViews>
  <sheetFormatPr defaultColWidth="9.140625" defaultRowHeight="12.75"/>
  <cols>
    <col min="1" max="1" width="9.7109375" style="1924" bestFit="1" customWidth="1"/>
    <col min="2" max="3" width="10.85546875" style="1924" bestFit="1" customWidth="1"/>
    <col min="4" max="6" width="10.140625" style="1924" bestFit="1" customWidth="1"/>
    <col min="7" max="7" width="12.42578125" style="1924" bestFit="1" customWidth="1"/>
    <col min="8" max="8" width="11.85546875" style="1924" bestFit="1" customWidth="1"/>
    <col min="9" max="9" width="9.5703125" style="1924" customWidth="1"/>
    <col min="10" max="10" width="11.85546875" style="1924" bestFit="1" customWidth="1"/>
    <col min="11" max="11" width="13" style="1924" bestFit="1" customWidth="1"/>
    <col min="12" max="14" width="9.7109375" style="1924" bestFit="1" customWidth="1"/>
    <col min="15" max="15" width="12.42578125" style="1924" bestFit="1" customWidth="1"/>
    <col min="16" max="16" width="15.42578125" style="1924" bestFit="1" customWidth="1"/>
    <col min="17" max="17" width="11.85546875" style="1924" bestFit="1" customWidth="1"/>
    <col min="18" max="18" width="9.7109375" style="1924" bestFit="1" customWidth="1"/>
    <col min="19" max="19" width="9.85546875" style="1924" bestFit="1" customWidth="1"/>
    <col min="20" max="20" width="9.7109375" style="1924" bestFit="1" customWidth="1"/>
    <col min="21" max="21" width="9.140625" style="1924"/>
    <col min="22" max="22" width="9.7109375" style="1924" bestFit="1" customWidth="1"/>
    <col min="23" max="23" width="9.140625" style="1924"/>
    <col min="24" max="359" width="9.7109375" style="1924" bestFit="1" customWidth="1"/>
    <col min="360" max="16384" width="9.140625" style="1924"/>
  </cols>
  <sheetData>
    <row r="1" spans="1:6" s="1852" customFormat="1" ht="15" customHeight="1">
      <c r="A1" s="1851" t="s">
        <v>940</v>
      </c>
    </row>
    <row r="2" spans="1:6" s="1852" customFormat="1" ht="15" customHeight="1">
      <c r="A2" s="1853" t="str">
        <f>'Part I-Project Information'!F35</f>
        <v>The Peaks at Turnberry</v>
      </c>
    </row>
    <row r="3" spans="1:6" s="1852" customFormat="1" ht="15" customHeight="1">
      <c r="A3" s="1853" t="str">
        <f>CONCATENATE('Part I-Project Information'!F39,", ", 'Part I-Project Information'!J40," County")</f>
        <v>Rincon, Effingham County</v>
      </c>
    </row>
    <row r="4" spans="1:6" s="1852" customFormat="1" ht="12" customHeight="1"/>
    <row r="5" spans="1:6" s="1852" customFormat="1" ht="12.75" customHeight="1">
      <c r="A5" s="1854" t="str">
        <f>'Project Narrative'!A5</f>
        <v xml:space="preserve">     The Peaks at Turnberry will be located on a unique +/-17-acre site. The site is convenient to numerous desirable amenities and activities while maintaining a peaceful, seemingly rural atmosphere. The site is in an area of vacant land and commercial properties. It is also central to a main thoroughfare (Rincon Bypass) that makes access between Rincon and other neighboring cities easier for residents. The Peaks will maintain the community’s character and provide much needed affordable housing to the community. The Peaks will provide up to 48 attractive, safe, well-located units for low to moderate income families in the Rincon and greater Effingham County area.
    The proposed site has access to a number of desirable amentites, such as but not limited to, departments stores, restaurants, doctor's offices, pharmacies, high scoring schools, municipal offices, and places of worship. The area also offers a host of local activites, such as camping, parks, and museums.
     The development's onsite covered pavilion with picnic and bb&amp;q area and playground  will encourage a healthy, community-oriented lifestyle among residents.The furnished community spaces will give residents numerous opportunities to interact and socialize with other tenants. Higher resident engagement for events can lead to greater resident satisfaction and it is the hope of the development that the residents will take park in the social events hosted by the mangement staff. 
      The Grove will be designed to meet state and federal accessibility and fair housing requirements.  Five percent (5%) of the units will be designed for mobility impaired individuals and two percent (2%) of the units will be designed for individuals with sensory impairments. The one, two, and three-bedroom units are spacious and designed for optimal living. Unit amenities will include mini-blinds, washer/dryer connections, patios, and full kitchens with an energy efficient refrigerator, dishwasher, and stove.  All units will have built-in fire sprinkler systems.  Site amenities will include a covered picnic area with BBQ grills and much more. The Peaks also plans to feature a community building that will include a management and leasing office along with a community laundry facility. Additional amenities will be chosen to meet DCA design and scoring standards, as appropriate. It is important that Effingham County has public transportation, above average schools, and the proposed development is located in a high income census tract.
   The Peaks at Turnberry will engage South Face of Atlanta to provide guidance and certification for the EarthCraft Multifamily Program.  The development’s design will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30-year architectural shingles.  
   National Affordable Housing Preservation Associates, Inc. “NAHPA, Inc” will serves as both the Certifying General Partner as well as the Certifying Developer. NAHPA has a long track record of successful LIHTC developments throughout the Southeast and funding of The Grove at Woodford will help to further their mission of providing affordable housing to the families that need it the most. 
   By offering amiable amenities, engaging activities, and affordable rents The Peaks at Turnberry will meet a critical need for the citizens of Effingham County.</v>
      </c>
      <c r="B5" s="1855" t="s">
        <v>4083</v>
      </c>
      <c r="C5" s="1855"/>
      <c r="D5" s="1855"/>
      <c r="E5" s="1855"/>
      <c r="F5" s="1855"/>
    </row>
    <row r="6" spans="1:6" s="1852" customFormat="1" ht="12.75" customHeight="1">
      <c r="A6" s="1854"/>
      <c r="B6" s="1855"/>
      <c r="C6" s="1855"/>
      <c r="D6" s="1855"/>
      <c r="E6" s="1855"/>
      <c r="F6" s="1855"/>
    </row>
    <row r="7" spans="1:6" s="1852" customFormat="1" ht="12.75" customHeight="1">
      <c r="A7" s="1854"/>
      <c r="B7" s="1855"/>
      <c r="C7" s="1855"/>
      <c r="D7" s="1855"/>
      <c r="E7" s="1855"/>
      <c r="F7" s="1855"/>
    </row>
    <row r="8" spans="1:6" s="1852" customFormat="1">
      <c r="A8" s="1854"/>
    </row>
    <row r="9" spans="1:6" s="1852" customFormat="1">
      <c r="A9" s="1854"/>
    </row>
    <row r="10" spans="1:6" s="1852" customFormat="1">
      <c r="A10" s="1854"/>
    </row>
    <row r="11" spans="1:6" s="1852" customFormat="1">
      <c r="A11" s="1854"/>
    </row>
    <row r="12" spans="1:6" s="1852" customFormat="1">
      <c r="A12" s="1854"/>
    </row>
    <row r="13" spans="1:6" s="1852" customFormat="1">
      <c r="A13" s="1854"/>
    </row>
    <row r="14" spans="1:6" s="1852" customFormat="1">
      <c r="A14" s="1854"/>
    </row>
    <row r="15" spans="1:6" s="1852" customFormat="1">
      <c r="A15" s="1854"/>
    </row>
    <row r="16" spans="1:6" s="1852" customFormat="1">
      <c r="A16" s="1854"/>
    </row>
    <row r="17" spans="1:26" s="1852" customFormat="1">
      <c r="A17" s="1854"/>
    </row>
    <row r="18" spans="1:26" s="1852" customFormat="1">
      <c r="A18" s="1854"/>
    </row>
    <row r="19" spans="1:26" s="1852" customFormat="1">
      <c r="A19" s="1854"/>
    </row>
    <row r="20" spans="1:26" s="1852" customFormat="1">
      <c r="A20" s="1854"/>
    </row>
    <row r="21" spans="1:26" s="1852" customFormat="1">
      <c r="A21" s="1854"/>
    </row>
    <row r="22" spans="1:26" s="1852" customFormat="1">
      <c r="A22" s="1854"/>
    </row>
    <row r="23" spans="1:26" s="1852" customFormat="1">
      <c r="A23" s="1854"/>
    </row>
    <row r="26" spans="1:26" s="1856" customFormat="1" ht="14.1" customHeight="1">
      <c r="A26" s="1856" t="str">
        <f>CONCATENATE("PART ONE - PROJECT INFORMATION"," - ",$O$7," ",$F$35,", ",'Part I-Project Information'!F63,", ",'Part I-Project Information'!J64," County")</f>
        <v>PART ONE - PROJECT INFORMATION -  , ,  County</v>
      </c>
      <c r="Z26" s="1857">
        <v>2</v>
      </c>
    </row>
    <row r="27" spans="1:26" s="1856" customFormat="1" ht="6" customHeight="1">
      <c r="A27" s="1857"/>
      <c r="B27" s="1857"/>
      <c r="C27" s="1857"/>
      <c r="D27" s="1857"/>
      <c r="E27" s="1857"/>
      <c r="F27" s="1857"/>
      <c r="G27" s="1857"/>
      <c r="H27" s="1857"/>
      <c r="I27" s="1857"/>
      <c r="J27" s="1857"/>
      <c r="K27" s="1857"/>
      <c r="L27" s="1857"/>
      <c r="M27" s="1857"/>
      <c r="N27" s="1857"/>
      <c r="O27" s="1857"/>
      <c r="P27" s="1857"/>
      <c r="Z27" s="1857">
        <v>3</v>
      </c>
    </row>
    <row r="28" spans="1:26" s="1856" customFormat="1" ht="37.5" customHeight="1">
      <c r="A28" s="1856" t="s">
        <v>6285</v>
      </c>
      <c r="Z28" s="1857">
        <v>4</v>
      </c>
    </row>
    <row r="29" spans="1:26" s="1856" customFormat="1" ht="6" customHeight="1">
      <c r="A29" s="1857"/>
      <c r="B29" s="1857"/>
      <c r="C29" s="1857"/>
      <c r="D29" s="1857"/>
      <c r="E29" s="1857"/>
      <c r="F29" s="1857"/>
      <c r="G29" s="1857"/>
      <c r="H29" s="1857"/>
      <c r="I29" s="1857"/>
      <c r="J29" s="1857"/>
      <c r="K29" s="1857"/>
      <c r="L29" s="1857"/>
      <c r="M29" s="1857"/>
      <c r="N29" s="1857"/>
      <c r="O29" s="1857"/>
      <c r="P29" s="1857"/>
      <c r="Z29" s="1857">
        <v>5</v>
      </c>
    </row>
    <row r="30" spans="1:26" s="1856" customFormat="1" ht="12" customHeight="1">
      <c r="B30" s="1858" t="s">
        <v>2260</v>
      </c>
      <c r="F30" s="1857"/>
      <c r="G30" s="1859" t="s">
        <v>7101</v>
      </c>
      <c r="L30" s="1857"/>
      <c r="P30" s="1860" t="s">
        <v>3430</v>
      </c>
      <c r="Z30" s="1857">
        <v>6</v>
      </c>
    </row>
    <row r="31" spans="1:26" s="1856" customFormat="1" ht="12" customHeight="1">
      <c r="B31" s="1861" t="str">
        <f>'Part I-Project Information'!B7</f>
        <v>2021 Core App
May 10 Rev</v>
      </c>
      <c r="C31" s="1862"/>
      <c r="D31" s="1862"/>
      <c r="E31" s="1818"/>
      <c r="F31" s="1857"/>
      <c r="G31" s="1859" t="s">
        <v>7102</v>
      </c>
      <c r="H31" s="1857"/>
      <c r="I31" s="1857"/>
      <c r="J31" s="1857"/>
      <c r="O31" s="1863" t="str">
        <f>'Part I-Project Information'!O7</f>
        <v>2021-015</v>
      </c>
      <c r="P31" s="1863"/>
      <c r="Z31" s="1857">
        <v>7</v>
      </c>
    </row>
    <row r="32" spans="1:26" s="1856" customFormat="1" ht="12" customHeight="1">
      <c r="B32" s="1862"/>
      <c r="C32" s="1862"/>
      <c r="D32" s="1862"/>
      <c r="E32" s="1818"/>
      <c r="G32" s="1864" t="s">
        <v>3080</v>
      </c>
      <c r="H32" s="1857"/>
      <c r="I32" s="1857"/>
      <c r="J32" s="1857"/>
      <c r="Z32" s="1857">
        <v>8</v>
      </c>
    </row>
    <row r="33" spans="1:26" s="1856" customFormat="1" ht="6" customHeight="1">
      <c r="A33" s="1857"/>
      <c r="B33" s="1862"/>
      <c r="C33" s="1862"/>
      <c r="D33" s="1862"/>
      <c r="E33" s="1857"/>
      <c r="H33" s="1857"/>
      <c r="I33" s="1857"/>
      <c r="M33" s="1857"/>
      <c r="Z33" s="1857">
        <v>9</v>
      </c>
    </row>
    <row r="34" spans="1:26" s="1856" customFormat="1" ht="13.35" customHeight="1">
      <c r="A34" s="1856" t="s">
        <v>586</v>
      </c>
      <c r="B34" s="1856" t="s">
        <v>2271</v>
      </c>
      <c r="D34" s="1865"/>
      <c r="E34" s="1857"/>
      <c r="F34" s="1858" t="s">
        <v>3403</v>
      </c>
      <c r="I34" s="1866">
        <f>'Part IV-A-Uses of Funds'!$J$197</f>
        <v>900000</v>
      </c>
      <c r="J34" s="1866"/>
      <c r="L34" s="1856" t="s">
        <v>3404</v>
      </c>
      <c r="O34" s="1867">
        <f>'Part III-Sources of Funds'!$I$6</f>
        <v>0</v>
      </c>
      <c r="P34" s="1867"/>
      <c r="Z34" s="1868">
        <v>10</v>
      </c>
    </row>
    <row r="35" spans="1:26" s="1856" customFormat="1" ht="6" customHeight="1">
      <c r="D35" s="1865"/>
      <c r="E35" s="1857"/>
      <c r="F35" s="1857"/>
      <c r="I35" s="1858"/>
      <c r="N35" s="1860"/>
      <c r="Z35" s="1857">
        <v>11</v>
      </c>
    </row>
    <row r="36" spans="1:26" s="1856" customFormat="1" ht="13.35" customHeight="1">
      <c r="A36" s="1858" t="s">
        <v>710</v>
      </c>
      <c r="B36" s="1856" t="s">
        <v>1949</v>
      </c>
      <c r="F36" s="1869" t="str">
        <f>'Part I-Project Information'!F12</f>
        <v>9% Credit Competitive Round only</v>
      </c>
      <c r="G36" s="1869"/>
      <c r="H36" s="1869"/>
      <c r="I36" s="1870" t="s">
        <v>3347</v>
      </c>
      <c r="J36" s="1856" t="s">
        <v>7103</v>
      </c>
      <c r="L36" s="1857"/>
      <c r="O36" s="1863" t="str">
        <f>'Part I-Project Information'!O12</f>
        <v>2021PA-025</v>
      </c>
      <c r="P36" s="1863"/>
      <c r="Z36" s="1857">
        <v>12</v>
      </c>
    </row>
    <row r="37" spans="1:26" s="1856" customFormat="1" ht="12.75" customHeight="1">
      <c r="A37" s="1857"/>
      <c r="B37" s="1865"/>
      <c r="C37" s="1865"/>
      <c r="D37" s="1865"/>
      <c r="E37" s="1865"/>
      <c r="H37" s="1857"/>
      <c r="J37" s="1859" t="s">
        <v>7040</v>
      </c>
      <c r="K37" s="1858"/>
      <c r="M37" s="1857"/>
      <c r="O37" s="1869" t="str">
        <f>'Part I-Project Information'!O13</f>
        <v>No</v>
      </c>
      <c r="P37" s="1869"/>
      <c r="Z37" s="1857">
        <v>13</v>
      </c>
    </row>
    <row r="38" spans="1:26" s="1856" customFormat="1" ht="3" customHeight="1">
      <c r="A38" s="1857"/>
      <c r="B38" s="1865"/>
      <c r="C38" s="1865"/>
      <c r="D38" s="1865"/>
      <c r="E38" s="1865"/>
      <c r="H38" s="1857"/>
      <c r="J38" s="1858"/>
      <c r="K38" s="1858"/>
      <c r="M38" s="1857"/>
      <c r="Z38" s="1857">
        <v>14</v>
      </c>
    </row>
    <row r="39" spans="1:26" s="1856" customFormat="1" ht="12.75" customHeight="1">
      <c r="A39" s="1857"/>
      <c r="B39" s="1865" t="s">
        <v>4289</v>
      </c>
      <c r="C39" s="1865"/>
      <c r="D39" s="1865"/>
      <c r="E39" s="1865"/>
      <c r="F39" s="1871" t="str">
        <f>'Part I-Project Information'!F15</f>
        <v>No</v>
      </c>
      <c r="G39" s="1858" t="s">
        <v>4290</v>
      </c>
      <c r="N39" s="1869" t="str">
        <f>'Part I-Project Information'!N15</f>
        <v>&lt;&lt;Select previous Application Type&gt;&gt;</v>
      </c>
      <c r="O39" s="1869"/>
      <c r="P39" s="1869"/>
      <c r="Z39" s="1857">
        <v>15</v>
      </c>
    </row>
    <row r="40" spans="1:26" s="1856" customFormat="1" ht="12.75" customHeight="1">
      <c r="A40" s="1857"/>
      <c r="B40" s="1856" t="s">
        <v>4283</v>
      </c>
      <c r="F40" s="1872">
        <f>'Part I-Project Information'!F16</f>
        <v>0</v>
      </c>
      <c r="G40" s="1872"/>
      <c r="H40" s="1872"/>
      <c r="I40" s="1872"/>
      <c r="J40" s="1856" t="s">
        <v>4121</v>
      </c>
      <c r="L40" s="1863">
        <f>'Part I-Project Information'!L16</f>
        <v>0</v>
      </c>
      <c r="M40" s="1863"/>
      <c r="N40" s="1856" t="s">
        <v>4120</v>
      </c>
      <c r="P40" s="1873">
        <f>'Part I-Project Information'!P16</f>
        <v>0</v>
      </c>
      <c r="Z40" s="1857">
        <v>16</v>
      </c>
    </row>
    <row r="41" spans="1:26" s="1856" customFormat="1" ht="12.75" customHeight="1">
      <c r="A41" s="1857"/>
      <c r="B41" s="1856" t="s">
        <v>3402</v>
      </c>
      <c r="F41" s="1871">
        <f>'Part I-Project Information'!F17</f>
        <v>0</v>
      </c>
      <c r="G41" s="1856" t="s">
        <v>4078</v>
      </c>
      <c r="H41" s="1857"/>
      <c r="I41" s="1864"/>
      <c r="J41" s="1858"/>
      <c r="N41" s="1869" t="str">
        <f>'Part I-Project Information'!N17</f>
        <v>&lt;&lt; Select Designation &gt;&gt;</v>
      </c>
      <c r="O41" s="1869"/>
      <c r="P41" s="1869"/>
      <c r="Z41" s="1857">
        <v>17</v>
      </c>
    </row>
    <row r="42" spans="1:26" s="1856" customFormat="1" ht="6" customHeight="1">
      <c r="I42" s="1874"/>
      <c r="J42" s="1874"/>
      <c r="K42" s="1874"/>
      <c r="L42" s="1874"/>
      <c r="M42" s="1874"/>
      <c r="N42" s="1874"/>
      <c r="O42" s="1874"/>
      <c r="P42" s="1874"/>
      <c r="Z42" s="1857">
        <v>18</v>
      </c>
    </row>
    <row r="43" spans="1:26" s="1856" customFormat="1" ht="13.35" customHeight="1">
      <c r="A43" s="1858" t="s">
        <v>712</v>
      </c>
      <c r="B43" s="1856" t="s">
        <v>3827</v>
      </c>
      <c r="D43" s="1858"/>
      <c r="E43" s="1857"/>
      <c r="G43" s="1857"/>
      <c r="H43" s="1857"/>
      <c r="I43" s="1857"/>
      <c r="L43" s="1860"/>
      <c r="Z43" s="1868">
        <v>19</v>
      </c>
    </row>
    <row r="44" spans="1:26" s="1856" customFormat="1" ht="1.5" customHeight="1">
      <c r="A44" s="1858"/>
      <c r="B44" s="1857"/>
      <c r="D44" s="1858"/>
      <c r="E44" s="1857"/>
      <c r="G44" s="1857"/>
      <c r="H44" s="1857"/>
      <c r="I44" s="1857"/>
      <c r="K44" s="1860"/>
      <c r="L44" s="1860"/>
      <c r="O44" s="1857"/>
      <c r="Z44" s="1857">
        <v>20</v>
      </c>
    </row>
    <row r="45" spans="1:26" s="1856" customFormat="1" ht="13.35" customHeight="1">
      <c r="B45" s="1856" t="s">
        <v>3437</v>
      </c>
      <c r="F45" s="1863" t="str">
        <f>'Part I-Project Information'!F21</f>
        <v>NAHPA, Inc. (Nat'l Aff Hsg Pres Associates, Inc.)</v>
      </c>
      <c r="G45" s="1863"/>
      <c r="H45" s="1863"/>
      <c r="I45" s="1856" t="s">
        <v>1716</v>
      </c>
      <c r="J45" s="1863" t="str">
        <f>'Part I-Project Information'!J21</f>
        <v>Mark E. English</v>
      </c>
      <c r="K45" s="1863"/>
      <c r="L45" s="1863"/>
      <c r="M45" s="1858" t="s">
        <v>1891</v>
      </c>
      <c r="N45" s="1863" t="str">
        <f>'Part I-Project Information'!N21</f>
        <v>President of General Partner</v>
      </c>
      <c r="O45" s="1863"/>
      <c r="P45" s="1863"/>
      <c r="Z45" s="1857">
        <v>21</v>
      </c>
    </row>
    <row r="46" spans="1:26" s="1856" customFormat="1" ht="13.35" customHeight="1">
      <c r="B46" s="1858" t="s">
        <v>1892</v>
      </c>
      <c r="F46" s="1863" t="str">
        <f>'Part I-Project Information'!F22</f>
        <v>100 Towncenter Blvd. Suite 300</v>
      </c>
      <c r="G46" s="1863"/>
      <c r="H46" s="1863"/>
      <c r="I46" s="1863"/>
      <c r="J46" s="1863"/>
      <c r="K46" s="1863"/>
      <c r="L46" s="1863"/>
      <c r="M46" s="1875" t="s">
        <v>3436</v>
      </c>
      <c r="N46" s="1875"/>
      <c r="O46" s="1875"/>
      <c r="P46" s="1875"/>
      <c r="Z46" s="1857">
        <v>22</v>
      </c>
    </row>
    <row r="47" spans="1:26" s="1856" customFormat="1" ht="13.35" customHeight="1">
      <c r="B47" s="1858" t="s">
        <v>588</v>
      </c>
      <c r="F47" s="1863" t="str">
        <f>'Part I-Project Information'!F23</f>
        <v>Tuscaloosa</v>
      </c>
      <c r="G47" s="1863"/>
      <c r="H47" s="1863"/>
      <c r="I47" s="1858" t="s">
        <v>1717</v>
      </c>
      <c r="J47" s="1876" t="str">
        <f>'Part I-Project Information'!J23</f>
        <v>AL</v>
      </c>
      <c r="M47" s="1875"/>
      <c r="N47" s="1875"/>
      <c r="O47" s="1875"/>
      <c r="P47" s="1875"/>
      <c r="Z47" s="1857">
        <v>23</v>
      </c>
    </row>
    <row r="48" spans="1:26" s="1856" customFormat="1" ht="13.35" customHeight="1">
      <c r="B48" s="1858" t="s">
        <v>2129</v>
      </c>
      <c r="F48" s="1877">
        <f>'Part I-Project Information'!F24</f>
        <v>354061835</v>
      </c>
      <c r="G48" s="1877"/>
      <c r="H48" s="1877"/>
      <c r="I48" s="1858" t="s">
        <v>1643</v>
      </c>
      <c r="J48" s="1878">
        <f>'Part I-Project Information'!J24</f>
        <v>2057229331</v>
      </c>
      <c r="K48" s="1878"/>
      <c r="L48" s="1857" t="s">
        <v>1642</v>
      </c>
      <c r="M48" s="1879">
        <f>'Part I-Project Information'!M24</f>
        <v>0</v>
      </c>
      <c r="N48" s="1858" t="s">
        <v>1644</v>
      </c>
      <c r="O48" s="1878">
        <f>'Part I-Project Information'!O24</f>
        <v>2057229331</v>
      </c>
      <c r="P48" s="1878"/>
      <c r="Z48" s="1857">
        <v>24</v>
      </c>
    </row>
    <row r="49" spans="1:26" s="1856" customFormat="1" ht="13.35" customHeight="1">
      <c r="B49" s="1858" t="s">
        <v>1895</v>
      </c>
      <c r="F49" s="1863" t="str">
        <f>'Part I-Project Information'!F25</f>
        <v>mark@nahpa.org</v>
      </c>
      <c r="G49" s="1863"/>
      <c r="H49" s="1863"/>
      <c r="I49" s="1863"/>
      <c r="J49" s="1863"/>
      <c r="K49" s="1863"/>
      <c r="N49" s="1858" t="s">
        <v>1890</v>
      </c>
      <c r="O49" s="1878">
        <f>'Part I-Project Information'!O25</f>
        <v>2053948000</v>
      </c>
      <c r="P49" s="1878"/>
      <c r="Z49" s="1857">
        <v>25</v>
      </c>
    </row>
    <row r="50" spans="1:26" s="1856" customFormat="1" ht="13.5" customHeight="1">
      <c r="A50" s="1857"/>
      <c r="B50" s="1856" t="s">
        <v>3826</v>
      </c>
      <c r="C50" s="1865"/>
      <c r="H50" s="1857"/>
      <c r="J50" s="1865"/>
      <c r="P50" s="1880"/>
      <c r="Z50" s="1857">
        <v>26</v>
      </c>
    </row>
    <row r="51" spans="1:26" s="1856" customFormat="1" ht="13.35" customHeight="1">
      <c r="B51" s="1856" t="s">
        <v>3437</v>
      </c>
      <c r="F51" s="1863" t="str">
        <f>'Part I-Project Information'!F27</f>
        <v>Vantage Development</v>
      </c>
      <c r="G51" s="1863"/>
      <c r="H51" s="1863"/>
      <c r="I51" s="1856" t="s">
        <v>1716</v>
      </c>
      <c r="J51" s="1863" t="str">
        <f>'Part I-Project Information'!J27</f>
        <v>Jordan Wilson</v>
      </c>
      <c r="K51" s="1863"/>
      <c r="L51" s="1863"/>
      <c r="M51" s="1858" t="s">
        <v>1891</v>
      </c>
      <c r="N51" s="1863" t="str">
        <f>'Part I-Project Information'!N27</f>
        <v>Director of Development for Consultant</v>
      </c>
      <c r="O51" s="1863"/>
      <c r="P51" s="1863"/>
      <c r="Z51" s="1857">
        <v>27</v>
      </c>
    </row>
    <row r="52" spans="1:26" s="1856" customFormat="1" ht="13.35" customHeight="1">
      <c r="B52" s="1858" t="s">
        <v>1892</v>
      </c>
      <c r="F52" s="1863" t="str">
        <f>'Part I-Project Information'!F28</f>
        <v>1544 S. Main Street</v>
      </c>
      <c r="G52" s="1863"/>
      <c r="H52" s="1863"/>
      <c r="I52" s="1863"/>
      <c r="J52" s="1863"/>
      <c r="K52" s="1863"/>
      <c r="L52" s="1863"/>
      <c r="M52" s="1875" t="s">
        <v>3436</v>
      </c>
      <c r="N52" s="1875"/>
      <c r="O52" s="1875"/>
      <c r="P52" s="1875"/>
      <c r="Z52" s="1868">
        <v>28</v>
      </c>
    </row>
    <row r="53" spans="1:26" s="1856" customFormat="1" ht="13.35" customHeight="1">
      <c r="B53" s="1858" t="s">
        <v>588</v>
      </c>
      <c r="F53" s="1863" t="str">
        <f>'Part I-Project Information'!F29</f>
        <v>Fyffe</v>
      </c>
      <c r="G53" s="1863"/>
      <c r="H53" s="1863"/>
      <c r="I53" s="1858" t="s">
        <v>1717</v>
      </c>
      <c r="J53" s="1876" t="str">
        <f>'Part I-Project Information'!J29</f>
        <v>AL</v>
      </c>
      <c r="M53" s="1875"/>
      <c r="N53" s="1875"/>
      <c r="O53" s="1875"/>
      <c r="P53" s="1875"/>
      <c r="Z53" s="1868">
        <v>29</v>
      </c>
    </row>
    <row r="54" spans="1:26" s="1856" customFormat="1" ht="13.35" customHeight="1">
      <c r="B54" s="1858" t="s">
        <v>2129</v>
      </c>
      <c r="F54" s="1877">
        <f>'Part I-Project Information'!F30</f>
        <v>359713484</v>
      </c>
      <c r="G54" s="1877"/>
      <c r="H54" s="1877"/>
      <c r="I54" s="1858" t="s">
        <v>1643</v>
      </c>
      <c r="J54" s="1878">
        <f>'Part I-Project Information'!J30</f>
        <v>2564174920</v>
      </c>
      <c r="K54" s="1878"/>
      <c r="L54" s="1857" t="s">
        <v>1642</v>
      </c>
      <c r="M54" s="1879">
        <f>'Part I-Project Information'!M30</f>
        <v>288</v>
      </c>
      <c r="N54" s="1858" t="s">
        <v>1644</v>
      </c>
      <c r="O54" s="1878">
        <f>'Part I-Project Information'!O30</f>
        <v>4234132650</v>
      </c>
      <c r="P54" s="1878"/>
      <c r="Z54" s="1857">
        <v>30</v>
      </c>
    </row>
    <row r="55" spans="1:26" s="1856" customFormat="1" ht="13.35" customHeight="1">
      <c r="B55" s="1858" t="s">
        <v>1895</v>
      </c>
      <c r="F55" s="1863" t="str">
        <f>'Part I-Project Information'!F31</f>
        <v>jwilson@thevantagegroup.biz</v>
      </c>
      <c r="G55" s="1863"/>
      <c r="H55" s="1863"/>
      <c r="I55" s="1863"/>
      <c r="J55" s="1863"/>
      <c r="K55" s="1863"/>
      <c r="N55" s="1858" t="s">
        <v>1890</v>
      </c>
      <c r="O55" s="1878">
        <f>'Part I-Project Information'!O31</f>
        <v>4234132650</v>
      </c>
      <c r="P55" s="1878"/>
      <c r="Z55" s="1857">
        <v>31</v>
      </c>
    </row>
    <row r="56" spans="1:26" s="1856" customFormat="1" ht="6" customHeight="1">
      <c r="A56" s="1857"/>
      <c r="B56" s="1857"/>
      <c r="C56" s="1865"/>
      <c r="H56" s="1857"/>
      <c r="J56" s="1865"/>
      <c r="P56" s="1880"/>
      <c r="Z56" s="1857">
        <v>32</v>
      </c>
    </row>
    <row r="57" spans="1:26" s="1856" customFormat="1" ht="13.35" customHeight="1">
      <c r="A57" s="1858" t="s">
        <v>1711</v>
      </c>
      <c r="B57" s="1856" t="s">
        <v>1415</v>
      </c>
      <c r="D57" s="1865"/>
      <c r="E57" s="1857"/>
      <c r="F57" s="1857"/>
      <c r="G57" s="1858"/>
      <c r="H57" s="1857"/>
      <c r="I57" s="1857"/>
      <c r="J57" s="1857"/>
      <c r="L57" s="1860"/>
      <c r="M57" s="1860"/>
      <c r="Z57" s="1857">
        <v>33</v>
      </c>
    </row>
    <row r="58" spans="1:26" s="1856" customFormat="1" ht="1.5" customHeight="1">
      <c r="A58" s="1858"/>
      <c r="D58" s="1865"/>
      <c r="E58" s="1857"/>
      <c r="F58" s="1857"/>
      <c r="G58" s="1858"/>
      <c r="H58" s="1857"/>
      <c r="I58" s="1857"/>
      <c r="J58" s="1857"/>
      <c r="L58" s="1860"/>
      <c r="Z58" s="1857">
        <v>34</v>
      </c>
    </row>
    <row r="59" spans="1:26" s="1856" customFormat="1" ht="13.35" customHeight="1">
      <c r="B59" s="1856" t="s">
        <v>587</v>
      </c>
      <c r="F59" s="1872" t="str">
        <f>'Part I-Project Information'!F35</f>
        <v>The Peaks at Turnberry</v>
      </c>
      <c r="G59" s="1872"/>
      <c r="H59" s="1872"/>
      <c r="I59" s="1872"/>
      <c r="J59" s="1872"/>
      <c r="K59" s="1872"/>
      <c r="L59" s="1858" t="s">
        <v>2098</v>
      </c>
      <c r="O59" s="1863" t="str">
        <f>'Part I-Project Information'!O35</f>
        <v>No</v>
      </c>
      <c r="P59" s="1863"/>
      <c r="Z59" s="1857">
        <v>35</v>
      </c>
    </row>
    <row r="60" spans="1:26" s="1856" customFormat="1" ht="13.35" customHeight="1">
      <c r="A60" s="1860"/>
      <c r="B60" s="1856" t="s">
        <v>2549</v>
      </c>
      <c r="D60" s="1860"/>
      <c r="F60" s="1872" t="str">
        <f>'Part I-Project Information'!F36</f>
        <v xml:space="preserve">Off of GA-21 </v>
      </c>
      <c r="G60" s="1872"/>
      <c r="H60" s="1872"/>
      <c r="I60" s="1872"/>
      <c r="J60" s="1872"/>
      <c r="K60" s="1872"/>
      <c r="L60" s="1856" t="s">
        <v>3322</v>
      </c>
      <c r="O60" s="1863">
        <f>'Part I-Project Information'!O36</f>
        <v>0</v>
      </c>
      <c r="P60" s="1863"/>
      <c r="Z60" s="1857">
        <v>36</v>
      </c>
    </row>
    <row r="61" spans="1:26" s="1856" customFormat="1" ht="13.35" customHeight="1">
      <c r="A61" s="1860"/>
      <c r="B61" s="1856" t="s">
        <v>7041</v>
      </c>
      <c r="D61" s="1860"/>
      <c r="F61" s="1872" t="str">
        <f>'Part I-Project Information'!F37</f>
        <v>189 Commercial Drive</v>
      </c>
      <c r="G61" s="1872"/>
      <c r="H61" s="1872"/>
      <c r="I61" s="1872"/>
      <c r="J61" s="1872"/>
      <c r="K61" s="1872"/>
      <c r="L61" s="1858" t="s">
        <v>1959</v>
      </c>
      <c r="N61" s="1879" t="str">
        <f>'Part I-Project Information'!N37</f>
        <v>No</v>
      </c>
      <c r="O61" s="1857" t="s">
        <v>3321</v>
      </c>
      <c r="P61" s="1879">
        <f>'Part I-Project Information'!P37</f>
        <v>0</v>
      </c>
      <c r="Z61" s="1857">
        <v>37</v>
      </c>
    </row>
    <row r="62" spans="1:26" s="1856" customFormat="1" ht="13.35" customHeight="1">
      <c r="A62" s="1860"/>
      <c r="B62" s="1856" t="s">
        <v>3363</v>
      </c>
      <c r="D62" s="1860"/>
      <c r="F62" s="1856" t="s">
        <v>3348</v>
      </c>
      <c r="G62" s="1881">
        <f>'Part I-Project Information'!G38</f>
        <v>32.249740000000003</v>
      </c>
      <c r="H62" s="1881"/>
      <c r="I62" s="1857" t="s">
        <v>3349</v>
      </c>
      <c r="J62" s="1881">
        <f>'Part I-Project Information'!J38</f>
        <v>-81.208759999999998</v>
      </c>
      <c r="K62" s="1881"/>
      <c r="L62" s="1858" t="s">
        <v>2181</v>
      </c>
      <c r="O62" s="1882">
        <f>'Part I-Project Information'!O38</f>
        <v>17.68</v>
      </c>
      <c r="P62" s="1882"/>
      <c r="Z62" s="1868">
        <v>38</v>
      </c>
    </row>
    <row r="63" spans="1:26" s="1856" customFormat="1" ht="13.35" customHeight="1">
      <c r="A63" s="1857"/>
      <c r="B63" s="1856" t="s">
        <v>588</v>
      </c>
      <c r="F63" s="1863" t="str">
        <f>'Part I-Project Information'!F39</f>
        <v>Rincon</v>
      </c>
      <c r="G63" s="1863"/>
      <c r="H63" s="1863"/>
      <c r="I63" s="1883" t="s">
        <v>7104</v>
      </c>
      <c r="J63" s="1877">
        <f>'Part I-Project Information'!J39</f>
        <v>313265469</v>
      </c>
      <c r="K63" s="1877"/>
      <c r="L63" s="1856" t="str">
        <f>IF(AND(NOT(F59=""),NOT(F63="Select from list"),J63=""),"Enter Zip!","")</f>
        <v/>
      </c>
      <c r="M63" s="1884" t="s">
        <v>2694</v>
      </c>
      <c r="O63" s="1885" t="str">
        <f>'Part I-Project Information'!O39</f>
        <v>303.05</v>
      </c>
      <c r="P63" s="1886"/>
      <c r="Z63" s="1857">
        <v>39</v>
      </c>
    </row>
    <row r="64" spans="1:26" s="1856" customFormat="1" ht="13.35" customHeight="1">
      <c r="A64" s="1857"/>
      <c r="B64" s="1856" t="s">
        <v>4100</v>
      </c>
      <c r="F64" s="1863" t="str">
        <f>'Part I-Project Information'!F40</f>
        <v>Unincorporated County</v>
      </c>
      <c r="G64" s="1863"/>
      <c r="H64" s="1863"/>
      <c r="I64" s="1887" t="s">
        <v>589</v>
      </c>
      <c r="J64" s="1872" t="str">
        <f>'Part I-Project Information'!J40</f>
        <v>Effingham</v>
      </c>
      <c r="K64" s="1872"/>
      <c r="M64" s="1858" t="s">
        <v>431</v>
      </c>
      <c r="N64" s="1873" t="str">
        <f>'Part I-Project Information'!N40</f>
        <v>No</v>
      </c>
      <c r="O64" s="1857" t="s">
        <v>432</v>
      </c>
      <c r="P64" s="1873" t="str">
        <f>'Part I-Project Information'!P40</f>
        <v>No</v>
      </c>
      <c r="Z64" s="1857">
        <v>40</v>
      </c>
    </row>
    <row r="65" spans="1:26" s="1856" customFormat="1" ht="13.35" customHeight="1">
      <c r="A65" s="1857"/>
      <c r="C65" s="1856" t="s">
        <v>1494</v>
      </c>
      <c r="F65" s="1888" t="str">
        <f>'Part I-Project Information'!F41</f>
        <v>Yes</v>
      </c>
      <c r="I65" s="1857"/>
      <c r="J65" s="1857" t="s">
        <v>2611</v>
      </c>
      <c r="K65" s="1857" t="str">
        <f>'Part I-Project Information'!K41</f>
        <v>Rural</v>
      </c>
      <c r="M65" s="1858" t="s">
        <v>2488</v>
      </c>
      <c r="N65" s="1857" t="str">
        <f>'Part I-Project Information'!N41</f>
        <v>MSA</v>
      </c>
      <c r="O65" s="1863" t="str">
        <f>'Part I-Project Information'!O41</f>
        <v>Savannah</v>
      </c>
      <c r="P65" s="1863"/>
      <c r="Z65" s="1857">
        <v>41</v>
      </c>
    </row>
    <row r="66" spans="1:26" s="1856" customFormat="1" ht="6" customHeight="1">
      <c r="A66" s="1857"/>
      <c r="I66" s="1858"/>
      <c r="L66" s="1889"/>
      <c r="M66" s="1889"/>
      <c r="N66" s="1889"/>
      <c r="O66" s="1889"/>
      <c r="P66" s="1889"/>
      <c r="Z66" s="1857">
        <v>42</v>
      </c>
    </row>
    <row r="67" spans="1:26" s="1856" customFormat="1" ht="13.35" customHeight="1">
      <c r="A67" s="1857"/>
      <c r="C67" s="1856" t="s">
        <v>7105</v>
      </c>
      <c r="F67" s="1865" t="s">
        <v>2593</v>
      </c>
      <c r="G67" s="1865"/>
      <c r="H67" s="1856" t="s">
        <v>706</v>
      </c>
      <c r="J67" s="1856" t="s">
        <v>707</v>
      </c>
      <c r="L67" s="1890" t="s">
        <v>7106</v>
      </c>
      <c r="Z67" s="1857">
        <v>43</v>
      </c>
    </row>
    <row r="68" spans="1:26" s="1856" customFormat="1" ht="13.35" customHeight="1">
      <c r="A68" s="1857"/>
      <c r="B68" s="1856" t="s">
        <v>7042</v>
      </c>
      <c r="F68" s="1891">
        <f>'Part I-Project Information'!F44</f>
        <v>1</v>
      </c>
      <c r="G68" s="1891"/>
      <c r="H68" s="1891">
        <f>'Part I-Project Information'!H44</f>
        <v>4</v>
      </c>
      <c r="I68" s="1891"/>
      <c r="J68" s="1891">
        <f>'Part I-Project Information'!J44</f>
        <v>161</v>
      </c>
      <c r="K68" s="1891"/>
      <c r="L68" s="1864" t="s">
        <v>1235</v>
      </c>
      <c r="N68" s="1892" t="s">
        <v>1236</v>
      </c>
      <c r="O68" s="1892"/>
      <c r="P68" s="1892"/>
      <c r="Z68" s="1857">
        <v>44</v>
      </c>
    </row>
    <row r="69" spans="1:26" s="1856" customFormat="1" ht="12.75" customHeight="1">
      <c r="A69" s="1857"/>
      <c r="B69" s="1858" t="s">
        <v>708</v>
      </c>
      <c r="F69" s="1891">
        <f>'Part I-Project Information'!F45</f>
        <v>0</v>
      </c>
      <c r="G69" s="1891"/>
      <c r="H69" s="1891">
        <f>'Part I-Project Information'!H45</f>
        <v>0</v>
      </c>
      <c r="I69" s="1891"/>
      <c r="J69" s="1891">
        <f>'Part I-Project Information'!J45</f>
        <v>0</v>
      </c>
      <c r="K69" s="1891"/>
      <c r="L69" s="1864" t="s">
        <v>2591</v>
      </c>
      <c r="N69" s="1893" t="s">
        <v>2590</v>
      </c>
      <c r="O69" s="1893"/>
      <c r="Z69" s="1857">
        <v>45</v>
      </c>
    </row>
    <row r="70" spans="1:26" s="1856" customFormat="1" ht="3" customHeight="1">
      <c r="A70" s="1857"/>
      <c r="I70" s="1889"/>
      <c r="J70" s="1889"/>
      <c r="K70" s="1889"/>
      <c r="Z70" s="1857">
        <v>46</v>
      </c>
    </row>
    <row r="71" spans="1:26" s="1856" customFormat="1" ht="13.35" customHeight="1">
      <c r="A71" s="1857"/>
      <c r="B71" s="1856" t="s">
        <v>607</v>
      </c>
      <c r="F71" s="1894" t="str">
        <f>'Part I-Project Information'!F47</f>
        <v>Effingham County</v>
      </c>
      <c r="G71" s="1894"/>
      <c r="H71" s="1894"/>
      <c r="I71" s="1894"/>
      <c r="J71" s="1894"/>
      <c r="K71" s="1894"/>
      <c r="L71" s="1895" t="s">
        <v>2554</v>
      </c>
      <c r="M71" s="1863" t="str">
        <f>'Part I-Project Information'!M47</f>
        <v>https://www.effinghamcounty.org/</v>
      </c>
      <c r="N71" s="1863"/>
      <c r="O71" s="1863"/>
      <c r="P71" s="1863"/>
      <c r="Z71" s="1868">
        <v>47</v>
      </c>
    </row>
    <row r="72" spans="1:26" s="1856" customFormat="1" ht="13.35" customHeight="1">
      <c r="A72" s="1857"/>
      <c r="B72" s="1856" t="s">
        <v>608</v>
      </c>
      <c r="F72" s="1894" t="str">
        <f>'Part I-Project Information'!F48</f>
        <v>Tim Callanan</v>
      </c>
      <c r="G72" s="1894"/>
      <c r="H72" s="1894"/>
      <c r="I72" s="1857" t="s">
        <v>1891</v>
      </c>
      <c r="J72" s="1863" t="str">
        <f>'Part I-Project Information'!J48</f>
        <v>County Manager</v>
      </c>
      <c r="K72" s="1863"/>
      <c r="L72" s="1895"/>
      <c r="Z72" s="1857">
        <v>48</v>
      </c>
    </row>
    <row r="73" spans="1:26" s="1856" customFormat="1" ht="13.35" customHeight="1">
      <c r="A73" s="1857"/>
      <c r="B73" s="1856" t="s">
        <v>1892</v>
      </c>
      <c r="F73" s="1894" t="str">
        <f>'Part I-Project Information'!F49</f>
        <v>601 N Laurel Street</v>
      </c>
      <c r="G73" s="1894"/>
      <c r="H73" s="1894"/>
      <c r="I73" s="1894"/>
      <c r="J73" s="1894"/>
      <c r="K73" s="1894"/>
      <c r="L73" s="1858" t="s">
        <v>588</v>
      </c>
      <c r="M73" s="1894" t="str">
        <f>'Part I-Project Information'!M49</f>
        <v>Springfield</v>
      </c>
      <c r="N73" s="1894"/>
      <c r="O73" s="1894"/>
      <c r="P73" s="1894"/>
      <c r="Z73" s="1857">
        <v>49</v>
      </c>
    </row>
    <row r="74" spans="1:26" s="1856" customFormat="1" ht="13.35" customHeight="1">
      <c r="A74" s="1857"/>
      <c r="B74" s="1858" t="s">
        <v>2129</v>
      </c>
      <c r="F74" s="1877">
        <f>'Part I-Project Information'!F50</f>
        <v>313260000</v>
      </c>
      <c r="G74" s="1877"/>
      <c r="H74" s="1857" t="s">
        <v>1893</v>
      </c>
      <c r="I74" s="1878">
        <f>'Part I-Project Information'!I50</f>
        <v>9127542123</v>
      </c>
      <c r="J74" s="1878"/>
      <c r="K74" s="1878"/>
      <c r="L74" s="1858" t="s">
        <v>1718</v>
      </c>
      <c r="M74" s="1894" t="str">
        <f>'Part I-Project Information'!M50</f>
        <v>TCallanan@effinghamcounty.org</v>
      </c>
      <c r="N74" s="1894"/>
      <c r="O74" s="1894"/>
      <c r="P74" s="1894"/>
      <c r="Z74" s="1857">
        <v>50</v>
      </c>
    </row>
    <row r="75" spans="1:26" s="1856" customFormat="1" ht="6" customHeight="1">
      <c r="A75" s="1857"/>
      <c r="B75" s="1857"/>
      <c r="C75" s="1883"/>
      <c r="D75" s="1883"/>
      <c r="E75" s="1883"/>
      <c r="F75" s="1857"/>
      <c r="G75" s="1857"/>
      <c r="H75" s="1857"/>
      <c r="I75" s="1857"/>
      <c r="J75" s="1883"/>
      <c r="K75" s="1857"/>
      <c r="L75" s="1857"/>
      <c r="P75" s="1880"/>
      <c r="Z75" s="1857">
        <v>51</v>
      </c>
    </row>
    <row r="76" spans="1:26" s="1856" customFormat="1" ht="12" customHeight="1">
      <c r="A76" s="1858" t="s">
        <v>1713</v>
      </c>
      <c r="B76" s="1856" t="s">
        <v>1416</v>
      </c>
      <c r="F76" s="1896"/>
      <c r="I76" s="1858"/>
      <c r="Z76" s="1857">
        <v>52</v>
      </c>
    </row>
    <row r="77" spans="1:26" s="1856" customFormat="1" ht="1.5" customHeight="1">
      <c r="A77" s="1857"/>
      <c r="I77" s="1858"/>
      <c r="Z77" s="1857">
        <v>53</v>
      </c>
    </row>
    <row r="78" spans="1:26" s="1856" customFormat="1">
      <c r="A78" s="1857"/>
      <c r="B78" s="1857" t="s">
        <v>1894</v>
      </c>
      <c r="C78" s="1856" t="s">
        <v>7043</v>
      </c>
      <c r="K78" s="1864"/>
      <c r="M78" s="1892"/>
      <c r="N78" s="1892"/>
      <c r="O78" s="1892"/>
      <c r="P78" s="1892"/>
      <c r="Q78" s="1857"/>
      <c r="Z78" s="1857">
        <v>54</v>
      </c>
    </row>
    <row r="79" spans="1:26" s="1865" customFormat="1" ht="13.35" customHeight="1">
      <c r="B79" s="1857"/>
      <c r="C79" s="1856" t="s">
        <v>2193</v>
      </c>
      <c r="D79" s="1856"/>
      <c r="E79" s="1856"/>
      <c r="H79" s="1897">
        <f>'Part I-Project Information'!H55</f>
        <v>48</v>
      </c>
      <c r="K79" s="1858" t="s">
        <v>3314</v>
      </c>
      <c r="L79" s="1856"/>
      <c r="M79" s="1898" t="s">
        <v>3313</v>
      </c>
      <c r="N79" s="1897">
        <f>'Part I-Project Information'!N55</f>
        <v>0</v>
      </c>
      <c r="O79" s="1899" t="s">
        <v>3118</v>
      </c>
      <c r="P79" s="1897">
        <f>'Part I-Project Information'!P55</f>
        <v>0</v>
      </c>
      <c r="Q79" s="1857"/>
      <c r="Z79" s="1857">
        <v>55</v>
      </c>
    </row>
    <row r="80" spans="1:26" s="1856" customFormat="1">
      <c r="A80" s="1857"/>
      <c r="B80" s="1857"/>
      <c r="C80" s="1900" t="s">
        <v>336</v>
      </c>
      <c r="H80" s="1897">
        <f>'Part I-Project Information'!H56</f>
        <v>0</v>
      </c>
      <c r="K80" s="1900" t="s">
        <v>350</v>
      </c>
      <c r="P80" s="1897">
        <f>'Part I-Project Information'!P56</f>
        <v>0</v>
      </c>
      <c r="Z80" s="1868">
        <v>56</v>
      </c>
    </row>
    <row r="81" spans="1:26" s="1856" customFormat="1" ht="13.35" customHeight="1">
      <c r="B81" s="1857"/>
      <c r="C81" s="1858" t="s">
        <v>335</v>
      </c>
      <c r="H81" s="1897">
        <f>'Part I-Project Information'!H57</f>
        <v>0</v>
      </c>
      <c r="I81" s="1901" t="s">
        <v>2698</v>
      </c>
      <c r="K81" s="1856" t="s">
        <v>337</v>
      </c>
      <c r="P81" s="1879">
        <f>'Part I-Project Information'!P57</f>
        <v>0</v>
      </c>
      <c r="Q81" s="1857"/>
      <c r="Z81" s="1868">
        <v>57</v>
      </c>
    </row>
    <row r="82" spans="1:26" s="1856" customFormat="1" ht="3.6" customHeight="1">
      <c r="A82" s="1857"/>
      <c r="Z82" s="1857">
        <v>58</v>
      </c>
    </row>
    <row r="83" spans="1:26" s="1856" customFormat="1">
      <c r="A83" s="1857"/>
      <c r="B83" s="1857" t="s">
        <v>1896</v>
      </c>
      <c r="C83" s="1856" t="s">
        <v>2194</v>
      </c>
      <c r="H83" s="1879" t="str">
        <f>'Part I-Project Information'!H59</f>
        <v>No</v>
      </c>
      <c r="O83" s="1892"/>
      <c r="P83" s="1864"/>
      <c r="Z83" s="1857">
        <v>59</v>
      </c>
    </row>
    <row r="84" spans="1:26" s="1856" customFormat="1" ht="3" customHeight="1">
      <c r="A84" s="1857"/>
      <c r="J84" s="1864"/>
      <c r="K84" s="1902"/>
      <c r="L84" s="1864"/>
      <c r="M84" s="1902"/>
      <c r="N84" s="1902"/>
      <c r="O84" s="1902"/>
      <c r="P84" s="1902"/>
      <c r="Z84" s="1857">
        <v>60</v>
      </c>
    </row>
    <row r="85" spans="1:26" s="1856" customFormat="1" ht="13.35" customHeight="1">
      <c r="A85" s="1857"/>
      <c r="B85" s="1860" t="s">
        <v>719</v>
      </c>
      <c r="C85" s="1856" t="s">
        <v>2174</v>
      </c>
      <c r="I85" s="1883" t="s">
        <v>3257</v>
      </c>
      <c r="J85" s="1860" t="s">
        <v>2022</v>
      </c>
      <c r="K85" s="1865" t="s">
        <v>2199</v>
      </c>
      <c r="P85" s="1857"/>
      <c r="Q85" s="1857"/>
      <c r="R85" s="1857"/>
      <c r="Z85" s="1857">
        <v>61</v>
      </c>
    </row>
    <row r="86" spans="1:26" s="1856" customFormat="1" ht="13.35" customHeight="1">
      <c r="A86" s="1857"/>
      <c r="B86" s="1903"/>
      <c r="C86" s="1865" t="s">
        <v>2175</v>
      </c>
      <c r="H86" s="1897">
        <f>'Part I-Project Information'!H62</f>
        <v>48</v>
      </c>
      <c r="I86" s="1904">
        <f>'Part VI-Revenues &amp; Expenses'!$P$100</f>
        <v>0</v>
      </c>
      <c r="J86" s="1857"/>
      <c r="K86" s="1865" t="s">
        <v>2601</v>
      </c>
      <c r="P86" s="1897">
        <f>'Part I-Project Information'!P62</f>
        <v>51564</v>
      </c>
      <c r="Z86" s="1857">
        <v>62</v>
      </c>
    </row>
    <row r="87" spans="1:26" s="1856" customFormat="1" ht="13.35" customHeight="1">
      <c r="A87" s="1857"/>
      <c r="C87" s="1865" t="s">
        <v>242</v>
      </c>
      <c r="H87" s="1897">
        <f>'Part I-Project Information'!H63</f>
        <v>0</v>
      </c>
      <c r="J87" s="1857"/>
      <c r="K87" s="1865" t="s">
        <v>2602</v>
      </c>
      <c r="P87" s="1897">
        <f>'Part I-Project Information'!P63</f>
        <v>0</v>
      </c>
      <c r="Z87" s="1857">
        <v>63</v>
      </c>
    </row>
    <row r="88" spans="1:26" s="1856" customFormat="1" ht="13.35" customHeight="1">
      <c r="A88" s="1857"/>
      <c r="C88" s="1865" t="s">
        <v>2298</v>
      </c>
      <c r="H88" s="1897">
        <f>'Part I-Project Information'!H64</f>
        <v>48</v>
      </c>
      <c r="J88" s="1857"/>
      <c r="K88" s="1865" t="s">
        <v>2603</v>
      </c>
      <c r="P88" s="1897">
        <f>'Part I-Project Information'!P64</f>
        <v>51564</v>
      </c>
      <c r="Z88" s="1857">
        <v>64</v>
      </c>
    </row>
    <row r="89" spans="1:26" s="1856" customFormat="1" ht="13.35" customHeight="1">
      <c r="A89" s="1857"/>
      <c r="C89" s="1865" t="s">
        <v>2299</v>
      </c>
      <c r="H89" s="1897">
        <f>'Part I-Project Information'!H65</f>
        <v>0</v>
      </c>
      <c r="J89" s="1857"/>
      <c r="K89" s="1865" t="s">
        <v>2604</v>
      </c>
      <c r="P89" s="1897">
        <f>'Part I-Project Information'!P65</f>
        <v>0</v>
      </c>
      <c r="Z89" s="1857">
        <v>65</v>
      </c>
    </row>
    <row r="90" spans="1:26" s="1856" customFormat="1" ht="13.35" customHeight="1">
      <c r="A90" s="1857"/>
      <c r="C90" s="1865" t="s">
        <v>1712</v>
      </c>
      <c r="H90" s="1897">
        <f>'Part I-Project Information'!H66</f>
        <v>48</v>
      </c>
      <c r="K90" s="1865" t="s">
        <v>1369</v>
      </c>
      <c r="P90" s="1897">
        <f>'Part I-Project Information'!P66</f>
        <v>51564</v>
      </c>
      <c r="Z90" s="1868">
        <v>66</v>
      </c>
    </row>
    <row r="91" spans="1:26" s="1856" customFormat="1" ht="3" customHeight="1">
      <c r="A91" s="1857"/>
      <c r="I91" s="1857"/>
      <c r="L91" s="1857"/>
      <c r="M91" s="1857"/>
      <c r="P91" s="1880"/>
      <c r="Z91" s="1857">
        <v>67</v>
      </c>
    </row>
    <row r="92" spans="1:26" s="1856" customFormat="1" ht="11.25" customHeight="1">
      <c r="A92" s="1857"/>
      <c r="H92" s="1857" t="s">
        <v>3443</v>
      </c>
      <c r="I92" s="1857" t="s">
        <v>2544</v>
      </c>
      <c r="L92" s="1857"/>
      <c r="M92" s="1857"/>
      <c r="P92" s="1880"/>
      <c r="Z92" s="1857">
        <v>68</v>
      </c>
    </row>
    <row r="93" spans="1:26" s="1856" customFormat="1" ht="13.35" customHeight="1">
      <c r="A93" s="1857"/>
      <c r="B93" s="1857" t="s">
        <v>1656</v>
      </c>
      <c r="C93" s="1856" t="s">
        <v>2195</v>
      </c>
      <c r="D93" s="1865" t="s">
        <v>1907</v>
      </c>
      <c r="H93" s="1879">
        <f>'Part I-Project Information'!H69</f>
        <v>3</v>
      </c>
      <c r="I93" s="1879">
        <f>'Part I-Project Information'!I69</f>
        <v>0</v>
      </c>
      <c r="K93" s="1865" t="s">
        <v>7107</v>
      </c>
      <c r="P93" s="1879">
        <f>'Part I-Project Information'!P69</f>
        <v>1500</v>
      </c>
      <c r="Z93" s="1857">
        <v>69</v>
      </c>
    </row>
    <row r="94" spans="1:26" s="1856" customFormat="1" ht="13.35" customHeight="1">
      <c r="A94" s="1857"/>
      <c r="B94" s="1857"/>
      <c r="D94" s="1903" t="s">
        <v>1908</v>
      </c>
      <c r="H94" s="1879">
        <f>'Part I-Project Information'!H70</f>
        <v>1</v>
      </c>
      <c r="I94" s="1879">
        <f>'Part I-Project Information'!I70</f>
        <v>0</v>
      </c>
      <c r="K94" s="1865" t="s">
        <v>241</v>
      </c>
      <c r="P94" s="1904">
        <f>+P90+P93</f>
        <v>53064</v>
      </c>
      <c r="Z94" s="1857">
        <v>70</v>
      </c>
    </row>
    <row r="95" spans="1:26" s="1856" customFormat="1" ht="13.35" customHeight="1">
      <c r="A95" s="1857"/>
      <c r="B95" s="1857"/>
      <c r="D95" s="1903" t="s">
        <v>1909</v>
      </c>
      <c r="H95" s="1904">
        <f>+H93+H94</f>
        <v>4</v>
      </c>
      <c r="I95" s="1904">
        <f>+I93+I94</f>
        <v>0</v>
      </c>
      <c r="Z95" s="1857">
        <v>71</v>
      </c>
    </row>
    <row r="96" spans="1:26" s="1856" customFormat="1" ht="3" customHeight="1">
      <c r="A96" s="1857"/>
      <c r="B96" s="1857"/>
      <c r="G96" s="1857"/>
      <c r="I96" s="1865"/>
      <c r="P96" s="1880"/>
      <c r="Z96" s="1857">
        <v>72</v>
      </c>
    </row>
    <row r="97" spans="1:26" s="1856" customFormat="1" ht="13.35" customHeight="1">
      <c r="A97" s="1857"/>
      <c r="B97" s="1857" t="s">
        <v>1657</v>
      </c>
      <c r="C97" s="1856" t="s">
        <v>2637</v>
      </c>
      <c r="H97" s="1879">
        <f>'Part I-Project Information'!H73</f>
        <v>93</v>
      </c>
      <c r="K97" s="1905" t="s">
        <v>6779</v>
      </c>
      <c r="L97" s="1905"/>
      <c r="M97" s="1905"/>
      <c r="N97" s="1905"/>
      <c r="O97" s="1905"/>
      <c r="P97" s="1905"/>
      <c r="Z97" s="1857">
        <v>73</v>
      </c>
    </row>
    <row r="98" spans="1:26" s="1856" customFormat="1" ht="6" customHeight="1">
      <c r="A98" s="1857"/>
      <c r="B98" s="1857"/>
      <c r="C98" s="1865"/>
      <c r="G98" s="1857"/>
      <c r="I98" s="1865"/>
      <c r="J98" s="1865"/>
      <c r="K98" s="1905"/>
      <c r="L98" s="1905"/>
      <c r="M98" s="1905"/>
      <c r="N98" s="1905"/>
      <c r="O98" s="1905"/>
      <c r="P98" s="1905"/>
      <c r="Z98" s="1857">
        <v>74</v>
      </c>
    </row>
    <row r="99" spans="1:26" s="1856" customFormat="1" ht="13.35" customHeight="1">
      <c r="A99" s="1857" t="s">
        <v>505</v>
      </c>
      <c r="B99" s="1865" t="s">
        <v>1146</v>
      </c>
      <c r="D99" s="1865"/>
      <c r="E99" s="1865"/>
      <c r="G99" s="1857"/>
      <c r="K99" s="1905"/>
      <c r="L99" s="1905"/>
      <c r="M99" s="1905"/>
      <c r="N99" s="1905"/>
      <c r="O99" s="1905"/>
      <c r="P99" s="1905"/>
      <c r="Z99" s="1868">
        <v>75</v>
      </c>
    </row>
    <row r="100" spans="1:26" s="1856" customFormat="1" ht="3" customHeight="1">
      <c r="A100" s="1857"/>
      <c r="C100" s="1903"/>
      <c r="D100" s="1903"/>
      <c r="E100" s="1903"/>
      <c r="G100" s="1857"/>
      <c r="P100" s="1880"/>
      <c r="Z100" s="1857">
        <v>76</v>
      </c>
    </row>
    <row r="101" spans="1:26" s="1856" customFormat="1" ht="13.35" customHeight="1">
      <c r="A101" s="1857"/>
      <c r="B101" s="1857" t="s">
        <v>1894</v>
      </c>
      <c r="C101" s="1858" t="s">
        <v>7108</v>
      </c>
      <c r="D101" s="1903"/>
      <c r="E101" s="1906" t="s">
        <v>6605</v>
      </c>
      <c r="G101" s="1857"/>
      <c r="H101" s="1863" t="str">
        <f>'Part I-Project Information'!H77</f>
        <v>Family</v>
      </c>
      <c r="I101" s="1863"/>
      <c r="J101" s="1863"/>
      <c r="K101" s="1856" t="s">
        <v>1692</v>
      </c>
      <c r="M101" s="1863">
        <f>'Part I-Project Information'!M77</f>
        <v>0</v>
      </c>
      <c r="N101" s="1863"/>
      <c r="O101" s="1863"/>
      <c r="P101" s="1863"/>
      <c r="Z101" s="1857">
        <v>77</v>
      </c>
    </row>
    <row r="102" spans="1:26" s="1856" customFormat="1" ht="3" customHeight="1">
      <c r="A102" s="1857"/>
      <c r="B102" s="1857"/>
      <c r="D102" s="1903"/>
      <c r="E102" s="1903"/>
      <c r="F102" s="1903"/>
      <c r="G102" s="1903"/>
      <c r="I102" s="1857"/>
      <c r="K102" s="1858"/>
      <c r="L102" s="1858"/>
      <c r="M102" s="1857"/>
      <c r="P102" s="1880"/>
      <c r="Z102" s="1857">
        <v>78</v>
      </c>
    </row>
    <row r="103" spans="1:26" s="1856" customFormat="1" ht="12.75" customHeight="1">
      <c r="A103" s="1857"/>
      <c r="B103" s="1857"/>
      <c r="E103" s="1864" t="s">
        <v>6606</v>
      </c>
      <c r="K103" s="1907" t="s">
        <v>4027</v>
      </c>
      <c r="L103" s="1908" t="s">
        <v>2699</v>
      </c>
      <c r="M103" s="1879">
        <f>'Part I-Project Information'!M79</f>
        <v>48</v>
      </c>
      <c r="N103" s="1908" t="s">
        <v>2700</v>
      </c>
      <c r="O103" s="1879">
        <f>'Part I-Project Information'!O79</f>
        <v>0</v>
      </c>
      <c r="P103" s="1858" t="s">
        <v>4026</v>
      </c>
      <c r="Z103" s="1857">
        <v>79</v>
      </c>
    </row>
    <row r="104" spans="1:26" s="1856" customFormat="1">
      <c r="A104" s="1857"/>
      <c r="B104" s="1857"/>
      <c r="D104" s="1858"/>
      <c r="E104" s="1903"/>
      <c r="J104" s="1907"/>
      <c r="K104" s="1907"/>
      <c r="L104" s="1860" t="s">
        <v>2701</v>
      </c>
      <c r="M104" s="1879">
        <f>'Part I-Project Information'!M80</f>
        <v>0</v>
      </c>
      <c r="N104" s="1860" t="s">
        <v>3433</v>
      </c>
      <c r="O104" s="1879">
        <f>'Part I-Project Information'!O80</f>
        <v>0</v>
      </c>
      <c r="P104" s="1879">
        <f>'Part I-Project Information'!P80</f>
        <v>0</v>
      </c>
      <c r="Z104" s="1857">
        <v>80</v>
      </c>
    </row>
    <row r="105" spans="1:26" s="1856" customFormat="1" ht="9" customHeight="1">
      <c r="A105" s="1857"/>
      <c r="B105" s="1857"/>
      <c r="D105" s="1903"/>
      <c r="E105" s="1903"/>
      <c r="F105" s="1903"/>
      <c r="G105" s="1903"/>
      <c r="I105" s="1857"/>
      <c r="K105" s="1858"/>
      <c r="L105" s="1858"/>
      <c r="M105" s="1857"/>
      <c r="P105" s="1880"/>
      <c r="Z105" s="1857">
        <v>81</v>
      </c>
    </row>
    <row r="106" spans="1:26" s="1856" customFormat="1" ht="13.35" customHeight="1">
      <c r="A106" s="1857"/>
      <c r="B106" s="1857"/>
      <c r="C106" s="1858" t="s">
        <v>7109</v>
      </c>
      <c r="D106" s="1903"/>
      <c r="E106" s="1906" t="s">
        <v>6608</v>
      </c>
      <c r="G106" s="1857"/>
      <c r="H106" s="1863" t="str">
        <f>'Part I-Project Information'!H82</f>
        <v>&lt;&lt; Select CURRENT Tenancy &gt;&gt;</v>
      </c>
      <c r="I106" s="1863"/>
      <c r="J106" s="1863"/>
      <c r="K106" s="1856" t="s">
        <v>1692</v>
      </c>
      <c r="M106" s="1863">
        <f>'Part I-Project Information'!M82</f>
        <v>0</v>
      </c>
      <c r="N106" s="1863"/>
      <c r="O106" s="1863"/>
      <c r="P106" s="1863"/>
      <c r="Z106" s="1857">
        <v>82</v>
      </c>
    </row>
    <row r="107" spans="1:26" s="1856" customFormat="1" ht="3" customHeight="1">
      <c r="A107" s="1857"/>
      <c r="B107" s="1857"/>
      <c r="D107" s="1903"/>
      <c r="E107" s="1903"/>
      <c r="F107" s="1903"/>
      <c r="G107" s="1903"/>
      <c r="I107" s="1857"/>
      <c r="K107" s="1858"/>
      <c r="L107" s="1858"/>
      <c r="M107" s="1857"/>
      <c r="P107" s="1880"/>
      <c r="Z107" s="1857">
        <v>83</v>
      </c>
    </row>
    <row r="108" spans="1:26" s="1856" customFormat="1" ht="12.75" customHeight="1">
      <c r="A108" s="1857"/>
      <c r="B108" s="1857"/>
      <c r="E108" s="1903"/>
      <c r="K108" s="1907" t="s">
        <v>4027</v>
      </c>
      <c r="L108" s="1908" t="s">
        <v>2699</v>
      </c>
      <c r="M108" s="1879">
        <f>'Part I-Project Information'!M84</f>
        <v>0</v>
      </c>
      <c r="N108" s="1908" t="s">
        <v>2700</v>
      </c>
      <c r="O108" s="1879">
        <f>'Part I-Project Information'!O84</f>
        <v>0</v>
      </c>
      <c r="P108" s="1858" t="s">
        <v>4026</v>
      </c>
      <c r="Z108" s="1868">
        <v>84</v>
      </c>
    </row>
    <row r="109" spans="1:26" s="1856" customFormat="1">
      <c r="A109" s="1857"/>
      <c r="B109" s="1857"/>
      <c r="D109" s="1858"/>
      <c r="E109" s="1903"/>
      <c r="J109" s="1907"/>
      <c r="K109" s="1907"/>
      <c r="L109" s="1860" t="s">
        <v>2701</v>
      </c>
      <c r="M109" s="1879">
        <f>'Part I-Project Information'!M85</f>
        <v>0</v>
      </c>
      <c r="N109" s="1860" t="s">
        <v>3433</v>
      </c>
      <c r="O109" s="1879">
        <f>'Part I-Project Information'!O85</f>
        <v>0</v>
      </c>
      <c r="P109" s="1879">
        <f>'Part I-Project Information'!P85</f>
        <v>0</v>
      </c>
      <c r="Z109" s="1868">
        <v>85</v>
      </c>
    </row>
    <row r="110" spans="1:26" s="1856" customFormat="1" ht="9" customHeight="1">
      <c r="A110" s="1857"/>
      <c r="B110" s="1857"/>
      <c r="D110" s="1903"/>
      <c r="E110" s="1903"/>
      <c r="F110" s="1903"/>
      <c r="G110" s="1903"/>
      <c r="I110" s="1857"/>
      <c r="K110" s="1858"/>
      <c r="L110" s="1858"/>
      <c r="M110" s="1857"/>
      <c r="P110" s="1880"/>
      <c r="Z110" s="1857">
        <v>86</v>
      </c>
    </row>
    <row r="111" spans="1:26" s="1856" customFormat="1">
      <c r="A111" s="1857"/>
      <c r="B111" s="1857" t="s">
        <v>1896</v>
      </c>
      <c r="C111" s="1856" t="s">
        <v>1361</v>
      </c>
      <c r="E111" s="1865"/>
      <c r="F111" s="1903" t="s">
        <v>764</v>
      </c>
      <c r="H111" s="1897">
        <f>'Part I-Project Information'!H87</f>
        <v>3</v>
      </c>
      <c r="K111" s="1856" t="s">
        <v>495</v>
      </c>
      <c r="N111" s="1909">
        <f>'Part I-Project Information'!N87</f>
        <v>6.25E-2</v>
      </c>
      <c r="O111" s="1860" t="s">
        <v>3331</v>
      </c>
      <c r="P111" s="1910">
        <f>'DCA Underwriting Assumptions'!$Q$155</f>
        <v>0.05</v>
      </c>
      <c r="Z111" s="1857">
        <v>87</v>
      </c>
    </row>
    <row r="112" spans="1:26" s="1856" customFormat="1">
      <c r="A112" s="1857"/>
      <c r="B112" s="1857"/>
      <c r="D112" s="1903" t="s">
        <v>2635</v>
      </c>
      <c r="E112" s="1903"/>
      <c r="F112" s="1903" t="s">
        <v>764</v>
      </c>
      <c r="H112" s="1897">
        <f>'Part I-Project Information'!H88</f>
        <v>3</v>
      </c>
      <c r="K112" s="1856" t="s">
        <v>2636</v>
      </c>
      <c r="N112" s="1909">
        <f>'Part I-Project Information'!N88</f>
        <v>1</v>
      </c>
      <c r="O112" s="1860" t="s">
        <v>3331</v>
      </c>
      <c r="P112" s="1910">
        <f>'DCA Underwriting Assumptions'!$Q$156</f>
        <v>0.4</v>
      </c>
      <c r="Z112" s="1857">
        <v>88</v>
      </c>
    </row>
    <row r="113" spans="1:26" s="1856" customFormat="1" ht="9" customHeight="1">
      <c r="A113" s="1857"/>
      <c r="B113" s="1857"/>
      <c r="D113" s="1903"/>
      <c r="E113" s="1903"/>
      <c r="F113" s="1903"/>
      <c r="I113" s="1857"/>
      <c r="K113" s="1858"/>
      <c r="L113" s="1858"/>
      <c r="M113" s="1857"/>
      <c r="N113" s="1857"/>
      <c r="P113" s="1857"/>
      <c r="Z113" s="1857">
        <v>89</v>
      </c>
    </row>
    <row r="114" spans="1:26" s="1856" customFormat="1">
      <c r="A114" s="1857"/>
      <c r="B114" s="1857" t="s">
        <v>719</v>
      </c>
      <c r="C114" s="1856" t="s">
        <v>1760</v>
      </c>
      <c r="D114" s="1865"/>
      <c r="E114" s="1865"/>
      <c r="F114" s="1903" t="s">
        <v>764</v>
      </c>
      <c r="H114" s="1897">
        <f>'Part I-Project Information'!H90</f>
        <v>1</v>
      </c>
      <c r="K114" s="1856" t="s">
        <v>495</v>
      </c>
      <c r="N114" s="1909">
        <f>'Part I-Project Information'!N90</f>
        <v>2.0833333333333332E-2</v>
      </c>
      <c r="O114" s="1860" t="s">
        <v>3331</v>
      </c>
      <c r="P114" s="1910">
        <f>'DCA Underwriting Assumptions'!$Q$157</f>
        <v>0.02</v>
      </c>
      <c r="Z114" s="1857">
        <v>90</v>
      </c>
    </row>
    <row r="115" spans="1:26" s="1856" customFormat="1">
      <c r="A115" s="1857"/>
      <c r="B115" s="1857"/>
      <c r="D115" s="1903"/>
      <c r="E115" s="1903"/>
      <c r="F115" s="1903"/>
      <c r="G115" s="1903"/>
      <c r="I115" s="1857"/>
      <c r="J115" s="1857"/>
      <c r="K115" s="1857"/>
      <c r="L115" s="1857"/>
      <c r="M115" s="1857"/>
      <c r="P115" s="1880"/>
      <c r="Z115" s="1857">
        <v>91</v>
      </c>
    </row>
    <row r="116" spans="1:26" s="1856" customFormat="1" ht="13.35" customHeight="1">
      <c r="A116" s="1865" t="s">
        <v>742</v>
      </c>
      <c r="B116" s="1903" t="s">
        <v>3992</v>
      </c>
      <c r="D116" s="1903"/>
      <c r="E116" s="1903"/>
      <c r="F116" s="1903"/>
      <c r="G116" s="1903"/>
      <c r="H116" s="1903"/>
      <c r="I116" s="1857"/>
      <c r="M116" s="1857"/>
      <c r="P116" s="1880"/>
      <c r="Z116" s="1857">
        <v>92</v>
      </c>
    </row>
    <row r="117" spans="1:26" s="1856" customFormat="1" ht="1.5" customHeight="1">
      <c r="A117" s="1857"/>
      <c r="B117" s="1857"/>
      <c r="C117" s="1903"/>
      <c r="D117" s="1903"/>
      <c r="E117" s="1903"/>
      <c r="F117" s="1903"/>
      <c r="L117" s="1857"/>
      <c r="M117" s="1857"/>
      <c r="Z117" s="1857">
        <v>93</v>
      </c>
    </row>
    <row r="118" spans="1:26" s="1856" customFormat="1" ht="13.35" customHeight="1">
      <c r="A118" s="1857"/>
      <c r="B118" s="1857" t="s">
        <v>1894</v>
      </c>
      <c r="C118" s="1858" t="s">
        <v>2272</v>
      </c>
      <c r="D118" s="1903"/>
      <c r="F118" s="1858"/>
      <c r="K118" s="1863" t="str">
        <f>'Part I-Project Information'!K94</f>
        <v>Income Averaging</v>
      </c>
      <c r="L118" s="1863"/>
      <c r="M118" s="1863"/>
      <c r="Z118" s="1868">
        <v>94</v>
      </c>
    </row>
    <row r="119" spans="1:26" s="1856" customFormat="1" ht="1.5" customHeight="1">
      <c r="A119" s="1857"/>
      <c r="B119" s="1857"/>
      <c r="D119" s="1903"/>
      <c r="F119" s="1903"/>
      <c r="G119" s="1903"/>
      <c r="H119" s="1901" t="s">
        <v>4099</v>
      </c>
      <c r="L119" s="1857"/>
      <c r="M119" s="1857"/>
      <c r="Z119" s="1857">
        <v>95</v>
      </c>
    </row>
    <row r="120" spans="1:26" s="1856" customFormat="1" ht="13.35" customHeight="1">
      <c r="B120" s="1857" t="s">
        <v>1896</v>
      </c>
      <c r="C120" s="1856" t="s">
        <v>1473</v>
      </c>
      <c r="K120" s="1858" t="s">
        <v>4013</v>
      </c>
      <c r="N120" s="1911"/>
      <c r="P120" s="1879" t="str">
        <f>'Part I-Project Information'!P96</f>
        <v>N/a</v>
      </c>
      <c r="Z120" s="1857">
        <v>96</v>
      </c>
    </row>
    <row r="121" spans="1:26" s="1856" customFormat="1" ht="4.5" customHeight="1">
      <c r="A121" s="1857"/>
      <c r="B121" s="1857"/>
      <c r="D121" s="1903"/>
      <c r="E121" s="1903"/>
      <c r="F121" s="1903"/>
      <c r="G121" s="1903"/>
      <c r="I121" s="1857"/>
      <c r="J121" s="1857"/>
      <c r="K121" s="1857"/>
      <c r="L121" s="1857"/>
      <c r="M121" s="1857"/>
      <c r="P121" s="1880"/>
      <c r="Z121" s="1857">
        <v>97</v>
      </c>
    </row>
    <row r="122" spans="1:26" s="1856" customFormat="1" ht="13.35" customHeight="1">
      <c r="A122" s="1865" t="s">
        <v>281</v>
      </c>
      <c r="B122" s="1903" t="s">
        <v>1950</v>
      </c>
      <c r="D122" s="1903"/>
      <c r="Z122" s="1857">
        <v>98</v>
      </c>
    </row>
    <row r="123" spans="1:26" s="1856" customFormat="1" ht="1.5" customHeight="1">
      <c r="A123" s="1857"/>
      <c r="B123" s="1857"/>
      <c r="D123" s="1903"/>
      <c r="P123" s="1880"/>
      <c r="Z123" s="1857">
        <v>99</v>
      </c>
    </row>
    <row r="124" spans="1:26" s="1856" customFormat="1" ht="13.35" customHeight="1">
      <c r="A124" s="1865"/>
      <c r="B124" s="1857" t="s">
        <v>1894</v>
      </c>
      <c r="C124" s="1856" t="s">
        <v>2557</v>
      </c>
      <c r="F124" s="1865" t="s">
        <v>2481</v>
      </c>
      <c r="H124" s="1879" t="str">
        <f>'Part I-Project Information'!H100</f>
        <v>Yes</v>
      </c>
      <c r="K124" s="1858" t="s">
        <v>932</v>
      </c>
      <c r="M124" s="1879" t="str">
        <f>'Part I-Project Information'!M100</f>
        <v>No</v>
      </c>
      <c r="O124" s="1860" t="s">
        <v>3932</v>
      </c>
      <c r="P124" s="1879" t="str">
        <f>'Part I-Project Information'!P100</f>
        <v>No</v>
      </c>
      <c r="Z124" s="1857">
        <v>100</v>
      </c>
    </row>
    <row r="125" spans="1:26" s="1856" customFormat="1" ht="13.35" customHeight="1">
      <c r="A125" s="1865"/>
      <c r="B125" s="1857"/>
      <c r="F125" s="1903" t="s">
        <v>3448</v>
      </c>
      <c r="H125" s="1879" t="str">
        <f>'Part I-Project Information'!H101</f>
        <v>Yes</v>
      </c>
      <c r="K125" s="1858" t="s">
        <v>6318</v>
      </c>
      <c r="P125" s="1879" t="str">
        <f>'Part I-Project Information'!P101</f>
        <v>No</v>
      </c>
      <c r="Z125" s="1857">
        <v>101</v>
      </c>
    </row>
    <row r="126" spans="1:26" s="1856" customFormat="1" ht="2.25" customHeight="1">
      <c r="A126" s="1857"/>
      <c r="B126" s="1857"/>
      <c r="C126" s="1903"/>
      <c r="F126" s="1903"/>
      <c r="H126" s="1903"/>
      <c r="J126" s="1857"/>
      <c r="K126" s="1857"/>
      <c r="L126" s="1857"/>
      <c r="M126" s="1857"/>
      <c r="N126" s="1857"/>
      <c r="P126" s="1880"/>
      <c r="Z126" s="1857">
        <v>102</v>
      </c>
    </row>
    <row r="127" spans="1:26" s="1856" customFormat="1" ht="13.35" customHeight="1">
      <c r="A127" s="1865"/>
      <c r="B127" s="1857" t="s">
        <v>1896</v>
      </c>
      <c r="C127" s="1856" t="s">
        <v>2558</v>
      </c>
      <c r="F127" s="1858" t="s">
        <v>2534</v>
      </c>
      <c r="H127" s="1879" t="str">
        <f>'Part I-Project Information'!H103</f>
        <v>No</v>
      </c>
      <c r="J127" s="1857"/>
      <c r="K127" s="1912"/>
      <c r="L127" s="1857"/>
      <c r="Z127" s="1868">
        <v>103</v>
      </c>
    </row>
    <row r="128" spans="1:26" s="1856" customFormat="1" ht="4.5" customHeight="1">
      <c r="A128" s="1857"/>
      <c r="B128" s="1857"/>
      <c r="D128" s="1903"/>
      <c r="E128" s="1903"/>
      <c r="F128" s="1903"/>
      <c r="G128" s="1903"/>
      <c r="I128" s="1857"/>
      <c r="J128" s="1857"/>
      <c r="K128" s="1857"/>
      <c r="L128" s="1857"/>
      <c r="M128" s="1857"/>
      <c r="P128" s="1880"/>
      <c r="Z128" s="1857">
        <v>104</v>
      </c>
    </row>
    <row r="129" spans="1:26" s="1856" customFormat="1" ht="13.35" customHeight="1">
      <c r="A129" s="1865" t="s">
        <v>407</v>
      </c>
      <c r="B129" s="1903" t="s">
        <v>6317</v>
      </c>
      <c r="D129" s="1903"/>
      <c r="H129" s="1863" t="str">
        <f>'Part I-Project Information'!H105</f>
        <v>Rural</v>
      </c>
      <c r="I129" s="1863"/>
      <c r="J129" s="1857"/>
      <c r="Z129" s="1857">
        <v>105</v>
      </c>
    </row>
    <row r="130" spans="1:26" s="1856" customFormat="1" ht="4.5" customHeight="1">
      <c r="A130" s="1857"/>
      <c r="D130" s="1883"/>
      <c r="I130" s="1883"/>
      <c r="J130" s="1865"/>
      <c r="P130" s="1880"/>
      <c r="Z130" s="1857">
        <v>106</v>
      </c>
    </row>
    <row r="131" spans="1:26" s="1856" customFormat="1" ht="13.35" customHeight="1">
      <c r="A131" s="1865" t="s">
        <v>346</v>
      </c>
      <c r="B131" s="1865" t="s">
        <v>1144</v>
      </c>
      <c r="I131" s="1883"/>
      <c r="J131" s="1865"/>
      <c r="P131" s="1880"/>
      <c r="Z131" s="1857">
        <v>107</v>
      </c>
    </row>
    <row r="132" spans="1:26" s="1856" customFormat="1" ht="3" customHeight="1">
      <c r="A132" s="1865"/>
      <c r="B132" s="1857"/>
      <c r="C132" s="1865"/>
      <c r="I132" s="1883"/>
      <c r="J132" s="1865"/>
      <c r="Z132" s="1857">
        <v>108</v>
      </c>
    </row>
    <row r="133" spans="1:26" s="1856" customFormat="1" ht="13.35" customHeight="1">
      <c r="A133" s="1857"/>
      <c r="B133" s="1857"/>
      <c r="C133" s="1865" t="s">
        <v>525</v>
      </c>
      <c r="E133" s="1863">
        <f>'Part I-Project Information'!E109</f>
        <v>0</v>
      </c>
      <c r="F133" s="1863"/>
      <c r="G133" s="1863"/>
      <c r="H133" s="1863"/>
      <c r="I133" s="1863"/>
      <c r="J133" s="1863"/>
      <c r="K133" s="1863"/>
      <c r="L133" s="1863"/>
      <c r="M133" s="1865" t="s">
        <v>526</v>
      </c>
      <c r="N133" s="1865"/>
      <c r="O133" s="1913">
        <f>'Part I-Project Information'!O109</f>
        <v>0</v>
      </c>
      <c r="P133" s="1913"/>
      <c r="Z133" s="1857">
        <v>109</v>
      </c>
    </row>
    <row r="134" spans="1:26" s="1856" customFormat="1" ht="13.35" customHeight="1">
      <c r="C134" s="1858" t="s">
        <v>982</v>
      </c>
      <c r="D134" s="1860"/>
      <c r="E134" s="1863">
        <f>'Part I-Project Information'!E110</f>
        <v>0</v>
      </c>
      <c r="F134" s="1863"/>
      <c r="G134" s="1863"/>
      <c r="H134" s="1863"/>
      <c r="I134" s="1863"/>
      <c r="J134" s="1863"/>
      <c r="K134" s="1863"/>
      <c r="L134" s="1863"/>
      <c r="M134" s="1865" t="s">
        <v>775</v>
      </c>
      <c r="N134" s="1865"/>
      <c r="O134" s="1872">
        <f>'Part I-Project Information'!O110</f>
        <v>0</v>
      </c>
      <c r="P134" s="1872"/>
      <c r="Z134" s="1857">
        <v>110</v>
      </c>
    </row>
    <row r="135" spans="1:26" s="1856" customFormat="1" ht="13.35" customHeight="1">
      <c r="C135" s="1858" t="s">
        <v>588</v>
      </c>
      <c r="E135" s="1863">
        <f>'Part I-Project Information'!E111</f>
        <v>0</v>
      </c>
      <c r="F135" s="1914"/>
      <c r="G135" s="1914"/>
      <c r="H135" s="1857" t="s">
        <v>1717</v>
      </c>
      <c r="I135" s="1888">
        <f>'Part I-Project Information'!I111</f>
        <v>0</v>
      </c>
      <c r="J135" s="1857" t="s">
        <v>2129</v>
      </c>
      <c r="K135" s="1877">
        <f>'Part I-Project Information'!K111</f>
        <v>0</v>
      </c>
      <c r="L135" s="1914"/>
      <c r="M135" s="1865" t="s">
        <v>3307</v>
      </c>
      <c r="N135" s="1865"/>
      <c r="O135" s="1915">
        <f>-'Part I-Project Information'!O111</f>
        <v>0</v>
      </c>
      <c r="P135" s="1915"/>
      <c r="Z135" s="1857">
        <v>111</v>
      </c>
    </row>
    <row r="136" spans="1:26" s="1856" customFormat="1" ht="13.35" customHeight="1">
      <c r="C136" s="1856" t="s">
        <v>2100</v>
      </c>
      <c r="E136" s="1863">
        <f>'Part I-Project Information'!E112</f>
        <v>0</v>
      </c>
      <c r="F136" s="1914"/>
      <c r="G136" s="1914"/>
      <c r="H136" s="1857" t="s">
        <v>1891</v>
      </c>
      <c r="I136" s="1863">
        <f>'Part I-Project Information'!I112</f>
        <v>0</v>
      </c>
      <c r="J136" s="1914"/>
      <c r="K136" s="1914"/>
      <c r="L136" s="1857" t="s">
        <v>1895</v>
      </c>
      <c r="M136" s="1863">
        <f>'Part I-Project Information'!M112</f>
        <v>0</v>
      </c>
      <c r="N136" s="1914"/>
      <c r="O136" s="1914"/>
      <c r="P136" s="1914"/>
      <c r="Z136" s="1868">
        <v>112</v>
      </c>
    </row>
    <row r="137" spans="1:26" s="1856" customFormat="1" ht="13.35" customHeight="1">
      <c r="C137" s="1858" t="s">
        <v>2099</v>
      </c>
      <c r="E137" s="1878">
        <f>'Part I-Project Information'!E113</f>
        <v>0</v>
      </c>
      <c r="F137" s="1878"/>
      <c r="G137" s="1878"/>
      <c r="H137" s="1857" t="s">
        <v>1719</v>
      </c>
      <c r="I137" s="1878">
        <f>'Part I-Project Information'!I113</f>
        <v>0</v>
      </c>
      <c r="J137" s="1914"/>
      <c r="K137" s="1857" t="s">
        <v>2554</v>
      </c>
      <c r="L137" s="1872">
        <f>'Part I-Project Information'!L113</f>
        <v>0</v>
      </c>
      <c r="M137" s="1872"/>
      <c r="N137" s="1872"/>
      <c r="O137" s="1872"/>
      <c r="P137" s="1872"/>
      <c r="Z137" s="1868">
        <v>113</v>
      </c>
    </row>
    <row r="138" spans="1:26" s="1856" customFormat="1" ht="3" customHeight="1">
      <c r="A138" s="1857"/>
      <c r="B138" s="1857"/>
      <c r="G138" s="1883"/>
      <c r="H138" s="1857"/>
      <c r="I138" s="1857"/>
      <c r="M138" s="1880"/>
      <c r="Z138" s="1857">
        <v>114</v>
      </c>
    </row>
    <row r="139" spans="1:26" s="1856" customFormat="1" ht="13.35" customHeight="1">
      <c r="A139" s="1865" t="s">
        <v>347</v>
      </c>
      <c r="B139" s="1903" t="s">
        <v>1596</v>
      </c>
      <c r="D139" s="1883"/>
      <c r="E139" s="1883"/>
      <c r="F139" s="1857"/>
      <c r="G139" s="1857"/>
      <c r="H139" s="1857"/>
      <c r="P139" s="1880"/>
      <c r="Z139" s="1857">
        <v>115</v>
      </c>
    </row>
    <row r="140" spans="1:26" s="1856" customFormat="1" ht="1.5" customHeight="1">
      <c r="A140" s="1865"/>
      <c r="B140" s="1903"/>
      <c r="D140" s="1883"/>
      <c r="E140" s="1883"/>
      <c r="F140" s="1857"/>
      <c r="G140" s="1857"/>
      <c r="H140" s="1857"/>
      <c r="I140" s="1857"/>
      <c r="J140" s="1883"/>
      <c r="K140" s="1857"/>
      <c r="L140" s="1857"/>
      <c r="P140" s="1880"/>
      <c r="Z140" s="1857">
        <v>116</v>
      </c>
    </row>
    <row r="141" spans="1:26" s="1856" customFormat="1" ht="13.35" customHeight="1">
      <c r="B141" s="1865" t="s">
        <v>2060</v>
      </c>
      <c r="D141" s="1865"/>
      <c r="E141" s="1865"/>
      <c r="F141" s="1865"/>
      <c r="G141" s="1865"/>
      <c r="H141" s="1865"/>
      <c r="I141" s="1865"/>
      <c r="J141" s="1865"/>
      <c r="K141" s="1865"/>
      <c r="L141" s="1865"/>
      <c r="M141" s="1865"/>
      <c r="N141" s="1865"/>
      <c r="O141" s="1865"/>
      <c r="P141" s="1865"/>
      <c r="Z141" s="1857">
        <v>117</v>
      </c>
    </row>
    <row r="142" spans="1:26" s="1856" customFormat="1" ht="1.5" customHeight="1">
      <c r="A142" s="1857"/>
      <c r="B142" s="1857"/>
      <c r="C142" s="1903"/>
      <c r="D142" s="1903"/>
      <c r="E142" s="1903"/>
      <c r="F142" s="1903"/>
      <c r="G142" s="1903"/>
      <c r="H142" s="1903"/>
      <c r="I142" s="1903"/>
      <c r="J142" s="1903"/>
      <c r="K142" s="1903"/>
      <c r="L142" s="1903"/>
      <c r="M142" s="1903"/>
      <c r="N142" s="1903"/>
      <c r="O142" s="1903"/>
      <c r="P142" s="1903"/>
      <c r="Z142" s="1857">
        <v>118</v>
      </c>
    </row>
    <row r="143" spans="1:26" s="1856" customFormat="1" ht="13.35" customHeight="1">
      <c r="A143" s="1857"/>
      <c r="B143" s="1857" t="s">
        <v>1894</v>
      </c>
      <c r="C143" s="1903" t="s">
        <v>1362</v>
      </c>
      <c r="D143" s="1903"/>
      <c r="E143" s="1903"/>
      <c r="F143" s="1857"/>
      <c r="G143" s="1857"/>
      <c r="H143" s="1879">
        <f>'Part I-Project Information'!H119</f>
        <v>2</v>
      </c>
      <c r="Z143" s="1857">
        <v>119</v>
      </c>
    </row>
    <row r="144" spans="1:26" s="1856" customFormat="1" ht="1.5" customHeight="1">
      <c r="A144" s="1857"/>
      <c r="B144" s="1857"/>
      <c r="C144" s="1903"/>
      <c r="D144" s="1903"/>
      <c r="E144" s="1903"/>
      <c r="F144" s="1903"/>
      <c r="G144" s="1903"/>
      <c r="H144" s="1903"/>
      <c r="J144" s="1903"/>
      <c r="M144" s="1903"/>
      <c r="N144" s="1903"/>
      <c r="O144" s="1903"/>
      <c r="Z144" s="1857">
        <v>120</v>
      </c>
    </row>
    <row r="145" spans="1:26" s="1856" customFormat="1" ht="13.35" customHeight="1">
      <c r="A145" s="1857"/>
      <c r="B145" s="1857" t="s">
        <v>1896</v>
      </c>
      <c r="C145" s="1903" t="s">
        <v>397</v>
      </c>
      <c r="D145" s="1903"/>
      <c r="E145" s="1903"/>
      <c r="F145" s="1857"/>
      <c r="G145" s="1857"/>
      <c r="H145" s="1879">
        <f>'Part I-Project Information'!H121</f>
        <v>1800000</v>
      </c>
      <c r="J145" s="1883"/>
      <c r="K145" s="1858"/>
      <c r="Z145" s="1857">
        <v>121</v>
      </c>
    </row>
    <row r="146" spans="1:26" s="1856" customFormat="1" ht="1.5" customHeight="1">
      <c r="A146" s="1857"/>
      <c r="B146" s="1857"/>
      <c r="C146" s="1903"/>
      <c r="D146" s="1903"/>
      <c r="E146" s="1903"/>
      <c r="F146" s="1903"/>
      <c r="G146" s="1903"/>
      <c r="H146" s="1903"/>
      <c r="I146" s="1903"/>
      <c r="J146" s="1903"/>
      <c r="K146" s="1903"/>
      <c r="M146" s="1903"/>
      <c r="N146" s="1903"/>
      <c r="O146" s="1903"/>
      <c r="P146" s="1903"/>
      <c r="Z146" s="1868">
        <v>122</v>
      </c>
    </row>
    <row r="147" spans="1:26" s="1856" customFormat="1" ht="13.35" customHeight="1">
      <c r="B147" s="1857" t="s">
        <v>719</v>
      </c>
      <c r="C147" s="1903" t="s">
        <v>291</v>
      </c>
      <c r="D147" s="1903"/>
      <c r="E147" s="1903"/>
      <c r="F147" s="1857"/>
      <c r="G147" s="1857"/>
      <c r="H147" s="1857"/>
      <c r="I147" s="1857"/>
      <c r="J147" s="1883"/>
      <c r="K147" s="1857"/>
      <c r="L147" s="1857"/>
      <c r="Z147" s="1857">
        <v>123</v>
      </c>
    </row>
    <row r="148" spans="1:26" s="1856" customFormat="1" ht="13.35" customHeight="1">
      <c r="B148" s="1857"/>
      <c r="C148" s="1903" t="s">
        <v>2042</v>
      </c>
      <c r="D148" s="1903"/>
      <c r="F148" s="1903" t="s">
        <v>1093</v>
      </c>
      <c r="G148" s="1857"/>
      <c r="H148" s="1857"/>
      <c r="I148" s="1857" t="s">
        <v>1246</v>
      </c>
      <c r="J148" s="1903" t="s">
        <v>2042</v>
      </c>
      <c r="K148" s="1903"/>
      <c r="M148" s="1903" t="s">
        <v>1093</v>
      </c>
      <c r="N148" s="1857"/>
      <c r="O148" s="1857"/>
      <c r="P148" s="1857" t="s">
        <v>1246</v>
      </c>
      <c r="Z148" s="1857">
        <v>124</v>
      </c>
    </row>
    <row r="149" spans="1:26" s="1856" customFormat="1" ht="13.35" customHeight="1">
      <c r="A149" s="1857"/>
      <c r="B149" s="1857"/>
      <c r="C149" s="1869" t="str">
        <f>'Part I-Project Information'!C125</f>
        <v>1 The Peaks at Turnberry, LP</v>
      </c>
      <c r="D149" s="1869"/>
      <c r="E149" s="1869"/>
      <c r="F149" s="1869" t="str">
        <f>'Part I-Project Information'!F125</f>
        <v>The Peaks at Turnberry</v>
      </c>
      <c r="G149" s="1869"/>
      <c r="H149" s="1869"/>
      <c r="I149" s="1916" t="str">
        <f>'Part I-Project Information'!I125</f>
        <v>Direct</v>
      </c>
      <c r="J149" s="1869" t="str">
        <f>'Part I-Project Information'!J125</f>
        <v>7 Nat'l Afford Housing Preserve Assoc Inc.</v>
      </c>
      <c r="K149" s="1869"/>
      <c r="L149" s="1869"/>
      <c r="M149" s="1869" t="str">
        <f>'Part I-Project Information'!M125</f>
        <v>The Cove at Camborne</v>
      </c>
      <c r="N149" s="1869"/>
      <c r="O149" s="1869"/>
      <c r="P149" s="1916" t="str">
        <f>'Part I-Project Information'!P125</f>
        <v>Indirect</v>
      </c>
      <c r="Z149" s="1857">
        <v>125</v>
      </c>
    </row>
    <row r="150" spans="1:26" s="1856" customFormat="1" ht="13.35" customHeight="1">
      <c r="A150" s="1857"/>
      <c r="B150" s="1857"/>
      <c r="C150" s="1869" t="str">
        <f>'Part I-Project Information'!C126</f>
        <v>2 NAHPA 2021 GA, Inc.</v>
      </c>
      <c r="D150" s="1869"/>
      <c r="E150" s="1869"/>
      <c r="F150" s="1869" t="str">
        <f>'Part I-Project Information'!F126</f>
        <v>The Peaks at Turnberry</v>
      </c>
      <c r="G150" s="1869"/>
      <c r="H150" s="1869"/>
      <c r="I150" s="1916" t="str">
        <f>'Part I-Project Information'!I126</f>
        <v>Direct</v>
      </c>
      <c r="J150" s="1869" t="str">
        <f>'Part I-Project Information'!J126</f>
        <v>8 NAHPA Development, LLC</v>
      </c>
      <c r="K150" s="1869"/>
      <c r="L150" s="1869"/>
      <c r="M150" s="1869" t="str">
        <f>'Part I-Project Information'!M126</f>
        <v>The Cove at Camborne</v>
      </c>
      <c r="N150" s="1869"/>
      <c r="O150" s="1869"/>
      <c r="P150" s="1916" t="str">
        <f>'Part I-Project Information'!P126</f>
        <v>Indirect</v>
      </c>
      <c r="Z150" s="1857">
        <v>126</v>
      </c>
    </row>
    <row r="151" spans="1:26" s="1856" customFormat="1" ht="13.35" customHeight="1">
      <c r="A151" s="1857"/>
      <c r="B151" s="1857"/>
      <c r="C151" s="1869" t="str">
        <f>'Part I-Project Information'!C127</f>
        <v>3 Nat'l Afford Housing Preserve Assoc Inc.</v>
      </c>
      <c r="D151" s="1869"/>
      <c r="E151" s="1869"/>
      <c r="F151" s="1869" t="str">
        <f>'Part I-Project Information'!F127</f>
        <v>The Peaks at Turnberry</v>
      </c>
      <c r="G151" s="1869"/>
      <c r="H151" s="1869"/>
      <c r="I151" s="1916" t="str">
        <f>'Part I-Project Information'!I127</f>
        <v>Indirect</v>
      </c>
      <c r="J151" s="1869">
        <f>'Part I-Project Information'!J127</f>
        <v>9</v>
      </c>
      <c r="K151" s="1869"/>
      <c r="L151" s="1869"/>
      <c r="M151" s="1869">
        <f>'Part I-Project Information'!M127</f>
        <v>0</v>
      </c>
      <c r="N151" s="1869"/>
      <c r="O151" s="1869"/>
      <c r="P151" s="1916">
        <f>'Part I-Project Information'!P127</f>
        <v>0</v>
      </c>
      <c r="Z151" s="1857">
        <v>127</v>
      </c>
    </row>
    <row r="152" spans="1:26" s="1856" customFormat="1" ht="13.35" customHeight="1">
      <c r="A152" s="1857"/>
      <c r="B152" s="1857"/>
      <c r="C152" s="1869" t="str">
        <f>'Part I-Project Information'!C128</f>
        <v>4 NAHPA Development, LLC</v>
      </c>
      <c r="D152" s="1869"/>
      <c r="E152" s="1869"/>
      <c r="F152" s="1869" t="str">
        <f>'Part I-Project Information'!F128</f>
        <v>The Peaks at Turnberry</v>
      </c>
      <c r="G152" s="1869"/>
      <c r="H152" s="1869"/>
      <c r="I152" s="1916" t="str">
        <f>'Part I-Project Information'!I128</f>
        <v>Indirect</v>
      </c>
      <c r="J152" s="1869">
        <f>'Part I-Project Information'!J128</f>
        <v>10</v>
      </c>
      <c r="K152" s="1869"/>
      <c r="L152" s="1869"/>
      <c r="M152" s="1869">
        <f>'Part I-Project Information'!M128</f>
        <v>0</v>
      </c>
      <c r="N152" s="1869"/>
      <c r="O152" s="1869"/>
      <c r="P152" s="1916">
        <f>'Part I-Project Information'!P128</f>
        <v>0</v>
      </c>
      <c r="Z152" s="1857">
        <v>128</v>
      </c>
    </row>
    <row r="153" spans="1:26" s="1856" customFormat="1" ht="13.35" customHeight="1">
      <c r="A153" s="1857"/>
      <c r="B153" s="1857"/>
      <c r="C153" s="1869" t="str">
        <f>'Part I-Project Information'!C129</f>
        <v>5 The Cove at Camborne, LP</v>
      </c>
      <c r="D153" s="1869"/>
      <c r="E153" s="1869"/>
      <c r="F153" s="1869" t="str">
        <f>'Part I-Project Information'!F129</f>
        <v>The Cove at Camborne</v>
      </c>
      <c r="G153" s="1869"/>
      <c r="H153" s="1869"/>
      <c r="I153" s="1916" t="str">
        <f>'Part I-Project Information'!I129</f>
        <v>Direct</v>
      </c>
      <c r="J153" s="1869">
        <f>'Part I-Project Information'!J129</f>
        <v>11</v>
      </c>
      <c r="K153" s="1869"/>
      <c r="L153" s="1869"/>
      <c r="M153" s="1869">
        <f>'Part I-Project Information'!M129</f>
        <v>0</v>
      </c>
      <c r="N153" s="1869"/>
      <c r="O153" s="1869"/>
      <c r="P153" s="1916">
        <f>'Part I-Project Information'!P129</f>
        <v>0</v>
      </c>
      <c r="Z153" s="1857">
        <v>129</v>
      </c>
    </row>
    <row r="154" spans="1:26" s="1856" customFormat="1" ht="13.35" customHeight="1">
      <c r="A154" s="1857"/>
      <c r="B154" s="1857"/>
      <c r="C154" s="1869" t="str">
        <f>'Part I-Project Information'!C130</f>
        <v>6 NAHPA 2021 GA, Inc.</v>
      </c>
      <c r="D154" s="1869"/>
      <c r="E154" s="1869"/>
      <c r="F154" s="1869" t="str">
        <f>'Part I-Project Information'!F130</f>
        <v>The Cove at Camborne</v>
      </c>
      <c r="G154" s="1869"/>
      <c r="H154" s="1869"/>
      <c r="I154" s="1916" t="str">
        <f>'Part I-Project Information'!I130</f>
        <v>Direct</v>
      </c>
      <c r="J154" s="1869">
        <f>'Part I-Project Information'!J130</f>
        <v>12</v>
      </c>
      <c r="K154" s="1869"/>
      <c r="L154" s="1869"/>
      <c r="M154" s="1869">
        <f>'Part I-Project Information'!M130</f>
        <v>0</v>
      </c>
      <c r="N154" s="1869"/>
      <c r="O154" s="1869"/>
      <c r="P154" s="1916">
        <f>'Part I-Project Information'!P130</f>
        <v>0</v>
      </c>
      <c r="Z154" s="1857">
        <v>130</v>
      </c>
    </row>
    <row r="155" spans="1:26" s="1856" customFormat="1" ht="1.5" customHeight="1">
      <c r="A155" s="1857"/>
      <c r="B155" s="1857"/>
      <c r="C155" s="1903"/>
      <c r="D155" s="1903"/>
      <c r="E155" s="1903"/>
      <c r="F155" s="1903"/>
      <c r="G155" s="1903"/>
      <c r="H155" s="1903"/>
      <c r="I155" s="1903"/>
      <c r="J155" s="1903"/>
      <c r="K155" s="1903"/>
      <c r="L155" s="1903"/>
      <c r="M155" s="1903"/>
      <c r="N155" s="1903"/>
      <c r="O155" s="1903"/>
      <c r="P155" s="1903"/>
      <c r="Z155" s="1868">
        <v>131</v>
      </c>
    </row>
    <row r="156" spans="1:26" s="1856" customFormat="1" ht="13.35" customHeight="1">
      <c r="A156" s="1857"/>
      <c r="B156" s="1857" t="s">
        <v>2022</v>
      </c>
      <c r="C156" s="1865" t="s">
        <v>1762</v>
      </c>
      <c r="D156" s="1865"/>
      <c r="E156" s="1865"/>
      <c r="F156" s="1865"/>
      <c r="G156" s="1865"/>
      <c r="H156" s="1865"/>
      <c r="I156" s="1865"/>
      <c r="J156" s="1865"/>
      <c r="K156" s="1865"/>
      <c r="L156" s="1865"/>
      <c r="M156" s="1865"/>
      <c r="N156" s="1865"/>
      <c r="O156" s="1865"/>
      <c r="P156" s="1865"/>
      <c r="Z156" s="1857">
        <v>132</v>
      </c>
    </row>
    <row r="157" spans="1:26" s="1856" customFormat="1" ht="13.35" customHeight="1">
      <c r="A157" s="1857"/>
      <c r="B157" s="1857"/>
      <c r="C157" s="1865"/>
      <c r="D157" s="1865"/>
      <c r="E157" s="1865"/>
      <c r="F157" s="1865"/>
      <c r="G157" s="1865"/>
      <c r="H157" s="1865"/>
      <c r="I157" s="1865"/>
      <c r="J157" s="1865"/>
      <c r="K157" s="1865"/>
      <c r="L157" s="1865"/>
      <c r="M157" s="1865"/>
      <c r="N157" s="1865"/>
      <c r="O157" s="1865"/>
      <c r="P157" s="1865"/>
      <c r="Z157" s="1857">
        <v>133</v>
      </c>
    </row>
    <row r="158" spans="1:26" s="1856" customFormat="1" ht="13.35" customHeight="1">
      <c r="B158" s="1857"/>
      <c r="C158" s="1903" t="s">
        <v>2042</v>
      </c>
      <c r="D158" s="1903"/>
      <c r="F158" s="1903" t="s">
        <v>1093</v>
      </c>
      <c r="G158" s="1857"/>
      <c r="H158" s="1857"/>
      <c r="I158" s="1857"/>
      <c r="J158" s="1903" t="s">
        <v>2042</v>
      </c>
      <c r="K158" s="1903"/>
      <c r="M158" s="1903" t="s">
        <v>1093</v>
      </c>
      <c r="N158" s="1857"/>
      <c r="O158" s="1857"/>
      <c r="P158" s="1857"/>
      <c r="Z158" s="1857">
        <v>134</v>
      </c>
    </row>
    <row r="159" spans="1:26" s="1856" customFormat="1" ht="13.35" customHeight="1">
      <c r="A159" s="1857"/>
      <c r="B159" s="1857"/>
      <c r="C159" s="1869">
        <f>'Part I-Project Information'!C135</f>
        <v>1</v>
      </c>
      <c r="D159" s="1869"/>
      <c r="E159" s="1869"/>
      <c r="F159" s="1869">
        <f>'Part I-Project Information'!F135</f>
        <v>0</v>
      </c>
      <c r="G159" s="1869"/>
      <c r="H159" s="1869"/>
      <c r="I159" s="1869"/>
      <c r="J159" s="1869">
        <f>'Part I-Project Information'!J135</f>
        <v>7</v>
      </c>
      <c r="K159" s="1869"/>
      <c r="L159" s="1869"/>
      <c r="M159" s="1869">
        <f>'Part I-Project Information'!M135</f>
        <v>0</v>
      </c>
      <c r="N159" s="1869"/>
      <c r="O159" s="1869"/>
      <c r="P159" s="1869"/>
      <c r="Z159" s="1857">
        <v>135</v>
      </c>
    </row>
    <row r="160" spans="1:26" s="1856" customFormat="1" ht="13.35" customHeight="1">
      <c r="A160" s="1857"/>
      <c r="B160" s="1857"/>
      <c r="C160" s="1869">
        <f>'Part I-Project Information'!C136</f>
        <v>2</v>
      </c>
      <c r="D160" s="1869"/>
      <c r="E160" s="1869"/>
      <c r="F160" s="1869">
        <f>'Part I-Project Information'!F136</f>
        <v>0</v>
      </c>
      <c r="G160" s="1869"/>
      <c r="H160" s="1869"/>
      <c r="I160" s="1869"/>
      <c r="J160" s="1869">
        <f>'Part I-Project Information'!J136</f>
        <v>8</v>
      </c>
      <c r="K160" s="1869"/>
      <c r="L160" s="1869"/>
      <c r="M160" s="1869">
        <f>'Part I-Project Information'!M136</f>
        <v>0</v>
      </c>
      <c r="N160" s="1869"/>
      <c r="O160" s="1869"/>
      <c r="P160" s="1869"/>
      <c r="Z160" s="1857">
        <v>136</v>
      </c>
    </row>
    <row r="161" spans="1:26" s="1856" customFormat="1" ht="13.35" customHeight="1">
      <c r="A161" s="1857"/>
      <c r="B161" s="1857"/>
      <c r="C161" s="1869">
        <f>'Part I-Project Information'!C137</f>
        <v>3</v>
      </c>
      <c r="D161" s="1869"/>
      <c r="E161" s="1869"/>
      <c r="F161" s="1869">
        <f>'Part I-Project Information'!F137</f>
        <v>0</v>
      </c>
      <c r="G161" s="1869"/>
      <c r="H161" s="1869"/>
      <c r="I161" s="1869"/>
      <c r="J161" s="1869">
        <f>'Part I-Project Information'!J137</f>
        <v>9</v>
      </c>
      <c r="K161" s="1869"/>
      <c r="L161" s="1869"/>
      <c r="M161" s="1869">
        <f>'Part I-Project Information'!M137</f>
        <v>0</v>
      </c>
      <c r="N161" s="1869"/>
      <c r="O161" s="1869"/>
      <c r="P161" s="1869"/>
      <c r="Z161" s="1857">
        <v>137</v>
      </c>
    </row>
    <row r="162" spans="1:26" s="1856" customFormat="1" ht="13.35" customHeight="1">
      <c r="A162" s="1857"/>
      <c r="B162" s="1857"/>
      <c r="C162" s="1869">
        <f>'Part I-Project Information'!C138</f>
        <v>4</v>
      </c>
      <c r="D162" s="1869"/>
      <c r="E162" s="1869"/>
      <c r="F162" s="1869">
        <f>'Part I-Project Information'!F138</f>
        <v>0</v>
      </c>
      <c r="G162" s="1869"/>
      <c r="H162" s="1869"/>
      <c r="I162" s="1869"/>
      <c r="J162" s="1869">
        <f>'Part I-Project Information'!J138</f>
        <v>10</v>
      </c>
      <c r="K162" s="1869"/>
      <c r="L162" s="1869"/>
      <c r="M162" s="1869">
        <f>'Part I-Project Information'!M138</f>
        <v>0</v>
      </c>
      <c r="N162" s="1869"/>
      <c r="O162" s="1869"/>
      <c r="P162" s="1869"/>
      <c r="Z162" s="1857">
        <v>138</v>
      </c>
    </row>
    <row r="163" spans="1:26" s="1856" customFormat="1" ht="13.35" customHeight="1">
      <c r="A163" s="1857"/>
      <c r="B163" s="1857"/>
      <c r="C163" s="1869">
        <f>'Part I-Project Information'!C139</f>
        <v>5</v>
      </c>
      <c r="D163" s="1869"/>
      <c r="E163" s="1869"/>
      <c r="F163" s="1869">
        <f>'Part I-Project Information'!F139</f>
        <v>0</v>
      </c>
      <c r="G163" s="1869"/>
      <c r="H163" s="1869"/>
      <c r="I163" s="1869"/>
      <c r="J163" s="1869">
        <f>'Part I-Project Information'!J139</f>
        <v>11</v>
      </c>
      <c r="K163" s="1869"/>
      <c r="L163" s="1869"/>
      <c r="M163" s="1869">
        <f>'Part I-Project Information'!M139</f>
        <v>0</v>
      </c>
      <c r="N163" s="1869"/>
      <c r="O163" s="1869"/>
      <c r="P163" s="1869"/>
      <c r="Z163" s="1857">
        <v>139</v>
      </c>
    </row>
    <row r="164" spans="1:26" s="1856" customFormat="1" ht="13.35" customHeight="1">
      <c r="A164" s="1857"/>
      <c r="B164" s="1857"/>
      <c r="C164" s="1869">
        <f>'Part I-Project Information'!C140</f>
        <v>6</v>
      </c>
      <c r="D164" s="1869"/>
      <c r="E164" s="1869"/>
      <c r="F164" s="1869">
        <f>'Part I-Project Information'!F140</f>
        <v>0</v>
      </c>
      <c r="G164" s="1869"/>
      <c r="H164" s="1869"/>
      <c r="I164" s="1869"/>
      <c r="J164" s="1869">
        <f>'Part I-Project Information'!J140</f>
        <v>12</v>
      </c>
      <c r="K164" s="1869"/>
      <c r="L164" s="1869"/>
      <c r="M164" s="1869">
        <f>'Part I-Project Information'!M140</f>
        <v>0</v>
      </c>
      <c r="N164" s="1869"/>
      <c r="O164" s="1869"/>
      <c r="P164" s="1869"/>
      <c r="Z164" s="1868">
        <v>140</v>
      </c>
    </row>
    <row r="165" spans="1:26" s="1856" customFormat="1" ht="3" customHeight="1">
      <c r="A165" s="1857"/>
      <c r="B165" s="1857"/>
      <c r="C165" s="1903"/>
      <c r="D165" s="1903"/>
      <c r="E165" s="1903"/>
      <c r="F165" s="1857"/>
      <c r="G165" s="1857"/>
      <c r="H165" s="1857"/>
      <c r="I165" s="1857"/>
      <c r="J165" s="1883"/>
      <c r="K165" s="1857"/>
      <c r="L165" s="1857"/>
      <c r="P165" s="1880"/>
      <c r="Z165" s="1868">
        <v>141</v>
      </c>
    </row>
    <row r="166" spans="1:26" s="1856" customFormat="1" ht="14.45" customHeight="1">
      <c r="A166" s="1856" t="s">
        <v>348</v>
      </c>
      <c r="B166" s="1856" t="s">
        <v>7044</v>
      </c>
      <c r="I166" s="1879" t="str">
        <f>'Part I-Project Information'!I142</f>
        <v>No</v>
      </c>
      <c r="K166" s="1856" t="s">
        <v>6483</v>
      </c>
      <c r="M166" s="1857"/>
      <c r="P166" s="1880"/>
      <c r="Z166" s="1857">
        <v>142</v>
      </c>
    </row>
    <row r="167" spans="1:26" s="1856" customFormat="1" ht="6" customHeight="1">
      <c r="A167" s="1865"/>
      <c r="B167" s="1857"/>
      <c r="C167" s="1903"/>
      <c r="D167" s="1903"/>
      <c r="E167" s="1903"/>
      <c r="F167" s="1903"/>
      <c r="G167" s="1857"/>
      <c r="I167" s="1856" t="str">
        <f>'Part I-Project Information'!I142</f>
        <v>No</v>
      </c>
      <c r="M167" s="1857"/>
      <c r="Z167" s="1857">
        <v>143</v>
      </c>
    </row>
    <row r="168" spans="1:26" s="1856" customFormat="1" ht="12" customHeight="1">
      <c r="A168" s="1857"/>
      <c r="B168" s="1857" t="s">
        <v>1894</v>
      </c>
      <c r="C168" s="1858" t="s">
        <v>6840</v>
      </c>
      <c r="I168" s="1879">
        <f>'Part I-Project Information'!I144</f>
        <v>0</v>
      </c>
      <c r="K168" s="1856" t="s">
        <v>6484</v>
      </c>
      <c r="M168" s="1857"/>
      <c r="O168" s="1913">
        <f>'Part I-Project Information'!O144</f>
        <v>0</v>
      </c>
      <c r="P168" s="1913"/>
      <c r="Z168" s="1857">
        <v>144</v>
      </c>
    </row>
    <row r="169" spans="1:26" s="1856" customFormat="1" ht="12" customHeight="1">
      <c r="A169" s="1857"/>
      <c r="B169" s="1857"/>
      <c r="C169" s="1903" t="s">
        <v>2310</v>
      </c>
      <c r="D169" s="1903"/>
      <c r="E169" s="1903"/>
      <c r="F169" s="1857"/>
      <c r="I169" s="1917">
        <f>'Part I-Project Information'!I145</f>
        <v>0</v>
      </c>
      <c r="K169" s="1856" t="s">
        <v>6486</v>
      </c>
      <c r="O169" s="1913">
        <f>'Part I-Project Information'!O145</f>
        <v>0</v>
      </c>
      <c r="P169" s="1913"/>
      <c r="Z169" s="1857">
        <v>145</v>
      </c>
    </row>
    <row r="170" spans="1:26" s="1856" customFormat="1" ht="12" customHeight="1">
      <c r="A170" s="1857"/>
      <c r="B170" s="1857"/>
      <c r="C170" s="1907" t="s">
        <v>1636</v>
      </c>
      <c r="D170" s="1858"/>
      <c r="I170" s="1879">
        <f>'Part I-Project Information'!I146</f>
        <v>0</v>
      </c>
      <c r="K170" s="1856" t="s">
        <v>6487</v>
      </c>
      <c r="O170" s="1913">
        <f>'Part I-Project Information'!O146</f>
        <v>0</v>
      </c>
      <c r="P170" s="1913"/>
      <c r="Z170" s="1857">
        <v>146</v>
      </c>
    </row>
    <row r="171" spans="1:26" s="1856" customFormat="1" ht="12" customHeight="1">
      <c r="A171" s="1857"/>
      <c r="B171" s="1857"/>
      <c r="C171" s="1903" t="s">
        <v>2311</v>
      </c>
      <c r="D171" s="1903"/>
      <c r="E171" s="1903"/>
      <c r="F171" s="1857"/>
      <c r="I171" s="1917">
        <f>'Part I-Project Information'!I147</f>
        <v>0</v>
      </c>
      <c r="K171" s="1865" t="s">
        <v>2144</v>
      </c>
      <c r="O171" s="1863" t="str">
        <f>'Part I-Project Information'!O147</f>
        <v>GA-</v>
      </c>
      <c r="P171" s="1863"/>
      <c r="Z171" s="1857">
        <v>147</v>
      </c>
    </row>
    <row r="172" spans="1:26" s="1856" customFormat="1" ht="12" customHeight="1">
      <c r="A172" s="1857"/>
      <c r="B172" s="1857"/>
      <c r="C172" s="1903" t="s">
        <v>2309</v>
      </c>
      <c r="F172" s="1857" t="s">
        <v>6400</v>
      </c>
      <c r="G172" s="1913">
        <f>'Part I-Project Information'!G148</f>
        <v>0</v>
      </c>
      <c r="H172" s="1913"/>
      <c r="I172" s="1918">
        <f>'Part I-Project Information'!I148</f>
        <v>0</v>
      </c>
      <c r="K172" s="1865" t="s">
        <v>2145</v>
      </c>
      <c r="O172" s="1863" t="str">
        <f>'Part I-Project Information'!O148</f>
        <v>GA-</v>
      </c>
      <c r="P172" s="1863"/>
      <c r="Z172" s="1857">
        <v>148</v>
      </c>
    </row>
    <row r="173" spans="1:26" s="1856" customFormat="1" ht="12" customHeight="1">
      <c r="A173" s="1857"/>
      <c r="B173" s="1857"/>
      <c r="C173" s="1903" t="s">
        <v>2072</v>
      </c>
      <c r="D173" s="1903"/>
      <c r="E173" s="1903"/>
      <c r="F173" s="1857"/>
      <c r="I173" s="1913">
        <f>'Part I-Project Information'!I149</f>
        <v>0</v>
      </c>
      <c r="J173" s="1913"/>
      <c r="P173" s="1880"/>
      <c r="Z173" s="1857">
        <v>149</v>
      </c>
    </row>
    <row r="174" spans="1:26" s="1856" customFormat="1" ht="6" customHeight="1">
      <c r="A174" s="1857"/>
      <c r="B174" s="1857"/>
      <c r="C174" s="1903"/>
      <c r="D174" s="1903"/>
      <c r="E174" s="1903"/>
      <c r="F174" s="1857"/>
      <c r="G174" s="1857"/>
      <c r="M174" s="1857"/>
      <c r="P174" s="1880"/>
      <c r="Z174" s="1868">
        <v>150</v>
      </c>
    </row>
    <row r="175" spans="1:26" s="1856" customFormat="1" ht="12" customHeight="1">
      <c r="A175" s="1857"/>
      <c r="B175" s="1857" t="s">
        <v>1896</v>
      </c>
      <c r="C175" s="1858" t="s">
        <v>6841</v>
      </c>
      <c r="I175" s="1879">
        <f>'Part I-Project Information'!I151</f>
        <v>0</v>
      </c>
      <c r="K175" s="1856" t="s">
        <v>6484</v>
      </c>
      <c r="M175" s="1857"/>
      <c r="O175" s="1913">
        <f>'Part I-Project Information'!O151</f>
        <v>0</v>
      </c>
      <c r="P175" s="1913"/>
      <c r="Z175" s="1857">
        <v>151</v>
      </c>
    </row>
    <row r="176" spans="1:26" s="1856" customFormat="1" ht="12" customHeight="1">
      <c r="A176" s="1857"/>
      <c r="B176" s="1857"/>
      <c r="C176" s="1903" t="s">
        <v>6401</v>
      </c>
      <c r="D176" s="1903"/>
      <c r="E176" s="1903"/>
      <c r="F176" s="1857"/>
      <c r="I176" s="1917">
        <f>'Part I-Project Information'!I152</f>
        <v>0</v>
      </c>
      <c r="K176" s="1856" t="s">
        <v>6486</v>
      </c>
      <c r="O176" s="1913">
        <f>'Part I-Project Information'!O152</f>
        <v>0</v>
      </c>
      <c r="P176" s="1913"/>
      <c r="Z176" s="1857">
        <v>152</v>
      </c>
    </row>
    <row r="177" spans="1:26" s="1856" customFormat="1" ht="12" customHeight="1">
      <c r="A177" s="1857"/>
      <c r="B177" s="1857"/>
      <c r="C177" s="1907" t="s">
        <v>1636</v>
      </c>
      <c r="D177" s="1858"/>
      <c r="I177" s="1879">
        <f>'Part I-Project Information'!I153</f>
        <v>0</v>
      </c>
      <c r="K177" s="1856" t="s">
        <v>6487</v>
      </c>
      <c r="O177" s="1913">
        <f>'Part I-Project Information'!O153</f>
        <v>0</v>
      </c>
      <c r="P177" s="1913"/>
      <c r="Z177" s="1857">
        <v>153</v>
      </c>
    </row>
    <row r="178" spans="1:26" s="1856" customFormat="1" ht="12" customHeight="1">
      <c r="A178" s="1857"/>
      <c r="B178" s="1857"/>
      <c r="C178" s="1903" t="s">
        <v>2311</v>
      </c>
      <c r="D178" s="1903"/>
      <c r="E178" s="1903"/>
      <c r="F178" s="1857"/>
      <c r="I178" s="1917">
        <f>'Part I-Project Information'!I154</f>
        <v>0</v>
      </c>
      <c r="K178" s="1865" t="s">
        <v>2144</v>
      </c>
      <c r="O178" s="1863" t="str">
        <f>'Part I-Project Information'!O154</f>
        <v>GA-</v>
      </c>
      <c r="P178" s="1863"/>
      <c r="Z178" s="1857">
        <v>154</v>
      </c>
    </row>
    <row r="179" spans="1:26" s="1856" customFormat="1" ht="12" customHeight="1">
      <c r="A179" s="1857"/>
      <c r="B179" s="1857"/>
      <c r="C179" s="1903" t="s">
        <v>2309</v>
      </c>
      <c r="F179" s="1857" t="s">
        <v>6400</v>
      </c>
      <c r="G179" s="1913">
        <f>'Part I-Project Information'!G155</f>
        <v>0</v>
      </c>
      <c r="H179" s="1913"/>
      <c r="I179" s="1918">
        <f>'Part I-Project Information'!I155</f>
        <v>0</v>
      </c>
      <c r="K179" s="1865" t="s">
        <v>2145</v>
      </c>
      <c r="O179" s="1863" t="str">
        <f>'Part I-Project Information'!O155</f>
        <v>GA-</v>
      </c>
      <c r="P179" s="1863"/>
      <c r="Z179" s="1857">
        <v>155</v>
      </c>
    </row>
    <row r="180" spans="1:26" s="1856" customFormat="1" ht="12" customHeight="1">
      <c r="A180" s="1857"/>
      <c r="B180" s="1857"/>
      <c r="C180" s="1903" t="s">
        <v>2072</v>
      </c>
      <c r="D180" s="1903"/>
      <c r="E180" s="1903"/>
      <c r="F180" s="1857"/>
      <c r="I180" s="1913">
        <f>'Part I-Project Information'!I156</f>
        <v>0</v>
      </c>
      <c r="J180" s="1913"/>
      <c r="P180" s="1880"/>
      <c r="Z180" s="1857">
        <v>156</v>
      </c>
    </row>
    <row r="181" spans="1:26" s="1856" customFormat="1" ht="6" customHeight="1">
      <c r="A181" s="1857"/>
      <c r="B181" s="1857"/>
      <c r="C181" s="1903"/>
      <c r="D181" s="1903"/>
      <c r="E181" s="1903"/>
      <c r="F181" s="1857"/>
      <c r="G181" s="1857"/>
      <c r="M181" s="1857"/>
      <c r="P181" s="1880"/>
      <c r="Z181" s="1857">
        <v>157</v>
      </c>
    </row>
    <row r="182" spans="1:26" s="1856" customFormat="1" ht="12" customHeight="1">
      <c r="A182" s="1857"/>
      <c r="B182" s="1857" t="s">
        <v>719</v>
      </c>
      <c r="C182" s="1919" t="s">
        <v>2551</v>
      </c>
      <c r="D182" s="1903"/>
      <c r="E182" s="1865" t="s">
        <v>7110</v>
      </c>
      <c r="F182" s="1865"/>
      <c r="G182" s="1865"/>
      <c r="I182" s="1918" t="str">
        <f>'Part I-Project Information'!I158</f>
        <v>No</v>
      </c>
      <c r="K182" s="1865" t="s">
        <v>4090</v>
      </c>
      <c r="L182" s="1865"/>
      <c r="M182" s="1865"/>
      <c r="O182" s="1918">
        <f>'Part I-Project Information'!O158</f>
        <v>0</v>
      </c>
      <c r="P182" s="1880"/>
      <c r="Z182" s="1857">
        <v>158</v>
      </c>
    </row>
    <row r="183" spans="1:26" s="1856" customFormat="1" ht="12" customHeight="1">
      <c r="A183" s="1857"/>
      <c r="C183" s="1903"/>
      <c r="D183" s="1903"/>
      <c r="E183" s="1865" t="s">
        <v>7111</v>
      </c>
      <c r="F183" s="1865"/>
      <c r="G183" s="1865"/>
      <c r="I183" s="1918" t="str">
        <f>'Part I-Project Information'!I159</f>
        <v>No</v>
      </c>
      <c r="K183" s="1865"/>
      <c r="L183" s="1865"/>
      <c r="M183" s="1865"/>
      <c r="P183" s="1880"/>
      <c r="Z183" s="1868">
        <v>159</v>
      </c>
    </row>
    <row r="184" spans="1:26" s="1856" customFormat="1" ht="6" customHeight="1">
      <c r="A184" s="1857"/>
      <c r="B184" s="1857"/>
      <c r="C184" s="1903"/>
      <c r="D184" s="1903"/>
      <c r="E184" s="1903"/>
      <c r="F184" s="1857"/>
      <c r="P184" s="1880"/>
      <c r="Z184" s="1857">
        <v>160</v>
      </c>
    </row>
    <row r="185" spans="1:26" s="1856" customFormat="1" ht="12" customHeight="1">
      <c r="A185" s="1857"/>
      <c r="B185" s="1857" t="s">
        <v>2022</v>
      </c>
      <c r="C185" s="1903" t="s">
        <v>4087</v>
      </c>
      <c r="D185" s="1903"/>
      <c r="E185" s="1903"/>
      <c r="F185" s="1857"/>
      <c r="I185" s="1918" t="str">
        <f>'Part I-Project Information'!I161</f>
        <v>No</v>
      </c>
      <c r="P185" s="1880"/>
      <c r="Z185" s="1857">
        <v>161</v>
      </c>
    </row>
    <row r="186" spans="1:26" s="1856" customFormat="1" ht="9" customHeight="1">
      <c r="A186" s="1857"/>
      <c r="B186" s="1857"/>
      <c r="C186" s="1903"/>
      <c r="D186" s="1903"/>
      <c r="E186" s="1903"/>
      <c r="F186" s="1857"/>
      <c r="G186" s="1857"/>
      <c r="H186" s="1857"/>
      <c r="I186" s="1857"/>
      <c r="J186" s="1883"/>
      <c r="K186" s="1857"/>
      <c r="L186" s="1857"/>
      <c r="Z186" s="1857">
        <v>162</v>
      </c>
    </row>
    <row r="187" spans="1:26" s="1856" customFormat="1" ht="13.35" customHeight="1">
      <c r="A187" s="1865" t="s">
        <v>1648</v>
      </c>
      <c r="B187" s="1865" t="s">
        <v>1145</v>
      </c>
      <c r="D187" s="1865"/>
      <c r="E187" s="1865"/>
      <c r="F187" s="1865"/>
      <c r="G187" s="1857"/>
      <c r="H187" s="1857"/>
      <c r="I187" s="1857"/>
      <c r="J187" s="1883"/>
      <c r="K187" s="1857"/>
      <c r="L187" s="1857"/>
      <c r="P187" s="1856" t="s">
        <v>1714</v>
      </c>
      <c r="Z187" s="1857">
        <v>163</v>
      </c>
    </row>
    <row r="188" spans="1:26" s="1856" customFormat="1" ht="6" customHeight="1">
      <c r="A188" s="1865"/>
      <c r="B188" s="1857"/>
      <c r="C188" s="1903"/>
      <c r="D188" s="1903"/>
      <c r="E188" s="1903"/>
      <c r="F188" s="1903"/>
      <c r="G188" s="1857"/>
      <c r="H188" s="1857"/>
      <c r="I188" s="1857"/>
      <c r="J188" s="1883"/>
      <c r="K188" s="1857"/>
      <c r="L188" s="1857"/>
      <c r="Z188" s="1857">
        <v>164</v>
      </c>
    </row>
    <row r="189" spans="1:26" s="1856" customFormat="1" ht="13.35" customHeight="1">
      <c r="A189" s="1857"/>
      <c r="B189" s="1857" t="s">
        <v>1894</v>
      </c>
      <c r="C189" s="1883" t="s">
        <v>1737</v>
      </c>
      <c r="F189" s="1857"/>
      <c r="G189" s="1857"/>
      <c r="H189" s="1857"/>
      <c r="I189" s="1857"/>
      <c r="J189" s="1883"/>
      <c r="K189" s="1857"/>
      <c r="L189" s="1857"/>
      <c r="Z189" s="1857">
        <v>165</v>
      </c>
    </row>
    <row r="190" spans="1:26" s="1856" customFormat="1" ht="12.6" customHeight="1">
      <c r="A190" s="1857"/>
      <c r="B190" s="1857"/>
      <c r="C190" s="1865" t="s">
        <v>1466</v>
      </c>
      <c r="D190" s="1883"/>
      <c r="E190" s="1883"/>
      <c r="F190" s="1857"/>
      <c r="G190" s="1857"/>
      <c r="H190" s="1857"/>
      <c r="I190" s="1918" t="str">
        <f>'Part I-Project Information'!I166</f>
        <v>No</v>
      </c>
      <c r="Z190" s="1857">
        <v>166</v>
      </c>
    </row>
    <row r="191" spans="1:26" s="1856" customFormat="1" ht="12.6" customHeight="1">
      <c r="A191" s="1857"/>
      <c r="B191" s="1857"/>
      <c r="C191" s="1907" t="s">
        <v>6842</v>
      </c>
      <c r="D191" s="1907"/>
      <c r="E191" s="1907"/>
      <c r="F191" s="1907"/>
      <c r="I191" s="1856" t="s">
        <v>3965</v>
      </c>
      <c r="K191" s="1907"/>
      <c r="L191" s="1907"/>
      <c r="N191" s="1920">
        <f>'Part I-Project Information'!N167</f>
        <v>0</v>
      </c>
      <c r="P191" s="1921">
        <f>'Part I-Project Information'!P167</f>
        <v>0</v>
      </c>
      <c r="Z191" s="1857">
        <v>167</v>
      </c>
    </row>
    <row r="192" spans="1:26" s="1856" customFormat="1" ht="12.6" customHeight="1">
      <c r="A192" s="1857"/>
      <c r="B192" s="1857"/>
      <c r="D192" s="1907"/>
      <c r="E192" s="1907"/>
      <c r="F192" s="1907"/>
      <c r="I192" s="1856" t="s">
        <v>3964</v>
      </c>
      <c r="K192" s="1907"/>
      <c r="L192" s="1907"/>
      <c r="N192" s="1920">
        <f>'Part I-Project Information'!N168</f>
        <v>0</v>
      </c>
      <c r="P192" s="1921">
        <f>'Part I-Project Information'!P168</f>
        <v>0</v>
      </c>
      <c r="Z192" s="1868">
        <v>168</v>
      </c>
    </row>
    <row r="193" spans="1:26" s="1856" customFormat="1" ht="12" customHeight="1">
      <c r="A193" s="1857"/>
      <c r="B193" s="1857"/>
      <c r="C193" s="1865" t="s">
        <v>6307</v>
      </c>
      <c r="D193" s="1883"/>
      <c r="E193" s="1883"/>
      <c r="F193" s="1857"/>
      <c r="G193" s="1857"/>
      <c r="H193" s="1857"/>
      <c r="I193" s="1918" t="str">
        <f>'Part I-Project Information'!I169</f>
        <v>No</v>
      </c>
      <c r="J193" s="1858" t="s">
        <v>6308</v>
      </c>
      <c r="N193" s="1920">
        <f>'Part I-Project Information'!N169</f>
        <v>0</v>
      </c>
      <c r="P193" s="1921">
        <f>'Part I-Project Information'!P169</f>
        <v>0</v>
      </c>
      <c r="Z193" s="1868">
        <v>169</v>
      </c>
    </row>
    <row r="194" spans="1:26" s="1856" customFormat="1" ht="3" customHeight="1">
      <c r="A194" s="1857"/>
      <c r="B194" s="1857"/>
      <c r="Z194" s="1857">
        <v>170</v>
      </c>
    </row>
    <row r="195" spans="1:26" s="1856" customFormat="1" ht="12.6" customHeight="1">
      <c r="A195" s="1857"/>
      <c r="B195" s="1857"/>
      <c r="C195" s="1856" t="s">
        <v>1715</v>
      </c>
      <c r="D195" s="1863">
        <f>'Part I-Project Information'!D171</f>
        <v>0</v>
      </c>
      <c r="E195" s="1863"/>
      <c r="F195" s="1863"/>
      <c r="G195" s="1863"/>
      <c r="H195" s="1863"/>
      <c r="I195" s="1858" t="s">
        <v>3930</v>
      </c>
      <c r="N195" s="1878">
        <f>'Part I-Project Information'!N171</f>
        <v>0</v>
      </c>
      <c r="O195" s="1878"/>
      <c r="P195" s="1878"/>
      <c r="Z195" s="1857">
        <v>171</v>
      </c>
    </row>
    <row r="196" spans="1:26" s="1856" customFormat="1" ht="12.6" customHeight="1">
      <c r="A196" s="1857"/>
      <c r="B196" s="1857"/>
      <c r="C196" s="1858" t="s">
        <v>3931</v>
      </c>
      <c r="D196" s="1863">
        <f>'Part I-Project Information'!D172</f>
        <v>0</v>
      </c>
      <c r="E196" s="1863"/>
      <c r="F196" s="1863"/>
      <c r="G196" s="1863"/>
      <c r="H196" s="1863"/>
      <c r="I196" s="1856" t="s">
        <v>1716</v>
      </c>
      <c r="J196" s="1878">
        <f>'Part I-Project Information'!J172</f>
        <v>0</v>
      </c>
      <c r="K196" s="1878"/>
      <c r="L196" s="1878"/>
      <c r="M196" s="1856" t="s">
        <v>1891</v>
      </c>
      <c r="N196" s="1863">
        <f>'Part I-Project Information'!N172</f>
        <v>0</v>
      </c>
      <c r="O196" s="1863"/>
      <c r="P196" s="1863"/>
      <c r="Z196" s="1857">
        <v>172</v>
      </c>
    </row>
    <row r="197" spans="1:26" s="1856" customFormat="1" ht="12.6" customHeight="1">
      <c r="A197" s="1857"/>
      <c r="B197" s="1857"/>
      <c r="C197" s="1858" t="s">
        <v>588</v>
      </c>
      <c r="D197" s="1863">
        <f>'Part I-Project Information'!D173</f>
        <v>0</v>
      </c>
      <c r="E197" s="1863"/>
      <c r="F197" s="1856" t="s">
        <v>2129</v>
      </c>
      <c r="G197" s="1877">
        <f>'Part I-Project Information'!G173</f>
        <v>0</v>
      </c>
      <c r="H197" s="1877"/>
      <c r="I197" s="1858" t="s">
        <v>1719</v>
      </c>
      <c r="J197" s="1878">
        <f>'Part I-Project Information'!J173</f>
        <v>0</v>
      </c>
      <c r="K197" s="1878"/>
      <c r="L197" s="1878"/>
      <c r="M197" s="1856" t="s">
        <v>1890</v>
      </c>
      <c r="N197" s="1878">
        <f>'Part I-Project Information'!N173</f>
        <v>0</v>
      </c>
      <c r="O197" s="1878"/>
      <c r="P197" s="1878"/>
      <c r="Z197" s="1857">
        <v>173</v>
      </c>
    </row>
    <row r="198" spans="1:26" s="1856" customFormat="1" ht="12.6" customHeight="1">
      <c r="A198" s="1857"/>
      <c r="B198" s="1857"/>
      <c r="C198" s="1856" t="s">
        <v>2554</v>
      </c>
      <c r="D198" s="1863">
        <f>'Part I-Project Information'!D174</f>
        <v>0</v>
      </c>
      <c r="E198" s="1863"/>
      <c r="F198" s="1863"/>
      <c r="G198" s="1863"/>
      <c r="H198" s="1863"/>
      <c r="I198" s="1858" t="s">
        <v>1718</v>
      </c>
      <c r="J198" s="1872">
        <f>'Part I-Project Information'!J174</f>
        <v>0</v>
      </c>
      <c r="K198" s="1872"/>
      <c r="L198" s="1872"/>
      <c r="M198" s="1872"/>
      <c r="N198" s="1872"/>
      <c r="O198" s="1872"/>
      <c r="P198" s="1872"/>
      <c r="Z198" s="1857">
        <v>174</v>
      </c>
    </row>
    <row r="199" spans="1:26" s="1856" customFormat="1" ht="12" customHeight="1">
      <c r="A199" s="1857"/>
      <c r="B199" s="1857"/>
      <c r="C199" s="1856" t="s">
        <v>3966</v>
      </c>
      <c r="E199" s="1922"/>
      <c r="F199" s="1922"/>
      <c r="G199" s="1922"/>
      <c r="H199" s="1857"/>
      <c r="I199" s="1918" t="str">
        <f>'Part I-Project Information'!I175</f>
        <v>No</v>
      </c>
      <c r="J199" s="1865" t="s">
        <v>731</v>
      </c>
      <c r="K199" s="1865"/>
      <c r="L199" s="1918">
        <f>'Part I-Project Information'!L175</f>
        <v>0</v>
      </c>
      <c r="M199" s="1922"/>
      <c r="N199" s="1857"/>
      <c r="O199" s="1922"/>
      <c r="P199" s="1922"/>
      <c r="Z199" s="1857">
        <v>175</v>
      </c>
    </row>
    <row r="200" spans="1:26" s="1856" customFormat="1" ht="12" customHeight="1">
      <c r="A200" s="1857"/>
      <c r="B200" s="1857"/>
      <c r="C200" s="1907" t="s">
        <v>6526</v>
      </c>
      <c r="D200" s="1907"/>
      <c r="E200" s="1907"/>
      <c r="F200" s="1907"/>
      <c r="G200" s="1907"/>
      <c r="H200" s="1907"/>
      <c r="I200" s="1907"/>
      <c r="J200" s="1907"/>
      <c r="K200" s="1907"/>
      <c r="M200" s="1907"/>
      <c r="Z200" s="1857">
        <v>176</v>
      </c>
    </row>
    <row r="201" spans="1:26" s="1856" customFormat="1" ht="12" customHeight="1">
      <c r="A201" s="1857"/>
      <c r="B201" s="1857"/>
      <c r="C201" s="1907"/>
      <c r="D201" s="1907"/>
      <c r="E201" s="1907"/>
      <c r="F201" s="1907"/>
      <c r="G201" s="1907"/>
      <c r="H201" s="1907"/>
      <c r="I201" s="1907"/>
      <c r="J201" s="1907"/>
      <c r="K201" s="1907"/>
      <c r="L201" s="1918" t="str">
        <f>'Part I-Project Information'!L177</f>
        <v>No</v>
      </c>
      <c r="M201" s="1907"/>
      <c r="N201" s="1865" t="s">
        <v>731</v>
      </c>
      <c r="O201" s="1865"/>
      <c r="P201" s="1918">
        <f>'Part I-Project Information'!P177</f>
        <v>0</v>
      </c>
      <c r="Z201" s="1857">
        <v>177</v>
      </c>
    </row>
    <row r="202" spans="1:26" s="1856" customFormat="1" ht="6" customHeight="1">
      <c r="A202" s="1857"/>
      <c r="B202" s="1857"/>
      <c r="Z202" s="1868">
        <v>178</v>
      </c>
    </row>
    <row r="203" spans="1:26" s="1856" customFormat="1" ht="12.6" customHeight="1">
      <c r="A203" s="1857"/>
      <c r="B203" s="1857" t="s">
        <v>1896</v>
      </c>
      <c r="C203" s="1858" t="s">
        <v>2552</v>
      </c>
      <c r="D203" s="1858"/>
      <c r="E203" s="1858"/>
      <c r="F203" s="1858"/>
      <c r="G203" s="1858"/>
      <c r="I203" s="1918" t="str">
        <f>'Part I-Project Information'!I179</f>
        <v>No</v>
      </c>
      <c r="J203" s="1856" t="s">
        <v>731</v>
      </c>
      <c r="L203" s="1918">
        <f>'Part I-Project Information'!L179</f>
        <v>0</v>
      </c>
      <c r="M203" s="1856" t="s">
        <v>2223</v>
      </c>
      <c r="P203" s="1923">
        <f>'Part I-Project Information'!P179</f>
        <v>0</v>
      </c>
      <c r="Z203" s="1857">
        <v>179</v>
      </c>
    </row>
    <row r="204" spans="1:26" s="1856" customFormat="1" ht="12.6" customHeight="1">
      <c r="A204" s="1857"/>
      <c r="B204" s="1857"/>
      <c r="C204" s="1858" t="s">
        <v>2553</v>
      </c>
      <c r="D204" s="1858"/>
      <c r="E204" s="1858"/>
      <c r="F204" s="1858"/>
      <c r="G204" s="1858"/>
      <c r="I204" s="1918" t="str">
        <f>'Part I-Project Information'!I180</f>
        <v>Yes</v>
      </c>
      <c r="J204" s="1856" t="s">
        <v>731</v>
      </c>
      <c r="L204" s="1918">
        <f>'Part I-Project Information'!L180</f>
        <v>2043</v>
      </c>
      <c r="M204" s="1856" t="s">
        <v>2223</v>
      </c>
      <c r="P204" s="1923">
        <f>'Part I-Project Information'!P180</f>
        <v>5</v>
      </c>
      <c r="Z204" s="1857">
        <v>180</v>
      </c>
    </row>
    <row r="205" spans="1:26" s="1856" customFormat="1" ht="6" customHeight="1">
      <c r="A205" s="1857"/>
      <c r="B205" s="1857"/>
      <c r="C205" s="1858"/>
      <c r="D205" s="1858"/>
      <c r="F205" s="1858"/>
      <c r="G205" s="1858"/>
      <c r="K205" s="1857"/>
      <c r="O205" s="1857"/>
      <c r="P205" s="1880"/>
      <c r="Z205" s="1857">
        <v>181</v>
      </c>
    </row>
    <row r="206" spans="1:26" s="1856" customFormat="1" ht="12.6" customHeight="1">
      <c r="A206" s="1857"/>
      <c r="B206" s="1857" t="s">
        <v>719</v>
      </c>
      <c r="C206" s="1858" t="s">
        <v>1677</v>
      </c>
      <c r="D206" s="1858"/>
      <c r="E206" s="1858"/>
      <c r="F206" s="1858"/>
      <c r="G206" s="1858"/>
      <c r="I206" s="1918" t="str">
        <f>'Part I-Project Information'!I182</f>
        <v>No</v>
      </c>
      <c r="P206" s="1880"/>
      <c r="Z206" s="1857">
        <v>182</v>
      </c>
    </row>
    <row r="207" spans="1:26" s="1856" customFormat="1" ht="1.5" customHeight="1">
      <c r="A207" s="1857"/>
      <c r="B207" s="1857"/>
      <c r="C207" s="1858"/>
      <c r="E207" s="1922"/>
      <c r="F207" s="1922"/>
      <c r="G207" s="1922"/>
      <c r="I207" s="1922"/>
      <c r="J207" s="1922"/>
      <c r="K207" s="1857"/>
      <c r="L207" s="1922"/>
      <c r="M207" s="1922"/>
      <c r="N207" s="1857"/>
      <c r="O207" s="1922"/>
      <c r="P207" s="1922"/>
      <c r="Z207" s="1857">
        <v>183</v>
      </c>
    </row>
    <row r="208" spans="1:26" ht="13.5">
      <c r="B208" s="1857" t="s">
        <v>2022</v>
      </c>
      <c r="C208" s="1874" t="s">
        <v>6802</v>
      </c>
      <c r="D208" s="1925"/>
      <c r="E208" s="1926"/>
      <c r="F208" s="1926"/>
      <c r="G208" s="1926"/>
      <c r="H208" s="1926"/>
      <c r="I208" s="1926"/>
      <c r="J208" s="1926"/>
      <c r="K208" s="1926"/>
      <c r="L208" s="1926"/>
      <c r="M208" s="1926"/>
      <c r="N208" s="1926"/>
      <c r="O208" s="1926"/>
      <c r="P208" s="1926"/>
      <c r="Z208" s="1857">
        <v>184</v>
      </c>
    </row>
    <row r="209" spans="1:26" ht="12" customHeight="1">
      <c r="B209" s="1865"/>
      <c r="C209" s="1927" t="s">
        <v>1897</v>
      </c>
      <c r="D209" s="1874" t="s">
        <v>6491</v>
      </c>
      <c r="E209" s="1865"/>
      <c r="F209" s="1925"/>
      <c r="G209" s="1925"/>
      <c r="H209" s="1925"/>
      <c r="I209" s="1926"/>
      <c r="J209" s="1926"/>
      <c r="K209" s="1926"/>
      <c r="L209" s="1918" t="str">
        <f>'Part I-Project Information'!L185</f>
        <v>No</v>
      </c>
      <c r="M209" s="1874" t="s">
        <v>6492</v>
      </c>
      <c r="N209" s="1925"/>
      <c r="O209" s="1928">
        <f>'Part I-Project Information'!O185</f>
        <v>0</v>
      </c>
      <c r="P209" s="1928"/>
      <c r="Z209" s="1857">
        <v>185</v>
      </c>
    </row>
    <row r="210" spans="1:26" ht="12" customHeight="1">
      <c r="B210" s="1865"/>
      <c r="C210" s="1927" t="s">
        <v>1899</v>
      </c>
      <c r="D210" s="1874" t="s">
        <v>6620</v>
      </c>
      <c r="E210" s="1865"/>
      <c r="F210" s="1925"/>
      <c r="G210" s="1925"/>
      <c r="H210" s="1925"/>
      <c r="I210" s="1926"/>
      <c r="J210" s="1926"/>
      <c r="K210" s="1926"/>
      <c r="L210" s="1918" t="str">
        <f>'Part I-Project Information'!L186</f>
        <v>No</v>
      </c>
      <c r="M210" s="1874" t="s">
        <v>6492</v>
      </c>
      <c r="N210" s="1925"/>
      <c r="O210" s="1928">
        <f>'Part I-Project Information'!O186</f>
        <v>0</v>
      </c>
      <c r="P210" s="1928"/>
      <c r="Z210" s="1857">
        <v>186</v>
      </c>
    </row>
    <row r="211" spans="1:26" ht="12" customHeight="1">
      <c r="B211" s="1865"/>
      <c r="C211" s="1927" t="s">
        <v>2417</v>
      </c>
      <c r="D211" s="1874" t="s">
        <v>6493</v>
      </c>
      <c r="E211" s="1865"/>
      <c r="F211" s="1925"/>
      <c r="G211" s="1925"/>
      <c r="H211" s="1925"/>
      <c r="I211" s="1926"/>
      <c r="J211" s="1926"/>
      <c r="K211" s="1926"/>
      <c r="L211" s="1918" t="str">
        <f>'Part I-Project Information'!L187</f>
        <v>No</v>
      </c>
      <c r="M211" s="1874" t="s">
        <v>6492</v>
      </c>
      <c r="N211" s="1925"/>
      <c r="O211" s="1928">
        <f>'Part I-Project Information'!O187</f>
        <v>0</v>
      </c>
      <c r="P211" s="1928"/>
      <c r="Z211" s="1868">
        <v>187</v>
      </c>
    </row>
    <row r="212" spans="1:26" ht="3" customHeight="1">
      <c r="B212" s="1929"/>
      <c r="D212" s="1926"/>
      <c r="E212" s="1926"/>
      <c r="F212" s="1926"/>
      <c r="G212" s="1926"/>
      <c r="H212" s="1926"/>
      <c r="I212" s="1926"/>
      <c r="J212" s="1926"/>
      <c r="K212" s="1926"/>
      <c r="L212" s="1925"/>
      <c r="M212" s="1925"/>
      <c r="N212" s="1925"/>
      <c r="O212" s="1925"/>
      <c r="P212" s="1925"/>
      <c r="Z212" s="1857">
        <v>188</v>
      </c>
    </row>
    <row r="213" spans="1:26" ht="13.5">
      <c r="B213" s="1930"/>
      <c r="C213" s="1874" t="s">
        <v>6805</v>
      </c>
      <c r="D213" s="1925"/>
      <c r="E213" s="1925"/>
      <c r="F213" s="1925"/>
      <c r="G213" s="1925"/>
      <c r="H213" s="1931" t="str">
        <f>'Part I-Project Information'!H189</f>
        <v/>
      </c>
      <c r="I213" s="1931"/>
      <c r="J213" s="1865"/>
      <c r="K213" s="1925"/>
      <c r="L213" s="1865"/>
      <c r="M213" s="1865"/>
      <c r="N213" s="1865"/>
      <c r="O213" s="1865"/>
      <c r="P213" s="1865"/>
      <c r="Z213" s="1857">
        <v>189</v>
      </c>
    </row>
    <row r="214" spans="1:26" ht="3.75" customHeight="1">
      <c r="A214" s="1932"/>
      <c r="B214" s="1874"/>
      <c r="C214" s="1874"/>
      <c r="D214" s="1874"/>
      <c r="E214" s="1874"/>
      <c r="F214" s="1874"/>
      <c r="G214" s="1874"/>
      <c r="H214" s="1874"/>
      <c r="I214" s="1874"/>
      <c r="J214" s="1874"/>
      <c r="K214" s="1874"/>
      <c r="L214" s="1874"/>
      <c r="M214" s="1874"/>
      <c r="N214" s="1933"/>
      <c r="O214" s="1933"/>
      <c r="P214" s="1874"/>
      <c r="Z214" s="1857">
        <v>190</v>
      </c>
    </row>
    <row r="215" spans="1:26" ht="12.75" customHeight="1">
      <c r="A215" s="1934"/>
      <c r="B215" s="1935"/>
      <c r="C215" s="1936" t="s">
        <v>6793</v>
      </c>
      <c r="D215" s="1936"/>
      <c r="E215" s="1936"/>
      <c r="F215" s="1936"/>
      <c r="G215" s="1865"/>
      <c r="H215" s="1874" t="s">
        <v>6807</v>
      </c>
      <c r="I215" s="1874"/>
      <c r="J215" s="1874" t="s">
        <v>6792</v>
      </c>
      <c r="K215" s="1874"/>
      <c r="L215" s="1874" t="s">
        <v>6791</v>
      </c>
      <c r="M215" s="1874"/>
      <c r="N215" s="1874"/>
      <c r="O215" s="1874"/>
      <c r="P215" s="1874"/>
      <c r="Z215" s="1857">
        <v>191</v>
      </c>
    </row>
    <row r="216" spans="1:26">
      <c r="A216" s="1934"/>
      <c r="B216" s="1937"/>
      <c r="C216" s="1936" t="s">
        <v>6803</v>
      </c>
      <c r="D216" s="1936"/>
      <c r="E216" s="1936"/>
      <c r="F216" s="1938" t="s">
        <v>6785</v>
      </c>
      <c r="G216" s="1938" t="s">
        <v>6786</v>
      </c>
      <c r="H216" s="1939" t="str">
        <f>'Part I-Project Information'!H192</f>
        <v/>
      </c>
      <c r="I216" s="1940" t="s">
        <v>6787</v>
      </c>
      <c r="J216" s="1874"/>
      <c r="K216" s="1874"/>
      <c r="L216" s="1874"/>
      <c r="M216" s="1874"/>
      <c r="N216" s="1874"/>
      <c r="O216" s="1874"/>
      <c r="P216" s="1874"/>
      <c r="R216" s="1865"/>
      <c r="S216" s="1865"/>
      <c r="T216" s="1865"/>
      <c r="U216" s="1865"/>
      <c r="V216" s="1865"/>
      <c r="Z216" s="1857">
        <v>192</v>
      </c>
    </row>
    <row r="217" spans="1:26" ht="12" customHeight="1">
      <c r="A217" s="1935"/>
      <c r="B217" s="1865"/>
      <c r="C217" s="1937" t="s">
        <v>6788</v>
      </c>
      <c r="D217" s="1937"/>
      <c r="E217" s="1856"/>
      <c r="F217" s="1923">
        <f>'Part I-Project Information'!F193</f>
        <v>0</v>
      </c>
      <c r="G217" s="1923">
        <f>'Part I-Project Information'!G193</f>
        <v>0</v>
      </c>
      <c r="H217" s="1941">
        <f>'Part I-Project Information'!H193</f>
        <v>0</v>
      </c>
      <c r="I217" s="1941">
        <f>'Part I-Project Information'!I193</f>
        <v>0</v>
      </c>
      <c r="J217" s="1928">
        <f>'Part I-Project Information'!J193</f>
        <v>0</v>
      </c>
      <c r="K217" s="1928"/>
      <c r="L217" s="1942">
        <f>'Part I-Project Information'!L193</f>
        <v>0</v>
      </c>
      <c r="M217" s="1942"/>
      <c r="N217" s="1942"/>
      <c r="O217" s="1942"/>
      <c r="P217" s="1942"/>
      <c r="R217" s="1865"/>
      <c r="S217" s="1865"/>
      <c r="T217" s="1865"/>
      <c r="U217" s="1865"/>
      <c r="V217" s="1865"/>
      <c r="Z217" s="1857">
        <v>193</v>
      </c>
    </row>
    <row r="218" spans="1:26" ht="12" customHeight="1">
      <c r="A218" s="1935"/>
      <c r="B218" s="1865"/>
      <c r="C218" s="1937" t="s">
        <v>6789</v>
      </c>
      <c r="D218" s="1937"/>
      <c r="E218" s="1856"/>
      <c r="F218" s="1923">
        <f>'Part I-Project Information'!F194</f>
        <v>0</v>
      </c>
      <c r="G218" s="1923">
        <f>'Part I-Project Information'!G194</f>
        <v>0</v>
      </c>
      <c r="H218" s="1941">
        <f>'Part I-Project Information'!H194</f>
        <v>0</v>
      </c>
      <c r="I218" s="1941">
        <f>'Part I-Project Information'!I194</f>
        <v>0</v>
      </c>
      <c r="J218" s="1928">
        <f>'Part I-Project Information'!J194</f>
        <v>0</v>
      </c>
      <c r="K218" s="1928"/>
      <c r="L218" s="1942">
        <f>'Part I-Project Information'!L194</f>
        <v>0</v>
      </c>
      <c r="M218" s="1942"/>
      <c r="N218" s="1942"/>
      <c r="O218" s="1942"/>
      <c r="P218" s="1942"/>
      <c r="R218" s="1865"/>
      <c r="S218" s="1865"/>
      <c r="T218" s="1865"/>
      <c r="U218" s="1865"/>
      <c r="V218" s="1865"/>
      <c r="Z218" s="1857">
        <v>194</v>
      </c>
    </row>
    <row r="219" spans="1:26" ht="12" customHeight="1">
      <c r="A219" s="1935"/>
      <c r="B219" s="1865"/>
      <c r="C219" s="1937" t="s">
        <v>6494</v>
      </c>
      <c r="D219" s="1937"/>
      <c r="E219" s="1856"/>
      <c r="F219" s="1923">
        <f>'Part I-Project Information'!F195</f>
        <v>0</v>
      </c>
      <c r="G219" s="1923">
        <f>'Part I-Project Information'!G195</f>
        <v>0</v>
      </c>
      <c r="H219" s="1941">
        <f>'Part I-Project Information'!H195</f>
        <v>0</v>
      </c>
      <c r="I219" s="1941">
        <f>'Part I-Project Information'!I195</f>
        <v>0</v>
      </c>
      <c r="J219" s="1928">
        <f>'Part I-Project Information'!J195</f>
        <v>0</v>
      </c>
      <c r="K219" s="1928"/>
      <c r="L219" s="1942">
        <f>'Part I-Project Information'!L195</f>
        <v>0</v>
      </c>
      <c r="M219" s="1942"/>
      <c r="N219" s="1942"/>
      <c r="O219" s="1942"/>
      <c r="P219" s="1942"/>
      <c r="R219" s="1865"/>
      <c r="S219" s="1865"/>
      <c r="T219" s="1865"/>
      <c r="U219" s="1865"/>
      <c r="V219" s="1865"/>
      <c r="Z219" s="1857">
        <v>195</v>
      </c>
    </row>
    <row r="220" spans="1:26" ht="12" customHeight="1">
      <c r="A220" s="1935"/>
      <c r="B220" s="1865"/>
      <c r="C220" s="1937" t="s">
        <v>6790</v>
      </c>
      <c r="D220" s="1937"/>
      <c r="E220" s="1856"/>
      <c r="F220" s="1923">
        <f>'Part I-Project Information'!F196</f>
        <v>0</v>
      </c>
      <c r="G220" s="1923">
        <f>'Part I-Project Information'!G196</f>
        <v>0</v>
      </c>
      <c r="H220" s="1941">
        <f>'Part I-Project Information'!H196</f>
        <v>0</v>
      </c>
      <c r="I220" s="1941">
        <f>'Part I-Project Information'!I196</f>
        <v>0</v>
      </c>
      <c r="J220" s="1928">
        <f>'Part I-Project Information'!J196</f>
        <v>0</v>
      </c>
      <c r="K220" s="1928"/>
      <c r="L220" s="1942">
        <f>'Part I-Project Information'!L196</f>
        <v>0</v>
      </c>
      <c r="M220" s="1942"/>
      <c r="N220" s="1942"/>
      <c r="O220" s="1942"/>
      <c r="P220" s="1942"/>
      <c r="R220" s="1865"/>
      <c r="S220" s="1865"/>
      <c r="T220" s="1865"/>
      <c r="U220" s="1865"/>
      <c r="V220" s="1865"/>
      <c r="Z220" s="1868">
        <v>196</v>
      </c>
    </row>
    <row r="221" spans="1:26" ht="12" customHeight="1">
      <c r="A221" s="1888"/>
      <c r="B221" s="1865"/>
      <c r="C221" s="1863" t="str">
        <f>'Part I-Project Information'!C197</f>
        <v>Other (indicate type here &amp; explain below):</v>
      </c>
      <c r="D221" s="1863"/>
      <c r="E221" s="1863"/>
      <c r="F221" s="1923">
        <f>'Part I-Project Information'!F197</f>
        <v>0</v>
      </c>
      <c r="G221" s="1923">
        <f>'Part I-Project Information'!G197</f>
        <v>0</v>
      </c>
      <c r="H221" s="1941">
        <f>'Part I-Project Information'!H197</f>
        <v>0</v>
      </c>
      <c r="I221" s="1941">
        <f>'Part I-Project Information'!I197</f>
        <v>0</v>
      </c>
      <c r="J221" s="1928">
        <f>'Part I-Project Information'!J197</f>
        <v>0</v>
      </c>
      <c r="K221" s="1928"/>
      <c r="L221" s="1942">
        <f>'Part I-Project Information'!L197</f>
        <v>0</v>
      </c>
      <c r="M221" s="1942"/>
      <c r="N221" s="1942"/>
      <c r="O221" s="1942"/>
      <c r="P221" s="1942"/>
      <c r="R221" s="1865"/>
      <c r="S221" s="1865"/>
      <c r="T221" s="1865"/>
      <c r="U221" s="1865"/>
      <c r="V221" s="1865"/>
      <c r="Z221" s="1868">
        <v>197</v>
      </c>
    </row>
    <row r="222" spans="1:26" ht="13.5" customHeight="1">
      <c r="A222" s="1888"/>
      <c r="B222" s="1943" t="s">
        <v>6806</v>
      </c>
      <c r="C222" s="1944"/>
      <c r="D222" s="1944"/>
      <c r="E222" s="1945"/>
      <c r="F222" s="1946"/>
      <c r="G222" s="1946"/>
      <c r="H222" s="1947"/>
      <c r="I222" s="1947"/>
      <c r="J222" s="1948"/>
      <c r="K222" s="1948"/>
      <c r="L222" s="1948"/>
      <c r="M222" s="1948"/>
      <c r="N222" s="1949"/>
      <c r="O222" s="1949"/>
      <c r="P222" s="1950"/>
      <c r="Z222" s="1857">
        <v>198</v>
      </c>
    </row>
    <row r="223" spans="1:26" ht="22.5" customHeight="1">
      <c r="A223" s="1888"/>
      <c r="B223" s="1951">
        <f>'Part I-Project Information'!B199</f>
        <v>0</v>
      </c>
      <c r="C223" s="1951"/>
      <c r="D223" s="1951"/>
      <c r="E223" s="1951"/>
      <c r="F223" s="1951"/>
      <c r="G223" s="1951"/>
      <c r="H223" s="1951"/>
      <c r="I223" s="1951"/>
      <c r="J223" s="1951"/>
      <c r="K223" s="1951"/>
      <c r="L223" s="1951"/>
      <c r="M223" s="1951"/>
      <c r="N223" s="1951"/>
      <c r="O223" s="1951"/>
      <c r="P223" s="1951"/>
      <c r="Z223" s="1857">
        <v>199</v>
      </c>
    </row>
    <row r="224" spans="1:26" ht="22.5" customHeight="1">
      <c r="A224" s="1888"/>
      <c r="B224" s="1951"/>
      <c r="C224" s="1951"/>
      <c r="D224" s="1951"/>
      <c r="E224" s="1951"/>
      <c r="F224" s="1951"/>
      <c r="G224" s="1951"/>
      <c r="H224" s="1951"/>
      <c r="I224" s="1951"/>
      <c r="J224" s="1951"/>
      <c r="K224" s="1951"/>
      <c r="L224" s="1951"/>
      <c r="M224" s="1951"/>
      <c r="N224" s="1951"/>
      <c r="O224" s="1951"/>
      <c r="P224" s="1951"/>
      <c r="Z224" s="1857">
        <v>200</v>
      </c>
    </row>
    <row r="225" spans="1:26" ht="22.5" customHeight="1">
      <c r="A225" s="1934"/>
      <c r="B225" s="1951"/>
      <c r="C225" s="1951"/>
      <c r="D225" s="1951"/>
      <c r="E225" s="1951"/>
      <c r="F225" s="1951"/>
      <c r="G225" s="1951"/>
      <c r="H225" s="1951"/>
      <c r="I225" s="1951"/>
      <c r="J225" s="1951"/>
      <c r="K225" s="1951"/>
      <c r="L225" s="1951"/>
      <c r="M225" s="1951"/>
      <c r="N225" s="1951"/>
      <c r="O225" s="1951"/>
      <c r="P225" s="1951"/>
      <c r="Z225" s="1857">
        <v>201</v>
      </c>
    </row>
    <row r="226" spans="1:26" s="1856" customFormat="1" ht="6" customHeight="1">
      <c r="A226" s="1857"/>
      <c r="B226" s="1857"/>
      <c r="M226" s="1858"/>
      <c r="N226" s="1903"/>
      <c r="O226" s="1903"/>
      <c r="P226" s="1952"/>
      <c r="Z226" s="1857">
        <v>202</v>
      </c>
    </row>
    <row r="227" spans="1:26" s="1856" customFormat="1" ht="13.35" customHeight="1">
      <c r="A227" s="1857"/>
      <c r="B227" s="1857" t="s">
        <v>1656</v>
      </c>
      <c r="C227" s="1858" t="s">
        <v>1543</v>
      </c>
      <c r="D227" s="1903"/>
      <c r="E227" s="1903"/>
      <c r="F227" s="1903"/>
      <c r="G227" s="1903"/>
      <c r="H227" s="1857"/>
      <c r="J227" s="1865"/>
      <c r="K227" s="1883"/>
      <c r="O227" s="1857"/>
      <c r="P227" s="1880"/>
      <c r="Z227" s="1857">
        <v>203</v>
      </c>
    </row>
    <row r="228" spans="1:26" s="1856" customFormat="1" ht="12.6" customHeight="1">
      <c r="A228" s="1857"/>
      <c r="B228" s="1857"/>
      <c r="C228" s="1856" t="s">
        <v>2112</v>
      </c>
      <c r="I228" s="1918" t="str">
        <f>'Part I-Project Information'!I204</f>
        <v>No</v>
      </c>
      <c r="L228" s="1856" t="s">
        <v>1544</v>
      </c>
      <c r="P228" s="1918" t="str">
        <f>'Part I-Project Information'!P204</f>
        <v>Yes</v>
      </c>
      <c r="Z228" s="1857">
        <v>204</v>
      </c>
    </row>
    <row r="229" spans="1:26" s="1856" customFormat="1" ht="12.6" customHeight="1">
      <c r="A229" s="1857"/>
      <c r="B229" s="1857"/>
      <c r="C229" s="1856" t="s">
        <v>2113</v>
      </c>
      <c r="I229" s="1918" t="str">
        <f>'Part I-Project Information'!I205</f>
        <v>No</v>
      </c>
      <c r="L229" s="1856" t="s">
        <v>6548</v>
      </c>
      <c r="P229" s="1918" t="str">
        <f>'Part I-Project Information'!P205</f>
        <v>No</v>
      </c>
      <c r="Z229" s="1857">
        <v>205</v>
      </c>
    </row>
    <row r="230" spans="1:26" s="1856" customFormat="1" ht="12.6" customHeight="1">
      <c r="A230" s="1857"/>
      <c r="C230" s="1856" t="s">
        <v>2568</v>
      </c>
      <c r="I230" s="1918" t="str">
        <f>'Part I-Project Information'!I206</f>
        <v>No</v>
      </c>
      <c r="L230" s="1856" t="s">
        <v>2542</v>
      </c>
      <c r="N230" s="1953">
        <f>'Part I-Project Information'!N206</f>
        <v>0</v>
      </c>
      <c r="O230" s="1953"/>
      <c r="P230" s="1918" t="str">
        <f>'Part I-Project Information'!P206</f>
        <v>No</v>
      </c>
      <c r="Z230" s="1868">
        <v>206</v>
      </c>
    </row>
    <row r="231" spans="1:26" s="1856" customFormat="1" ht="12.6" customHeight="1">
      <c r="A231" s="1857"/>
      <c r="B231" s="1857"/>
      <c r="C231" s="1856" t="s">
        <v>1237</v>
      </c>
      <c r="D231" s="1875"/>
      <c r="I231" s="1918" t="str">
        <f>'Part I-Project Information'!I207</f>
        <v>No</v>
      </c>
      <c r="L231" s="1856" t="s">
        <v>3208</v>
      </c>
      <c r="P231" s="1918" t="str">
        <f>'Part I-Project Information'!P207</f>
        <v>No</v>
      </c>
      <c r="Z231" s="1857">
        <v>207</v>
      </c>
    </row>
    <row r="232" spans="1:26" s="1856" customFormat="1" ht="12.6" customHeight="1">
      <c r="A232" s="1857"/>
      <c r="C232" s="1856" t="s">
        <v>4129</v>
      </c>
      <c r="I232" s="1918" t="str">
        <f>'Part I-Project Information'!I208</f>
        <v>No</v>
      </c>
      <c r="J232" s="1954" t="s">
        <v>2586</v>
      </c>
      <c r="O232" s="1955">
        <f>-'Part I-Project Information'!O208</f>
        <v>0</v>
      </c>
      <c r="P232" s="1955"/>
      <c r="Z232" s="1857">
        <v>208</v>
      </c>
    </row>
    <row r="233" spans="1:26" s="1856" customFormat="1" ht="12.6" customHeight="1">
      <c r="A233" s="1857"/>
      <c r="C233" s="1856" t="s">
        <v>1723</v>
      </c>
      <c r="I233" s="1918" t="str">
        <f>'Part I-Project Information'!I209</f>
        <v>No</v>
      </c>
      <c r="J233" s="1954" t="s">
        <v>2586</v>
      </c>
      <c r="O233" s="1955">
        <f>-'Part I-Project Information'!O209</f>
        <v>0</v>
      </c>
      <c r="P233" s="1955"/>
      <c r="Z233" s="1857">
        <v>209</v>
      </c>
    </row>
    <row r="234" spans="1:26" s="1856" customFormat="1" ht="12.6" customHeight="1">
      <c r="A234" s="1857"/>
      <c r="B234" s="1857"/>
      <c r="C234" s="1856" t="s">
        <v>2691</v>
      </c>
      <c r="I234" s="1918" t="str">
        <f>'Part I-Project Information'!I210</f>
        <v>No</v>
      </c>
      <c r="J234" s="1954" t="s">
        <v>2586</v>
      </c>
      <c r="O234" s="1955">
        <f>-'Part I-Project Information'!O210</f>
        <v>0</v>
      </c>
      <c r="P234" s="1955"/>
      <c r="Z234" s="1857">
        <v>210</v>
      </c>
    </row>
    <row r="235" spans="1:26" s="1856" customFormat="1" ht="12.6" customHeight="1">
      <c r="A235" s="1857"/>
      <c r="B235" s="1857"/>
      <c r="C235" s="1937" t="s">
        <v>6403</v>
      </c>
      <c r="I235" s="1918" t="str">
        <f>'Part I-Project Information'!I211</f>
        <v>No</v>
      </c>
      <c r="J235" s="1954"/>
      <c r="Z235" s="1857">
        <v>211</v>
      </c>
    </row>
    <row r="236" spans="1:26" s="1856" customFormat="1" ht="3" customHeight="1">
      <c r="A236" s="1857"/>
      <c r="B236" s="1857"/>
      <c r="P236" s="1865"/>
      <c r="Z236" s="1857">
        <v>212</v>
      </c>
    </row>
    <row r="237" spans="1:26" s="1856" customFormat="1" ht="13.35" customHeight="1">
      <c r="B237" s="1857" t="s">
        <v>1657</v>
      </c>
      <c r="C237" s="1858" t="s">
        <v>709</v>
      </c>
      <c r="F237" s="1858" t="s">
        <v>609</v>
      </c>
      <c r="I237" s="1928">
        <f>'Part I-Project Information'!I213</f>
        <v>0</v>
      </c>
      <c r="J237" s="1928"/>
      <c r="Z237" s="1857">
        <v>213</v>
      </c>
    </row>
    <row r="238" spans="1:26" s="1856" customFormat="1" ht="12.6" customHeight="1">
      <c r="A238" s="1857"/>
      <c r="B238" s="1857"/>
      <c r="D238" s="1903"/>
      <c r="E238" s="1903"/>
      <c r="F238" s="1858" t="s">
        <v>265</v>
      </c>
      <c r="I238" s="1928">
        <f>'Part I-Project Information'!I214</f>
        <v>0</v>
      </c>
      <c r="J238" s="1928"/>
      <c r="Z238" s="1857">
        <v>214</v>
      </c>
    </row>
    <row r="239" spans="1:26" s="1856" customFormat="1" ht="12.6" customHeight="1">
      <c r="A239" s="1857"/>
      <c r="B239" s="1857"/>
      <c r="D239" s="1903"/>
      <c r="E239" s="1903"/>
      <c r="F239" s="1858" t="s">
        <v>2193</v>
      </c>
      <c r="I239" s="1928">
        <f>'Part I-Project Information'!I215</f>
        <v>45291</v>
      </c>
      <c r="J239" s="1928"/>
      <c r="Z239" s="1868">
        <v>215</v>
      </c>
    </row>
    <row r="240" spans="1:26" s="1856" customFormat="1" ht="2.25" customHeight="1">
      <c r="L240" s="1865"/>
      <c r="M240" s="1865"/>
      <c r="N240" s="1865"/>
      <c r="O240" s="1865"/>
      <c r="P240" s="1860"/>
      <c r="Z240" s="1857">
        <v>216</v>
      </c>
    </row>
    <row r="241" spans="1:26" s="1865" customFormat="1" ht="12" customHeight="1">
      <c r="A241" s="1865" t="s">
        <v>2606</v>
      </c>
      <c r="C241" s="1865" t="s">
        <v>543</v>
      </c>
      <c r="M241" s="1865" t="s">
        <v>2150</v>
      </c>
      <c r="N241" s="1865" t="s">
        <v>74</v>
      </c>
      <c r="Z241" s="1857">
        <v>217</v>
      </c>
    </row>
    <row r="242" spans="1:26" s="1865" customFormat="1" ht="103.5" customHeight="1">
      <c r="A242" s="1956" t="str">
        <f>'Part I-Project Information'!A218</f>
        <v xml:space="preserve">     Owner commits to the extension of the cancellation option for 5 years. We expect the placed in service date to be on or before 12/31/2023. Regardless of the actual placed in service date, the owner will extend for the 5 year period.
    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v>
      </c>
      <c r="B242" s="1956"/>
      <c r="C242" s="1956"/>
      <c r="D242" s="1956"/>
      <c r="E242" s="1956"/>
      <c r="F242" s="1956"/>
      <c r="G242" s="1956"/>
      <c r="H242" s="1956"/>
      <c r="I242" s="1956"/>
      <c r="J242" s="1956"/>
      <c r="K242" s="1956"/>
      <c r="L242" s="1956"/>
      <c r="M242" s="1956"/>
      <c r="N242" s="1956"/>
      <c r="O242" s="1956"/>
      <c r="P242" s="1956"/>
      <c r="Q242" s="1924"/>
      <c r="R242" s="1924"/>
      <c r="S242" s="1924"/>
      <c r="T242" s="1924"/>
      <c r="U242" s="1924"/>
      <c r="Z242" s="1857">
        <v>218</v>
      </c>
    </row>
    <row r="247" spans="1:26" s="1856" customFormat="1" ht="14.1" customHeight="1">
      <c r="A247" s="1856" t="str">
        <f>CONCATENATE("PART TWO - DEVELOPMENT TEAM INFORMATION","  -  ",'Part I-Project Information'!$O$7," ",'Part I-Project Information'!$F$35,", ",'Part I-Project Information'!F284,", ",'Part I-Project Information'!J285," County")</f>
        <v>PART TWO - DEVELOPMENT TEAM INFORMATION  -  2021-015 The Peaks at Turnberry, ,  County</v>
      </c>
      <c r="Z247" s="1857">
        <v>2</v>
      </c>
    </row>
    <row r="248" spans="1:26" s="1865" customFormat="1" ht="12" customHeight="1">
      <c r="A248" s="1858" t="s">
        <v>3813</v>
      </c>
      <c r="Z248" s="1857">
        <v>3</v>
      </c>
    </row>
    <row r="249" spans="1:26" s="1856" customFormat="1" ht="13.35" customHeight="1">
      <c r="A249" s="1856" t="s">
        <v>586</v>
      </c>
      <c r="B249" s="1858" t="s">
        <v>1773</v>
      </c>
      <c r="C249" s="1858"/>
      <c r="E249" s="1858"/>
      <c r="F249" s="1858"/>
      <c r="G249" s="1858"/>
      <c r="H249" s="1859" t="s">
        <v>3615</v>
      </c>
      <c r="O249" s="1957" t="str">
        <f>'Part I-Project Information'!$B$7</f>
        <v>2021 Core App
May 10 Rev</v>
      </c>
      <c r="P249" s="1957"/>
      <c r="Q249" s="1957"/>
      <c r="R249" s="1957"/>
      <c r="S249" s="1957"/>
      <c r="Z249" s="1857">
        <v>4</v>
      </c>
    </row>
    <row r="250" spans="1:26" s="1856" customFormat="1" ht="8.4499999999999993" customHeight="1">
      <c r="D250" s="1858"/>
      <c r="E250" s="1858"/>
      <c r="F250" s="1858"/>
      <c r="G250" s="1858"/>
      <c r="H250" s="1858"/>
      <c r="I250" s="1858"/>
      <c r="J250" s="1858"/>
      <c r="Z250" s="1857">
        <v>5</v>
      </c>
    </row>
    <row r="251" spans="1:26" s="1856" customFormat="1" ht="11.25" customHeight="1">
      <c r="B251" s="1856" t="s">
        <v>1894</v>
      </c>
      <c r="C251" s="1858" t="s">
        <v>1769</v>
      </c>
      <c r="H251" s="1863" t="str">
        <f>'Part II-Development Team'!H6</f>
        <v>The Peaks at Turnberry, LP</v>
      </c>
      <c r="I251" s="1914"/>
      <c r="J251" s="1914"/>
      <c r="K251" s="1914"/>
      <c r="L251" s="1914"/>
      <c r="M251" s="1914"/>
      <c r="N251" s="1914"/>
      <c r="O251" s="1888" t="s">
        <v>1900</v>
      </c>
      <c r="P251" s="1888"/>
      <c r="Q251" s="1863" t="str">
        <f>'Part II-Development Team'!Q6</f>
        <v>Mark E. English</v>
      </c>
      <c r="R251" s="1914"/>
      <c r="S251" s="1914"/>
      <c r="Z251" s="1857">
        <v>6</v>
      </c>
    </row>
    <row r="252" spans="1:26" s="1856" customFormat="1" ht="11.25" customHeight="1">
      <c r="D252" s="1887"/>
      <c r="E252" s="1858" t="s">
        <v>982</v>
      </c>
      <c r="F252" s="1860"/>
      <c r="H252" s="1863" t="str">
        <f>'Part II-Development Team'!H7</f>
        <v>100 Towncenter Blvd. Suite 300</v>
      </c>
      <c r="I252" s="1914"/>
      <c r="J252" s="1914"/>
      <c r="K252" s="1914"/>
      <c r="L252" s="1914"/>
      <c r="M252" s="1914"/>
      <c r="N252" s="1914"/>
      <c r="O252" s="1888" t="s">
        <v>1668</v>
      </c>
      <c r="P252" s="1863"/>
      <c r="Q252" s="1863" t="str">
        <f>'Part II-Development Team'!Q7</f>
        <v>President of GP</v>
      </c>
      <c r="R252" s="1914"/>
      <c r="S252" s="1914"/>
      <c r="Z252" s="1857">
        <v>7</v>
      </c>
    </row>
    <row r="253" spans="1:26" s="1856" customFormat="1" ht="11.25" customHeight="1">
      <c r="D253" s="1887"/>
      <c r="E253" s="1858" t="s">
        <v>588</v>
      </c>
      <c r="H253" s="1863" t="str">
        <f>'Part II-Development Team'!H8</f>
        <v>Tuscaloosa</v>
      </c>
      <c r="I253" s="1914"/>
      <c r="J253" s="1914"/>
      <c r="K253" s="1879" t="s">
        <v>732</v>
      </c>
      <c r="L253" s="1863" t="str">
        <f>'Part II-Development Team'!L8</f>
        <v>To Be Applied For</v>
      </c>
      <c r="M253" s="1914"/>
      <c r="N253" s="1914"/>
      <c r="O253" s="1888" t="s">
        <v>1644</v>
      </c>
      <c r="P253" s="1863"/>
      <c r="Q253" s="1878">
        <f>'Part II-Development Team'!Q8</f>
        <v>2057229331</v>
      </c>
      <c r="R253" s="1878"/>
      <c r="S253" s="1878"/>
      <c r="Z253" s="1857">
        <v>8</v>
      </c>
    </row>
    <row r="254" spans="1:26" s="1856" customFormat="1" ht="11.25" customHeight="1">
      <c r="D254" s="1887"/>
      <c r="E254" s="1858" t="s">
        <v>1717</v>
      </c>
      <c r="H254" s="1888" t="str">
        <f>'Part II-Development Team'!H9</f>
        <v>AL</v>
      </c>
      <c r="I254" s="1879" t="s">
        <v>2129</v>
      </c>
      <c r="J254" s="1877">
        <f>'Part II-Development Team'!J9</f>
        <v>354061835</v>
      </c>
      <c r="K254" s="1914"/>
      <c r="L254" s="1863" t="s">
        <v>3324</v>
      </c>
      <c r="M254" s="1863" t="str">
        <f>'Part II-Development Team'!M9</f>
        <v>For Profit</v>
      </c>
      <c r="N254" s="1863"/>
      <c r="O254" s="1888" t="s">
        <v>1890</v>
      </c>
      <c r="P254" s="1863"/>
      <c r="Q254" s="1878">
        <f>'Part II-Development Team'!Q9</f>
        <v>2053948000</v>
      </c>
      <c r="R254" s="1878"/>
      <c r="S254" s="1878"/>
      <c r="Z254" s="1857">
        <v>9</v>
      </c>
    </row>
    <row r="255" spans="1:26" s="1856" customFormat="1" ht="11.25" customHeight="1">
      <c r="D255" s="1887"/>
      <c r="E255" s="1858" t="s">
        <v>3616</v>
      </c>
      <c r="H255" s="1878">
        <f>'Part II-Development Team'!H10</f>
        <v>2057229331</v>
      </c>
      <c r="I255" s="1878"/>
      <c r="J255" s="1918">
        <f>'Part II-Development Team'!J10</f>
        <v>0</v>
      </c>
      <c r="K255" s="1879" t="s">
        <v>1895</v>
      </c>
      <c r="L255" s="1872" t="str">
        <f>'Part II-Development Team'!L10</f>
        <v>mark@nahpa.org</v>
      </c>
      <c r="M255" s="1872"/>
      <c r="N255" s="1872"/>
      <c r="O255" s="1872"/>
      <c r="P255" s="1872"/>
      <c r="Q255" s="1872"/>
      <c r="R255" s="1872"/>
      <c r="S255" s="1872"/>
      <c r="Z255" s="1868">
        <v>10</v>
      </c>
    </row>
    <row r="256" spans="1:26" s="1856" customFormat="1" ht="11.25" customHeight="1">
      <c r="D256" s="1887"/>
      <c r="E256" s="1859" t="s">
        <v>3615</v>
      </c>
      <c r="H256" s="1958"/>
      <c r="I256" s="1863"/>
      <c r="J256" s="1863"/>
      <c r="K256" s="1869"/>
      <c r="L256" s="1863"/>
      <c r="M256" s="1863"/>
      <c r="N256" s="1863" t="s">
        <v>6843</v>
      </c>
      <c r="O256" s="1863"/>
      <c r="P256" s="1863"/>
      <c r="Q256" s="1879"/>
      <c r="R256" s="1863"/>
      <c r="S256" s="1863"/>
      <c r="T256" s="1863"/>
      <c r="Z256" s="1857">
        <v>11</v>
      </c>
    </row>
    <row r="257" spans="2:26" s="1856" customFormat="1" ht="4.3499999999999996" customHeight="1">
      <c r="D257" s="1908"/>
      <c r="E257" s="1858"/>
      <c r="F257" s="1858"/>
      <c r="G257" s="1858"/>
      <c r="H257" s="1888"/>
      <c r="I257" s="1888"/>
      <c r="J257" s="1888"/>
      <c r="K257" s="1863"/>
      <c r="L257" s="1863"/>
      <c r="M257" s="1863"/>
      <c r="N257" s="1888"/>
      <c r="O257" s="1888"/>
      <c r="P257" s="1888"/>
      <c r="Q257" s="1888"/>
      <c r="R257" s="1888"/>
      <c r="S257" s="1888"/>
      <c r="T257" s="1888"/>
      <c r="Z257" s="1857">
        <v>12</v>
      </c>
    </row>
    <row r="258" spans="2:26" s="1856" customFormat="1" ht="11.25" customHeight="1">
      <c r="B258" s="1865" t="s">
        <v>1896</v>
      </c>
      <c r="C258" s="1858" t="s">
        <v>1770</v>
      </c>
      <c r="F258" s="1858"/>
      <c r="G258" s="1858"/>
      <c r="H258" s="1888"/>
      <c r="I258" s="1888"/>
      <c r="J258" s="1863"/>
      <c r="K258" s="1863"/>
      <c r="L258" s="1863"/>
      <c r="M258" s="1863"/>
      <c r="N258" s="1959" t="s">
        <v>1236</v>
      </c>
      <c r="O258" s="1863"/>
      <c r="P258" s="1863"/>
      <c r="Q258" s="1863"/>
      <c r="R258" s="1863"/>
      <c r="S258" s="1863"/>
      <c r="W258" s="1959"/>
      <c r="X258" s="1959"/>
      <c r="Y258" s="1959"/>
      <c r="Z258" s="1857">
        <v>13</v>
      </c>
    </row>
    <row r="259" spans="2:26" s="1856" customFormat="1" ht="11.25" customHeight="1">
      <c r="C259" s="1960" t="s">
        <v>1897</v>
      </c>
      <c r="D259" s="1865" t="s">
        <v>1898</v>
      </c>
      <c r="H259" s="1863"/>
      <c r="I259" s="1863"/>
      <c r="J259" s="1863"/>
      <c r="K259" s="1863"/>
      <c r="L259" s="1863"/>
      <c r="M259" s="1863"/>
      <c r="N259" s="1869"/>
      <c r="O259" s="1863"/>
      <c r="P259" s="1863"/>
      <c r="Q259" s="1863"/>
      <c r="R259" s="1863"/>
      <c r="S259" s="1863"/>
      <c r="W259" s="1961"/>
      <c r="X259" s="1961"/>
      <c r="Y259" s="1961"/>
      <c r="Z259" s="1857">
        <v>14</v>
      </c>
    </row>
    <row r="260" spans="2:26" s="1856" customFormat="1" ht="11.25" customHeight="1">
      <c r="D260" s="1856" t="s">
        <v>2023</v>
      </c>
      <c r="E260" s="1856" t="s">
        <v>1771</v>
      </c>
      <c r="H260" s="1863" t="str">
        <f>'Part II-Development Team'!H15</f>
        <v>NAHPA 2021 GA, Inc.</v>
      </c>
      <c r="I260" s="1914"/>
      <c r="J260" s="1914"/>
      <c r="K260" s="1914"/>
      <c r="L260" s="1914"/>
      <c r="M260" s="1914"/>
      <c r="N260" s="1914"/>
      <c r="O260" s="1888" t="s">
        <v>1900</v>
      </c>
      <c r="P260" s="1888"/>
      <c r="Q260" s="1863" t="str">
        <f>'Part II-Development Team'!Q15</f>
        <v>Mark E. English</v>
      </c>
      <c r="R260" s="1914"/>
      <c r="S260" s="1914"/>
      <c r="Z260" s="1857">
        <v>15</v>
      </c>
    </row>
    <row r="261" spans="2:26" s="1856" customFormat="1" ht="11.25" customHeight="1">
      <c r="D261" s="1887"/>
      <c r="E261" s="1858" t="s">
        <v>982</v>
      </c>
      <c r="F261" s="1860"/>
      <c r="H261" s="1863" t="str">
        <f>'Part II-Development Team'!H16</f>
        <v>100 Towncenter Blvd. Suite 300</v>
      </c>
      <c r="I261" s="1914"/>
      <c r="J261" s="1914"/>
      <c r="K261" s="1914"/>
      <c r="L261" s="1914"/>
      <c r="M261" s="1914"/>
      <c r="N261" s="1914"/>
      <c r="O261" s="1888" t="s">
        <v>1668</v>
      </c>
      <c r="P261" s="1863"/>
      <c r="Q261" s="1863" t="str">
        <f>'Part II-Development Team'!Q16</f>
        <v>President of GP</v>
      </c>
      <c r="R261" s="1914"/>
      <c r="S261" s="1914"/>
      <c r="Z261" s="1857">
        <v>16</v>
      </c>
    </row>
    <row r="262" spans="2:26" s="1856" customFormat="1" ht="11.25" customHeight="1">
      <c r="D262" s="1887"/>
      <c r="E262" s="1858" t="s">
        <v>588</v>
      </c>
      <c r="H262" s="1863" t="str">
        <f>'Part II-Development Team'!H17</f>
        <v>Tuscaloosa</v>
      </c>
      <c r="I262" s="1914"/>
      <c r="J262" s="1914"/>
      <c r="K262" s="1879" t="s">
        <v>2554</v>
      </c>
      <c r="L262" s="1863" t="str">
        <f>'Part II-Development Team'!L17</f>
        <v>N/A</v>
      </c>
      <c r="M262" s="1914"/>
      <c r="N262" s="1914"/>
      <c r="O262" s="1888" t="s">
        <v>1644</v>
      </c>
      <c r="P262" s="1863"/>
      <c r="Q262" s="1878">
        <f>'Part II-Development Team'!Q17</f>
        <v>2057229331</v>
      </c>
      <c r="R262" s="1878"/>
      <c r="S262" s="1878"/>
      <c r="Z262" s="1857">
        <v>17</v>
      </c>
    </row>
    <row r="263" spans="2:26" s="1856" customFormat="1" ht="11.25" customHeight="1">
      <c r="E263" s="1858" t="s">
        <v>1717</v>
      </c>
      <c r="H263" s="1888" t="str">
        <f>'Part II-Development Team'!H18</f>
        <v>AL</v>
      </c>
      <c r="I263" s="1863"/>
      <c r="J263" s="1863"/>
      <c r="K263" s="1879" t="s">
        <v>2129</v>
      </c>
      <c r="L263" s="1877">
        <f>'Part II-Development Team'!L18</f>
        <v>354061835</v>
      </c>
      <c r="M263" s="1914"/>
      <c r="N263" s="1863"/>
      <c r="O263" s="1888" t="s">
        <v>1890</v>
      </c>
      <c r="P263" s="1863"/>
      <c r="Q263" s="1878">
        <f>'Part II-Development Team'!Q18</f>
        <v>2053948000</v>
      </c>
      <c r="R263" s="1878"/>
      <c r="S263" s="1878"/>
      <c r="Z263" s="1857">
        <v>18</v>
      </c>
    </row>
    <row r="264" spans="2:26" s="1856" customFormat="1" ht="11.25" customHeight="1">
      <c r="D264" s="1887"/>
      <c r="E264" s="1858" t="s">
        <v>3616</v>
      </c>
      <c r="H264" s="1878">
        <f>'Part II-Development Team'!H19</f>
        <v>2057229331</v>
      </c>
      <c r="I264" s="1878"/>
      <c r="J264" s="1918">
        <f>'Part II-Development Team'!J19</f>
        <v>0</v>
      </c>
      <c r="K264" s="1879" t="s">
        <v>1895</v>
      </c>
      <c r="L264" s="1872" t="str">
        <f>'Part II-Development Team'!L19</f>
        <v>mark@nahpa.org</v>
      </c>
      <c r="M264" s="1872"/>
      <c r="N264" s="1872"/>
      <c r="O264" s="1872"/>
      <c r="P264" s="1872"/>
      <c r="Q264" s="1872"/>
      <c r="R264" s="1872"/>
      <c r="S264" s="1872"/>
      <c r="Z264" s="1868">
        <v>19</v>
      </c>
    </row>
    <row r="265" spans="2:26" s="1865" customFormat="1" ht="4.3499999999999996" customHeight="1">
      <c r="H265" s="1878"/>
      <c r="I265" s="1878"/>
      <c r="J265" s="1878"/>
      <c r="K265" s="1879"/>
      <c r="L265" s="1878"/>
      <c r="M265" s="1878"/>
      <c r="N265" s="1879"/>
      <c r="O265" s="1878"/>
      <c r="P265" s="1878"/>
      <c r="Q265" s="1879"/>
      <c r="R265" s="1878"/>
      <c r="S265" s="1878"/>
      <c r="Z265" s="1857">
        <v>20</v>
      </c>
    </row>
    <row r="266" spans="2:26" s="1856" customFormat="1" ht="11.25" customHeight="1">
      <c r="D266" s="1856" t="s">
        <v>2024</v>
      </c>
      <c r="E266" s="1856" t="s">
        <v>1772</v>
      </c>
      <c r="H266" s="1863">
        <f>'Part II-Development Team'!H21</f>
        <v>0</v>
      </c>
      <c r="I266" s="1914"/>
      <c r="J266" s="1914"/>
      <c r="K266" s="1914"/>
      <c r="L266" s="1914"/>
      <c r="M266" s="1914"/>
      <c r="N266" s="1914"/>
      <c r="O266" s="1888" t="s">
        <v>1900</v>
      </c>
      <c r="P266" s="1888"/>
      <c r="Q266" s="1863">
        <f>'Part II-Development Team'!Q21</f>
        <v>0</v>
      </c>
      <c r="R266" s="1914"/>
      <c r="S266" s="1914"/>
      <c r="Z266" s="1857">
        <v>21</v>
      </c>
    </row>
    <row r="267" spans="2:26" s="1856" customFormat="1" ht="11.25" customHeight="1">
      <c r="D267" s="1887"/>
      <c r="E267" s="1858" t="s">
        <v>982</v>
      </c>
      <c r="F267" s="1860"/>
      <c r="H267" s="1863">
        <f>'Part II-Development Team'!H22</f>
        <v>0</v>
      </c>
      <c r="I267" s="1914"/>
      <c r="J267" s="1914"/>
      <c r="K267" s="1914"/>
      <c r="L267" s="1914"/>
      <c r="M267" s="1914"/>
      <c r="N267" s="1914"/>
      <c r="O267" s="1888" t="s">
        <v>1668</v>
      </c>
      <c r="P267" s="1863"/>
      <c r="Q267" s="1863">
        <f>'Part II-Development Team'!Q22</f>
        <v>0</v>
      </c>
      <c r="R267" s="1914"/>
      <c r="S267" s="1914"/>
      <c r="Z267" s="1857">
        <v>22</v>
      </c>
    </row>
    <row r="268" spans="2:26" s="1856" customFormat="1" ht="11.25" customHeight="1">
      <c r="D268" s="1887"/>
      <c r="E268" s="1858" t="s">
        <v>588</v>
      </c>
      <c r="H268" s="1863">
        <f>'Part II-Development Team'!H23</f>
        <v>0</v>
      </c>
      <c r="I268" s="1914"/>
      <c r="J268" s="1914"/>
      <c r="K268" s="1879" t="s">
        <v>2554</v>
      </c>
      <c r="L268" s="1863">
        <f>'Part II-Development Team'!L23</f>
        <v>0</v>
      </c>
      <c r="M268" s="1914"/>
      <c r="N268" s="1914"/>
      <c r="O268" s="1888" t="s">
        <v>1644</v>
      </c>
      <c r="P268" s="1863"/>
      <c r="Q268" s="1878">
        <f>'Part II-Development Team'!Q23</f>
        <v>0</v>
      </c>
      <c r="R268" s="1878"/>
      <c r="S268" s="1878"/>
      <c r="Z268" s="1857">
        <v>23</v>
      </c>
    </row>
    <row r="269" spans="2:26" s="1856" customFormat="1" ht="11.25" customHeight="1">
      <c r="E269" s="1858" t="s">
        <v>1717</v>
      </c>
      <c r="H269" s="1888">
        <f>'Part II-Development Team'!H24</f>
        <v>0</v>
      </c>
      <c r="I269" s="1863"/>
      <c r="J269" s="1863"/>
      <c r="K269" s="1879" t="s">
        <v>2129</v>
      </c>
      <c r="L269" s="1877">
        <f>'Part II-Development Team'!L24</f>
        <v>0</v>
      </c>
      <c r="M269" s="1914"/>
      <c r="N269" s="1863"/>
      <c r="O269" s="1888" t="s">
        <v>1890</v>
      </c>
      <c r="P269" s="1863"/>
      <c r="Q269" s="1878">
        <f>'Part II-Development Team'!Q24</f>
        <v>0</v>
      </c>
      <c r="R269" s="1878"/>
      <c r="S269" s="1878"/>
      <c r="Z269" s="1857">
        <v>24</v>
      </c>
    </row>
    <row r="270" spans="2:26" s="1856" customFormat="1" ht="11.25" customHeight="1">
      <c r="D270" s="1887"/>
      <c r="E270" s="1858" t="s">
        <v>3616</v>
      </c>
      <c r="H270" s="1878">
        <f>'Part II-Development Team'!H25</f>
        <v>0</v>
      </c>
      <c r="I270" s="1878"/>
      <c r="J270" s="1918">
        <f>'Part II-Development Team'!J25</f>
        <v>0</v>
      </c>
      <c r="K270" s="1879" t="s">
        <v>1895</v>
      </c>
      <c r="L270" s="1872">
        <f>'Part II-Development Team'!L25</f>
        <v>0</v>
      </c>
      <c r="M270" s="1872"/>
      <c r="N270" s="1872"/>
      <c r="O270" s="1872"/>
      <c r="P270" s="1872"/>
      <c r="Q270" s="1872"/>
      <c r="R270" s="1872"/>
      <c r="S270" s="1872"/>
      <c r="Z270" s="1857">
        <v>25</v>
      </c>
    </row>
    <row r="271" spans="2:26" s="1856" customFormat="1" ht="4.3499999999999996" customHeight="1">
      <c r="D271" s="1887"/>
      <c r="G271" s="1858"/>
      <c r="H271" s="1878"/>
      <c r="I271" s="1878"/>
      <c r="J271" s="1878"/>
      <c r="K271" s="1879"/>
      <c r="L271" s="1878"/>
      <c r="M271" s="1878"/>
      <c r="N271" s="1879"/>
      <c r="O271" s="1878"/>
      <c r="P271" s="1878"/>
      <c r="Q271" s="1879"/>
      <c r="R271" s="1878"/>
      <c r="S271" s="1878"/>
      <c r="Z271" s="1868">
        <v>26</v>
      </c>
    </row>
    <row r="272" spans="2:26" s="1856" customFormat="1" ht="11.25" customHeight="1">
      <c r="D272" s="1856" t="s">
        <v>1655</v>
      </c>
      <c r="E272" s="1856" t="s">
        <v>1772</v>
      </c>
      <c r="H272" s="1863">
        <f>'Part II-Development Team'!H27</f>
        <v>0</v>
      </c>
      <c r="I272" s="1914"/>
      <c r="J272" s="1914"/>
      <c r="K272" s="1914"/>
      <c r="L272" s="1914"/>
      <c r="M272" s="1914"/>
      <c r="N272" s="1914"/>
      <c r="O272" s="1888" t="s">
        <v>1900</v>
      </c>
      <c r="P272" s="1888"/>
      <c r="Q272" s="1863">
        <f>'Part II-Development Team'!Q27</f>
        <v>0</v>
      </c>
      <c r="R272" s="1914"/>
      <c r="S272" s="1914"/>
      <c r="Z272" s="1857">
        <v>27</v>
      </c>
    </row>
    <row r="273" spans="3:26" s="1856" customFormat="1" ht="11.25" customHeight="1">
      <c r="D273" s="1887"/>
      <c r="E273" s="1858" t="s">
        <v>982</v>
      </c>
      <c r="F273" s="1860"/>
      <c r="H273" s="1863">
        <f>'Part II-Development Team'!H28</f>
        <v>0</v>
      </c>
      <c r="I273" s="1914"/>
      <c r="J273" s="1914"/>
      <c r="K273" s="1914"/>
      <c r="L273" s="1914"/>
      <c r="M273" s="1914"/>
      <c r="N273" s="1914"/>
      <c r="O273" s="1888" t="s">
        <v>1668</v>
      </c>
      <c r="P273" s="1863"/>
      <c r="Q273" s="1863">
        <f>'Part II-Development Team'!Q28</f>
        <v>0</v>
      </c>
      <c r="R273" s="1914"/>
      <c r="S273" s="1914"/>
      <c r="Z273" s="1857">
        <v>28</v>
      </c>
    </row>
    <row r="274" spans="3:26" s="1856" customFormat="1" ht="11.25" customHeight="1">
      <c r="D274" s="1887"/>
      <c r="E274" s="1858" t="s">
        <v>588</v>
      </c>
      <c r="H274" s="1863">
        <f>'Part II-Development Team'!H29</f>
        <v>0</v>
      </c>
      <c r="I274" s="1914"/>
      <c r="J274" s="1914"/>
      <c r="K274" s="1879" t="s">
        <v>2554</v>
      </c>
      <c r="L274" s="1863">
        <f>'Part II-Development Team'!L29</f>
        <v>0</v>
      </c>
      <c r="M274" s="1914"/>
      <c r="N274" s="1914"/>
      <c r="O274" s="1888" t="s">
        <v>1644</v>
      </c>
      <c r="P274" s="1863"/>
      <c r="Q274" s="1878">
        <f>'Part II-Development Team'!Q29</f>
        <v>0</v>
      </c>
      <c r="R274" s="1878"/>
      <c r="S274" s="1878"/>
      <c r="Z274" s="1857">
        <v>29</v>
      </c>
    </row>
    <row r="275" spans="3:26" s="1856" customFormat="1" ht="11.25" customHeight="1">
      <c r="E275" s="1858" t="s">
        <v>1717</v>
      </c>
      <c r="H275" s="1888">
        <f>'Part II-Development Team'!H30</f>
        <v>0</v>
      </c>
      <c r="I275" s="1863"/>
      <c r="J275" s="1863"/>
      <c r="K275" s="1879" t="s">
        <v>2129</v>
      </c>
      <c r="L275" s="1877">
        <f>'Part II-Development Team'!L30</f>
        <v>0</v>
      </c>
      <c r="M275" s="1914"/>
      <c r="N275" s="1863"/>
      <c r="O275" s="1888" t="s">
        <v>1890</v>
      </c>
      <c r="P275" s="1863"/>
      <c r="Q275" s="1878">
        <f>'Part II-Development Team'!Q30</f>
        <v>0</v>
      </c>
      <c r="R275" s="1878"/>
      <c r="S275" s="1878"/>
      <c r="Z275" s="1857">
        <v>30</v>
      </c>
    </row>
    <row r="276" spans="3:26" s="1856" customFormat="1" ht="11.25" customHeight="1">
      <c r="D276" s="1887"/>
      <c r="E276" s="1858" t="s">
        <v>3616</v>
      </c>
      <c r="H276" s="1878">
        <f>'Part II-Development Team'!H31</f>
        <v>0</v>
      </c>
      <c r="I276" s="1878"/>
      <c r="J276" s="1918">
        <f>'Part II-Development Team'!J31</f>
        <v>0</v>
      </c>
      <c r="K276" s="1879" t="s">
        <v>1895</v>
      </c>
      <c r="L276" s="1872">
        <f>'Part II-Development Team'!L31</f>
        <v>0</v>
      </c>
      <c r="M276" s="1872"/>
      <c r="N276" s="1872"/>
      <c r="O276" s="1872"/>
      <c r="P276" s="1872"/>
      <c r="Q276" s="1872"/>
      <c r="R276" s="1872"/>
      <c r="S276" s="1872"/>
      <c r="Z276" s="1857">
        <v>31</v>
      </c>
    </row>
    <row r="277" spans="3:26" s="1865" customFormat="1" ht="4.3499999999999996" customHeight="1">
      <c r="H277" s="1914"/>
      <c r="I277" s="1914"/>
      <c r="J277" s="1914"/>
      <c r="K277" s="1914"/>
      <c r="L277" s="1914"/>
      <c r="M277" s="1914"/>
      <c r="N277" s="1914"/>
      <c r="O277" s="1914"/>
      <c r="P277" s="1914"/>
      <c r="Q277" s="1914"/>
      <c r="R277" s="1914"/>
      <c r="S277" s="1914"/>
      <c r="Z277" s="1857">
        <v>32</v>
      </c>
    </row>
    <row r="278" spans="3:26" s="1856" customFormat="1" ht="11.25" customHeight="1">
      <c r="C278" s="1960" t="s">
        <v>1899</v>
      </c>
      <c r="D278" s="1865" t="s">
        <v>1774</v>
      </c>
      <c r="H278" s="1863"/>
      <c r="I278" s="1863"/>
      <c r="J278" s="1863"/>
      <c r="K278" s="1962" t="s">
        <v>3615</v>
      </c>
      <c r="L278" s="1863"/>
      <c r="M278" s="1863"/>
      <c r="N278" s="1863"/>
      <c r="O278" s="1863"/>
      <c r="P278" s="1863"/>
      <c r="Q278" s="1863"/>
      <c r="R278" s="1863"/>
      <c r="S278" s="1863"/>
      <c r="Z278" s="1857">
        <v>33</v>
      </c>
    </row>
    <row r="279" spans="3:26" s="1856" customFormat="1" ht="11.25" customHeight="1">
      <c r="D279" s="1856" t="s">
        <v>2023</v>
      </c>
      <c r="E279" s="1856" t="s">
        <v>720</v>
      </c>
      <c r="H279" s="1863" t="str">
        <f>'Part II-Development Team'!H34</f>
        <v>To Be Determined - Synovus</v>
      </c>
      <c r="I279" s="1914"/>
      <c r="J279" s="1914"/>
      <c r="K279" s="1914"/>
      <c r="L279" s="1914"/>
      <c r="M279" s="1914"/>
      <c r="N279" s="1914"/>
      <c r="O279" s="1888" t="s">
        <v>1900</v>
      </c>
      <c r="P279" s="1888"/>
      <c r="Q279" s="1863" t="str">
        <f>'Part II-Development Team'!Q34</f>
        <v>Reed Dolihite</v>
      </c>
      <c r="R279" s="1914"/>
      <c r="S279" s="1914"/>
      <c r="Z279" s="1857">
        <v>34</v>
      </c>
    </row>
    <row r="280" spans="3:26" s="1856" customFormat="1" ht="11.25" customHeight="1">
      <c r="D280" s="1887"/>
      <c r="E280" s="1858" t="s">
        <v>982</v>
      </c>
      <c r="F280" s="1860"/>
      <c r="H280" s="1863" t="str">
        <f>'Part II-Development Team'!H35</f>
        <v>800 Shades Creek Parkway, 2nd Floor</v>
      </c>
      <c r="I280" s="1914"/>
      <c r="J280" s="1914"/>
      <c r="K280" s="1914"/>
      <c r="L280" s="1914"/>
      <c r="M280" s="1914"/>
      <c r="N280" s="1914"/>
      <c r="O280" s="1888" t="s">
        <v>1668</v>
      </c>
      <c r="P280" s="1863"/>
      <c r="Q280" s="1863" t="str">
        <f>'Part II-Development Team'!Q35</f>
        <v>Director</v>
      </c>
      <c r="R280" s="1914"/>
      <c r="S280" s="1914"/>
      <c r="Z280" s="1868">
        <v>35</v>
      </c>
    </row>
    <row r="281" spans="3:26" s="1856" customFormat="1" ht="11.25" customHeight="1">
      <c r="D281" s="1887"/>
      <c r="E281" s="1858" t="s">
        <v>588</v>
      </c>
      <c r="H281" s="1863" t="str">
        <f>'Part II-Development Team'!H36</f>
        <v>Birmingham</v>
      </c>
      <c r="I281" s="1914"/>
      <c r="J281" s="1914"/>
      <c r="K281" s="1879" t="s">
        <v>2554</v>
      </c>
      <c r="L281" s="1863">
        <f>'Part II-Development Team'!L36</f>
        <v>0</v>
      </c>
      <c r="M281" s="1914"/>
      <c r="N281" s="1914"/>
      <c r="O281" s="1888" t="s">
        <v>1644</v>
      </c>
      <c r="P281" s="1863"/>
      <c r="Q281" s="1878">
        <f>'Part II-Development Team'!Q36</f>
        <v>2058687642</v>
      </c>
      <c r="R281" s="1878"/>
      <c r="S281" s="1878"/>
      <c r="Z281" s="1857">
        <v>36</v>
      </c>
    </row>
    <row r="282" spans="3:26" s="1856" customFormat="1" ht="11.25" customHeight="1">
      <c r="E282" s="1858" t="s">
        <v>1717</v>
      </c>
      <c r="H282" s="1888" t="str">
        <f>'Part II-Development Team'!H37</f>
        <v>AL</v>
      </c>
      <c r="I282" s="1863"/>
      <c r="J282" s="1863"/>
      <c r="K282" s="1879" t="s">
        <v>2129</v>
      </c>
      <c r="L282" s="1877">
        <f>'Part II-Development Team'!L37</f>
        <v>352090000</v>
      </c>
      <c r="M282" s="1914"/>
      <c r="N282" s="1863"/>
      <c r="O282" s="1888" t="s">
        <v>1890</v>
      </c>
      <c r="P282" s="1863"/>
      <c r="Q282" s="1878">
        <f>'Part II-Development Team'!Q37</f>
        <v>8505546778</v>
      </c>
      <c r="R282" s="1878"/>
      <c r="S282" s="1878"/>
      <c r="Z282" s="1857">
        <v>37</v>
      </c>
    </row>
    <row r="283" spans="3:26" s="1856" customFormat="1" ht="11.25" customHeight="1">
      <c r="D283" s="1887"/>
      <c r="E283" s="1858" t="s">
        <v>3616</v>
      </c>
      <c r="H283" s="1878">
        <f>'Part II-Development Team'!H38</f>
        <v>8505546778</v>
      </c>
      <c r="I283" s="1878"/>
      <c r="J283" s="1918">
        <f>'Part II-Development Team'!J38</f>
        <v>0</v>
      </c>
      <c r="K283" s="1879" t="s">
        <v>1895</v>
      </c>
      <c r="L283" s="1872" t="str">
        <f>'Part II-Development Team'!L38</f>
        <v>reeddolihite@synovus.com</v>
      </c>
      <c r="M283" s="1872"/>
      <c r="N283" s="1872"/>
      <c r="O283" s="1872"/>
      <c r="P283" s="1872"/>
      <c r="Q283" s="1872"/>
      <c r="R283" s="1872"/>
      <c r="S283" s="1872"/>
      <c r="Z283" s="1857">
        <v>38</v>
      </c>
    </row>
    <row r="284" spans="3:26" s="1865" customFormat="1" ht="4.3499999999999996" customHeight="1">
      <c r="H284" s="1878"/>
      <c r="I284" s="1878"/>
      <c r="J284" s="1878"/>
      <c r="K284" s="1879"/>
      <c r="L284" s="1878"/>
      <c r="M284" s="1878"/>
      <c r="N284" s="1879"/>
      <c r="O284" s="1878"/>
      <c r="P284" s="1878"/>
      <c r="Q284" s="1879"/>
      <c r="R284" s="1878"/>
      <c r="S284" s="1878"/>
      <c r="Z284" s="1857">
        <v>39</v>
      </c>
    </row>
    <row r="285" spans="3:26" s="1856" customFormat="1" ht="11.25" customHeight="1">
      <c r="D285" s="1856" t="s">
        <v>2024</v>
      </c>
      <c r="E285" s="1856" t="s">
        <v>721</v>
      </c>
      <c r="H285" s="1863" t="str">
        <f>'Part II-Development Team'!H40</f>
        <v>To Be Determined - Sugar Creek Capital</v>
      </c>
      <c r="I285" s="1914"/>
      <c r="J285" s="1914"/>
      <c r="K285" s="1914"/>
      <c r="L285" s="1914"/>
      <c r="M285" s="1914"/>
      <c r="N285" s="1914"/>
      <c r="O285" s="1888" t="s">
        <v>1900</v>
      </c>
      <c r="P285" s="1888"/>
      <c r="Q285" s="1863" t="str">
        <f>'Part II-Development Team'!Q40</f>
        <v>Chris Hite</v>
      </c>
      <c r="R285" s="1914"/>
      <c r="S285" s="1914"/>
      <c r="Z285" s="1857">
        <v>40</v>
      </c>
    </row>
    <row r="286" spans="3:26" s="1856" customFormat="1" ht="11.25" customHeight="1">
      <c r="D286" s="1887"/>
      <c r="E286" s="1858" t="s">
        <v>982</v>
      </c>
      <c r="F286" s="1860"/>
      <c r="H286" s="1863" t="str">
        <f>'Part II-Development Team'!H41</f>
        <v>1819 Peachtree Road, NE Suite 230</v>
      </c>
      <c r="I286" s="1914"/>
      <c r="J286" s="1914"/>
      <c r="K286" s="1914"/>
      <c r="L286" s="1914"/>
      <c r="M286" s="1914"/>
      <c r="N286" s="1914"/>
      <c r="O286" s="1888" t="s">
        <v>1668</v>
      </c>
      <c r="P286" s="1863"/>
      <c r="Q286" s="1863" t="str">
        <f>'Part II-Development Team'!Q41</f>
        <v>President</v>
      </c>
      <c r="R286" s="1914"/>
      <c r="S286" s="1914"/>
      <c r="Z286" s="1857">
        <v>41</v>
      </c>
    </row>
    <row r="287" spans="3:26" s="1856" customFormat="1" ht="11.25" customHeight="1">
      <c r="D287" s="1887"/>
      <c r="E287" s="1858" t="s">
        <v>588</v>
      </c>
      <c r="H287" s="1863" t="str">
        <f>'Part II-Development Team'!H42</f>
        <v>Atlanta</v>
      </c>
      <c r="I287" s="1914"/>
      <c r="J287" s="1914"/>
      <c r="K287" s="1879" t="s">
        <v>2554</v>
      </c>
      <c r="L287" s="1863" t="str">
        <f>'Part II-Development Team'!L42</f>
        <v>http://www.sugarcreekcapital.com/</v>
      </c>
      <c r="M287" s="1914"/>
      <c r="N287" s="1914"/>
      <c r="O287" s="1888" t="s">
        <v>1644</v>
      </c>
      <c r="P287" s="1863"/>
      <c r="Q287" s="1878">
        <f>'Part II-Development Team'!Q42</f>
        <v>4043818839</v>
      </c>
      <c r="R287" s="1878"/>
      <c r="S287" s="1878"/>
      <c r="Z287" s="1857">
        <v>42</v>
      </c>
    </row>
    <row r="288" spans="3:26" s="1856" customFormat="1" ht="11.25" customHeight="1">
      <c r="E288" s="1858" t="s">
        <v>1717</v>
      </c>
      <c r="H288" s="1888" t="str">
        <f>'Part II-Development Team'!H43</f>
        <v>GA</v>
      </c>
      <c r="I288" s="1863"/>
      <c r="J288" s="1863"/>
      <c r="K288" s="1879" t="s">
        <v>2129</v>
      </c>
      <c r="L288" s="1877">
        <f>'Part II-Development Team'!L43</f>
        <v>303090000</v>
      </c>
      <c r="M288" s="1914"/>
      <c r="N288" s="1863"/>
      <c r="O288" s="1888" t="s">
        <v>1890</v>
      </c>
      <c r="P288" s="1863"/>
      <c r="Q288" s="1878">
        <f>'Part II-Development Team'!Q43</f>
        <v>4043818839</v>
      </c>
      <c r="R288" s="1878"/>
      <c r="S288" s="1878"/>
      <c r="Z288" s="1857">
        <v>43</v>
      </c>
    </row>
    <row r="289" spans="1:26" s="1856" customFormat="1" ht="11.25" customHeight="1">
      <c r="D289" s="1887"/>
      <c r="E289" s="1858" t="s">
        <v>3616</v>
      </c>
      <c r="H289" s="1878">
        <f>'Part II-Development Team'!H44</f>
        <v>4043431062</v>
      </c>
      <c r="I289" s="1878"/>
      <c r="J289" s="1918">
        <f>'Part II-Development Team'!J44</f>
        <v>0</v>
      </c>
      <c r="K289" s="1879" t="s">
        <v>1895</v>
      </c>
      <c r="L289" s="1872" t="str">
        <f>'Part II-Development Team'!L44</f>
        <v>chite@sugarcreekcapital.com</v>
      </c>
      <c r="M289" s="1872"/>
      <c r="N289" s="1872"/>
      <c r="O289" s="1872"/>
      <c r="P289" s="1872"/>
      <c r="Q289" s="1872"/>
      <c r="R289" s="1872"/>
      <c r="S289" s="1872"/>
      <c r="Z289" s="1868">
        <v>44</v>
      </c>
    </row>
    <row r="290" spans="1:26" s="1856" customFormat="1" ht="4.3499999999999996" customHeight="1">
      <c r="D290" s="1887"/>
      <c r="E290" s="1858"/>
      <c r="H290" s="1958"/>
      <c r="I290" s="1958"/>
      <c r="J290" s="1917"/>
      <c r="K290" s="1879"/>
      <c r="L290" s="1958"/>
      <c r="M290" s="1958"/>
      <c r="N290" s="1879"/>
      <c r="O290" s="1958"/>
      <c r="P290" s="1958"/>
      <c r="Q290" s="1879"/>
      <c r="R290" s="1958"/>
      <c r="S290" s="1958"/>
      <c r="Z290" s="1857">
        <v>45</v>
      </c>
    </row>
    <row r="291" spans="1:26" s="1856" customFormat="1" ht="11.25" customHeight="1">
      <c r="C291" s="1963" t="s">
        <v>2417</v>
      </c>
      <c r="D291" s="1865" t="s">
        <v>621</v>
      </c>
      <c r="H291" s="1863"/>
      <c r="I291" s="1863"/>
      <c r="J291" s="1863"/>
      <c r="K291" s="1962" t="s">
        <v>3615</v>
      </c>
      <c r="L291" s="1863"/>
      <c r="M291" s="1863"/>
      <c r="N291" s="1863"/>
      <c r="O291" s="1863"/>
      <c r="P291" s="1863"/>
      <c r="Q291" s="1863"/>
      <c r="R291" s="1863"/>
      <c r="S291" s="1863"/>
      <c r="Z291" s="1857">
        <v>46</v>
      </c>
    </row>
    <row r="292" spans="1:26" s="1856" customFormat="1" ht="11.25" customHeight="1">
      <c r="E292" s="1856" t="s">
        <v>87</v>
      </c>
      <c r="H292" s="1863" t="str">
        <f>'Part II-Development Team'!H47</f>
        <v>National Affordable Housing Preservation Associates, Inc. (NAHPA, Inc.)</v>
      </c>
      <c r="I292" s="1914"/>
      <c r="J292" s="1914"/>
      <c r="K292" s="1914"/>
      <c r="L292" s="1914"/>
      <c r="M292" s="1914"/>
      <c r="N292" s="1914"/>
      <c r="O292" s="1888" t="s">
        <v>1900</v>
      </c>
      <c r="P292" s="1888"/>
      <c r="Q292" s="1863" t="str">
        <f>'Part II-Development Team'!Q47</f>
        <v>Mark E. English</v>
      </c>
      <c r="R292" s="1914"/>
      <c r="S292" s="1914"/>
      <c r="Z292" s="1857">
        <v>47</v>
      </c>
    </row>
    <row r="293" spans="1:26" s="1856" customFormat="1" ht="11.25" customHeight="1">
      <c r="D293" s="1887"/>
      <c r="E293" s="1858" t="s">
        <v>982</v>
      </c>
      <c r="F293" s="1860"/>
      <c r="H293" s="1863" t="str">
        <f>'Part II-Development Team'!H48</f>
        <v>100 Towncenter Blvd. Suite 300</v>
      </c>
      <c r="I293" s="1914"/>
      <c r="J293" s="1914"/>
      <c r="K293" s="1914"/>
      <c r="L293" s="1914"/>
      <c r="M293" s="1914"/>
      <c r="N293" s="1914"/>
      <c r="O293" s="1888" t="s">
        <v>1668</v>
      </c>
      <c r="P293" s="1863"/>
      <c r="Q293" s="1863" t="str">
        <f>'Part II-Development Team'!Q48</f>
        <v>President</v>
      </c>
      <c r="R293" s="1914"/>
      <c r="S293" s="1914"/>
      <c r="Z293" s="1857">
        <v>48</v>
      </c>
    </row>
    <row r="294" spans="1:26" s="1856" customFormat="1" ht="11.25" customHeight="1">
      <c r="D294" s="1887"/>
      <c r="E294" s="1858" t="s">
        <v>588</v>
      </c>
      <c r="H294" s="1863" t="str">
        <f>'Part II-Development Team'!H49</f>
        <v>Tuscaloosa</v>
      </c>
      <c r="I294" s="1914"/>
      <c r="J294" s="1914"/>
      <c r="K294" s="1879" t="s">
        <v>2554</v>
      </c>
      <c r="L294" s="1863" t="str">
        <f>'Part II-Development Team'!L49</f>
        <v>www.nahpa.org</v>
      </c>
      <c r="M294" s="1914"/>
      <c r="N294" s="1914"/>
      <c r="O294" s="1888" t="s">
        <v>1644</v>
      </c>
      <c r="P294" s="1863"/>
      <c r="Q294" s="1878">
        <f>'Part II-Development Team'!Q49</f>
        <v>2057229331</v>
      </c>
      <c r="R294" s="1878"/>
      <c r="S294" s="1878"/>
      <c r="Z294" s="1857">
        <v>49</v>
      </c>
    </row>
    <row r="295" spans="1:26" s="1856" customFormat="1" ht="11.25" customHeight="1">
      <c r="E295" s="1858" t="s">
        <v>1717</v>
      </c>
      <c r="H295" s="1888" t="str">
        <f>'Part II-Development Team'!H50</f>
        <v>AL</v>
      </c>
      <c r="I295" s="1863"/>
      <c r="J295" s="1863"/>
      <c r="K295" s="1879" t="s">
        <v>2129</v>
      </c>
      <c r="L295" s="1877">
        <f>'Part II-Development Team'!L50</f>
        <v>354061835</v>
      </c>
      <c r="M295" s="1914"/>
      <c r="N295" s="1863"/>
      <c r="O295" s="1888" t="s">
        <v>1890</v>
      </c>
      <c r="P295" s="1863"/>
      <c r="Q295" s="1878">
        <f>'Part II-Development Team'!Q50</f>
        <v>2053948000</v>
      </c>
      <c r="R295" s="1878"/>
      <c r="S295" s="1878"/>
      <c r="Z295" s="1857">
        <v>50</v>
      </c>
    </row>
    <row r="296" spans="1:26" s="1856" customFormat="1" ht="11.25" customHeight="1">
      <c r="D296" s="1887"/>
      <c r="E296" s="1858" t="s">
        <v>3616</v>
      </c>
      <c r="H296" s="1878">
        <f>'Part II-Development Team'!H51</f>
        <v>2057229331</v>
      </c>
      <c r="I296" s="1878"/>
      <c r="J296" s="1918">
        <f>'Part II-Development Team'!J51</f>
        <v>0</v>
      </c>
      <c r="K296" s="1879" t="s">
        <v>1895</v>
      </c>
      <c r="L296" s="1872" t="str">
        <f>'Part II-Development Team'!L51</f>
        <v>mark@nahpa.org</v>
      </c>
      <c r="M296" s="1872"/>
      <c r="N296" s="1872"/>
      <c r="O296" s="1872"/>
      <c r="P296" s="1872"/>
      <c r="Q296" s="1872"/>
      <c r="R296" s="1872"/>
      <c r="S296" s="1872"/>
      <c r="Z296" s="1857">
        <v>51</v>
      </c>
    </row>
    <row r="297" spans="1:26" s="1865" customFormat="1" ht="6.75" customHeight="1">
      <c r="H297" s="1914"/>
      <c r="I297" s="1914"/>
      <c r="J297" s="1914"/>
      <c r="K297" s="1914"/>
      <c r="L297" s="1914"/>
      <c r="M297" s="1914"/>
      <c r="N297" s="1914"/>
      <c r="O297" s="1914"/>
      <c r="P297" s="1914"/>
      <c r="Q297" s="1914"/>
      <c r="R297" s="1914"/>
      <c r="S297" s="1914"/>
      <c r="Z297" s="1857">
        <v>52</v>
      </c>
    </row>
    <row r="298" spans="1:26" s="1856" customFormat="1" ht="13.35" customHeight="1">
      <c r="A298" s="1856" t="s">
        <v>710</v>
      </c>
      <c r="B298" s="1856" t="s">
        <v>622</v>
      </c>
      <c r="G298" s="1857"/>
      <c r="H298" s="1879"/>
      <c r="I298" s="1879"/>
      <c r="J298" s="1863"/>
      <c r="K298" s="1962" t="s">
        <v>3615</v>
      </c>
      <c r="L298" s="1863"/>
      <c r="M298" s="1863"/>
      <c r="N298" s="1863"/>
      <c r="O298" s="1863"/>
      <c r="P298" s="1863"/>
      <c r="Q298" s="1863"/>
      <c r="R298" s="1863"/>
      <c r="S298" s="1863"/>
      <c r="Z298" s="1868">
        <v>53</v>
      </c>
    </row>
    <row r="299" spans="1:26" s="1856" customFormat="1" ht="3" customHeight="1">
      <c r="G299" s="1857"/>
      <c r="H299" s="1878"/>
      <c r="I299" s="1878"/>
      <c r="J299" s="1878"/>
      <c r="K299" s="1879"/>
      <c r="L299" s="1878"/>
      <c r="M299" s="1878"/>
      <c r="N299" s="1879"/>
      <c r="O299" s="1878"/>
      <c r="P299" s="1878"/>
      <c r="Q299" s="1879"/>
      <c r="R299" s="1878"/>
      <c r="S299" s="1878"/>
      <c r="Z299" s="1857">
        <v>54</v>
      </c>
    </row>
    <row r="300" spans="1:26" s="1856" customFormat="1" ht="11.25" customHeight="1">
      <c r="B300" s="1856" t="s">
        <v>1894</v>
      </c>
      <c r="C300" s="1856" t="s">
        <v>271</v>
      </c>
      <c r="H300" s="1863" t="str">
        <f>'Part II-Development Team'!H55</f>
        <v>NAHPA Development, LLC</v>
      </c>
      <c r="I300" s="1914"/>
      <c r="J300" s="1914"/>
      <c r="K300" s="1914"/>
      <c r="L300" s="1914"/>
      <c r="M300" s="1914"/>
      <c r="N300" s="1914"/>
      <c r="O300" s="1888" t="s">
        <v>1900</v>
      </c>
      <c r="P300" s="1888"/>
      <c r="Q300" s="1863" t="str">
        <f>'Part II-Development Team'!Q55</f>
        <v>Mark E. English</v>
      </c>
      <c r="R300" s="1914"/>
      <c r="S300" s="1914"/>
      <c r="Z300" s="1857">
        <v>55</v>
      </c>
    </row>
    <row r="301" spans="1:26" s="1856" customFormat="1" ht="11.25" customHeight="1">
      <c r="D301" s="1887"/>
      <c r="E301" s="1858" t="s">
        <v>982</v>
      </c>
      <c r="F301" s="1860"/>
      <c r="H301" s="1863" t="str">
        <f>'Part II-Development Team'!H56</f>
        <v>100 Towncenter Blvd. Suite 300</v>
      </c>
      <c r="I301" s="1914"/>
      <c r="J301" s="1914"/>
      <c r="K301" s="1914"/>
      <c r="L301" s="1914"/>
      <c r="M301" s="1914"/>
      <c r="N301" s="1914"/>
      <c r="O301" s="1888" t="s">
        <v>1668</v>
      </c>
      <c r="P301" s="1863"/>
      <c r="Q301" s="1863" t="str">
        <f>'Part II-Development Team'!Q56</f>
        <v>President</v>
      </c>
      <c r="R301" s="1914"/>
      <c r="S301" s="1914"/>
      <c r="Z301" s="1857">
        <v>56</v>
      </c>
    </row>
    <row r="302" spans="1:26" s="1856" customFormat="1" ht="11.25" customHeight="1">
      <c r="D302" s="1887"/>
      <c r="E302" s="1858" t="s">
        <v>588</v>
      </c>
      <c r="H302" s="1863" t="str">
        <f>'Part II-Development Team'!H57</f>
        <v>Tuscaloosa</v>
      </c>
      <c r="I302" s="1914"/>
      <c r="J302" s="1914"/>
      <c r="K302" s="1879" t="s">
        <v>2554</v>
      </c>
      <c r="L302" s="1863" t="str">
        <f>'Part II-Development Team'!L57</f>
        <v>www.nahpa.org</v>
      </c>
      <c r="M302" s="1914"/>
      <c r="N302" s="1914"/>
      <c r="O302" s="1888" t="s">
        <v>1644</v>
      </c>
      <c r="P302" s="1863"/>
      <c r="Q302" s="1878">
        <f>'Part II-Development Team'!Q57</f>
        <v>2057229331</v>
      </c>
      <c r="R302" s="1878"/>
      <c r="S302" s="1878"/>
      <c r="Z302" s="1857">
        <v>57</v>
      </c>
    </row>
    <row r="303" spans="1:26" s="1856" customFormat="1" ht="11.25" customHeight="1">
      <c r="E303" s="1858" t="s">
        <v>1717</v>
      </c>
      <c r="H303" s="1888" t="str">
        <f>'Part II-Development Team'!H58</f>
        <v>AL</v>
      </c>
      <c r="I303" s="1863"/>
      <c r="J303" s="1863"/>
      <c r="K303" s="1879" t="s">
        <v>2129</v>
      </c>
      <c r="L303" s="1877">
        <f>'Part II-Development Team'!L58</f>
        <v>354061835</v>
      </c>
      <c r="M303" s="1914"/>
      <c r="N303" s="1863"/>
      <c r="O303" s="1888" t="s">
        <v>1890</v>
      </c>
      <c r="P303" s="1863"/>
      <c r="Q303" s="1878">
        <f>'Part II-Development Team'!Q58</f>
        <v>2053948000</v>
      </c>
      <c r="R303" s="1878"/>
      <c r="S303" s="1878"/>
      <c r="Z303" s="1857">
        <v>58</v>
      </c>
    </row>
    <row r="304" spans="1:26" s="1856" customFormat="1" ht="11.25" customHeight="1">
      <c r="D304" s="1887"/>
      <c r="E304" s="1858" t="s">
        <v>3616</v>
      </c>
      <c r="H304" s="1878">
        <f>'Part II-Development Team'!H59</f>
        <v>2057229331</v>
      </c>
      <c r="I304" s="1878"/>
      <c r="J304" s="1918">
        <f>'Part II-Development Team'!J59</f>
        <v>0</v>
      </c>
      <c r="K304" s="1879" t="s">
        <v>1895</v>
      </c>
      <c r="L304" s="1872" t="str">
        <f>'Part II-Development Team'!L59</f>
        <v>mark@nahpa.org</v>
      </c>
      <c r="M304" s="1872"/>
      <c r="N304" s="1872"/>
      <c r="O304" s="1872"/>
      <c r="P304" s="1872"/>
      <c r="Q304" s="1872"/>
      <c r="R304" s="1872"/>
      <c r="S304" s="1872"/>
      <c r="Z304" s="1857">
        <v>59</v>
      </c>
    </row>
    <row r="305" spans="2:26" s="1856" customFormat="1" ht="6.6" customHeight="1">
      <c r="D305" s="1887"/>
      <c r="G305" s="1858"/>
      <c r="H305" s="1878"/>
      <c r="I305" s="1878"/>
      <c r="J305" s="1878"/>
      <c r="K305" s="1879"/>
      <c r="L305" s="1878"/>
      <c r="M305" s="1878"/>
      <c r="N305" s="1879"/>
      <c r="O305" s="1878"/>
      <c r="P305" s="1878"/>
      <c r="Q305" s="1879"/>
      <c r="R305" s="1878"/>
      <c r="S305" s="1878"/>
      <c r="Z305" s="1857">
        <v>60</v>
      </c>
    </row>
    <row r="306" spans="2:26" s="1856" customFormat="1" ht="11.25" customHeight="1">
      <c r="B306" s="1856" t="s">
        <v>1896</v>
      </c>
      <c r="C306" s="1856" t="s">
        <v>272</v>
      </c>
      <c r="H306" s="1863">
        <f>'Part II-Development Team'!H61</f>
        <v>0</v>
      </c>
      <c r="I306" s="1914"/>
      <c r="J306" s="1914"/>
      <c r="K306" s="1914"/>
      <c r="L306" s="1914"/>
      <c r="M306" s="1914"/>
      <c r="N306" s="1914"/>
      <c r="O306" s="1888" t="s">
        <v>1900</v>
      </c>
      <c r="P306" s="1888"/>
      <c r="Q306" s="1863">
        <f>'Part II-Development Team'!Q61</f>
        <v>0</v>
      </c>
      <c r="R306" s="1914"/>
      <c r="S306" s="1914"/>
      <c r="Z306" s="1857">
        <v>61</v>
      </c>
    </row>
    <row r="307" spans="2:26" s="1856" customFormat="1" ht="11.25" customHeight="1">
      <c r="D307" s="1887"/>
      <c r="E307" s="1858" t="s">
        <v>982</v>
      </c>
      <c r="F307" s="1860"/>
      <c r="H307" s="1863">
        <f>'Part II-Development Team'!H62</f>
        <v>0</v>
      </c>
      <c r="I307" s="1914"/>
      <c r="J307" s="1914"/>
      <c r="K307" s="1914"/>
      <c r="L307" s="1914"/>
      <c r="M307" s="1914"/>
      <c r="N307" s="1914"/>
      <c r="O307" s="1888" t="s">
        <v>1668</v>
      </c>
      <c r="P307" s="1863"/>
      <c r="Q307" s="1863">
        <f>'Part II-Development Team'!Q62</f>
        <v>0</v>
      </c>
      <c r="R307" s="1914"/>
      <c r="S307" s="1914"/>
      <c r="Z307" s="1868">
        <v>62</v>
      </c>
    </row>
    <row r="308" spans="2:26" s="1856" customFormat="1" ht="11.25" customHeight="1">
      <c r="D308" s="1887"/>
      <c r="E308" s="1858" t="s">
        <v>588</v>
      </c>
      <c r="H308" s="1863">
        <f>'Part II-Development Team'!H63</f>
        <v>0</v>
      </c>
      <c r="I308" s="1914"/>
      <c r="J308" s="1914"/>
      <c r="K308" s="1879" t="s">
        <v>2554</v>
      </c>
      <c r="L308" s="1863">
        <f>'Part II-Development Team'!L63</f>
        <v>0</v>
      </c>
      <c r="M308" s="1914"/>
      <c r="N308" s="1914"/>
      <c r="O308" s="1888" t="s">
        <v>1644</v>
      </c>
      <c r="P308" s="1863"/>
      <c r="Q308" s="1878">
        <f>'Part II-Development Team'!Q63</f>
        <v>0</v>
      </c>
      <c r="R308" s="1878"/>
      <c r="S308" s="1878"/>
      <c r="Z308" s="1857">
        <v>63</v>
      </c>
    </row>
    <row r="309" spans="2:26" s="1856" customFormat="1" ht="11.25" customHeight="1">
      <c r="E309" s="1858" t="s">
        <v>1717</v>
      </c>
      <c r="H309" s="1888">
        <f>'Part II-Development Team'!H64</f>
        <v>0</v>
      </c>
      <c r="I309" s="1863"/>
      <c r="J309" s="1863"/>
      <c r="K309" s="1879" t="s">
        <v>2129</v>
      </c>
      <c r="L309" s="1877">
        <f>'Part II-Development Team'!L64</f>
        <v>0</v>
      </c>
      <c r="M309" s="1914"/>
      <c r="N309" s="1863"/>
      <c r="O309" s="1888" t="s">
        <v>1890</v>
      </c>
      <c r="P309" s="1863"/>
      <c r="Q309" s="1878">
        <f>'Part II-Development Team'!Q64</f>
        <v>0</v>
      </c>
      <c r="R309" s="1878"/>
      <c r="S309" s="1878"/>
      <c r="Z309" s="1857">
        <v>64</v>
      </c>
    </row>
    <row r="310" spans="2:26" s="1856" customFormat="1" ht="11.25" customHeight="1">
      <c r="D310" s="1887"/>
      <c r="E310" s="1858" t="s">
        <v>3616</v>
      </c>
      <c r="H310" s="1878">
        <f>'Part II-Development Team'!H65</f>
        <v>0</v>
      </c>
      <c r="I310" s="1878"/>
      <c r="J310" s="1918">
        <f>'Part II-Development Team'!J65</f>
        <v>0</v>
      </c>
      <c r="K310" s="1879" t="s">
        <v>1895</v>
      </c>
      <c r="L310" s="1872">
        <f>'Part II-Development Team'!L65</f>
        <v>0</v>
      </c>
      <c r="M310" s="1872"/>
      <c r="N310" s="1872"/>
      <c r="O310" s="1872"/>
      <c r="P310" s="1872"/>
      <c r="Q310" s="1872"/>
      <c r="R310" s="1872"/>
      <c r="S310" s="1872"/>
      <c r="Z310" s="1857">
        <v>65</v>
      </c>
    </row>
    <row r="311" spans="2:26" s="1856" customFormat="1" ht="6.6" customHeight="1">
      <c r="D311" s="1887"/>
      <c r="G311" s="1858"/>
      <c r="H311" s="1878"/>
      <c r="I311" s="1878"/>
      <c r="J311" s="1878"/>
      <c r="K311" s="1879"/>
      <c r="L311" s="1878"/>
      <c r="M311" s="1878"/>
      <c r="N311" s="1879"/>
      <c r="O311" s="1878"/>
      <c r="P311" s="1878"/>
      <c r="Q311" s="1879"/>
      <c r="R311" s="1878"/>
      <c r="S311" s="1878"/>
      <c r="Z311" s="1857">
        <v>66</v>
      </c>
    </row>
    <row r="312" spans="2:26" s="1856" customFormat="1" ht="11.25" customHeight="1">
      <c r="B312" s="1856" t="s">
        <v>719</v>
      </c>
      <c r="C312" s="1856" t="s">
        <v>1467</v>
      </c>
      <c r="H312" s="1863">
        <f>'Part II-Development Team'!H67</f>
        <v>0</v>
      </c>
      <c r="I312" s="1914"/>
      <c r="J312" s="1914"/>
      <c r="K312" s="1914"/>
      <c r="L312" s="1914"/>
      <c r="M312" s="1914"/>
      <c r="N312" s="1914"/>
      <c r="O312" s="1888" t="s">
        <v>1900</v>
      </c>
      <c r="P312" s="1888"/>
      <c r="Q312" s="1863">
        <f>'Part II-Development Team'!Q67</f>
        <v>0</v>
      </c>
      <c r="R312" s="1914"/>
      <c r="S312" s="1914"/>
      <c r="Z312" s="1857">
        <v>67</v>
      </c>
    </row>
    <row r="313" spans="2:26" s="1856" customFormat="1" ht="11.25" customHeight="1">
      <c r="D313" s="1887"/>
      <c r="E313" s="1858" t="s">
        <v>982</v>
      </c>
      <c r="F313" s="1860"/>
      <c r="H313" s="1863">
        <f>'Part II-Development Team'!H68</f>
        <v>0</v>
      </c>
      <c r="I313" s="1914"/>
      <c r="J313" s="1914"/>
      <c r="K313" s="1914"/>
      <c r="L313" s="1914"/>
      <c r="M313" s="1914"/>
      <c r="N313" s="1914"/>
      <c r="O313" s="1888" t="s">
        <v>1668</v>
      </c>
      <c r="P313" s="1863"/>
      <c r="Q313" s="1863">
        <f>'Part II-Development Team'!Q68</f>
        <v>0</v>
      </c>
      <c r="R313" s="1914"/>
      <c r="S313" s="1914"/>
      <c r="Z313" s="1857">
        <v>68</v>
      </c>
    </row>
    <row r="314" spans="2:26" s="1856" customFormat="1" ht="11.25" customHeight="1">
      <c r="D314" s="1887"/>
      <c r="E314" s="1858" t="s">
        <v>588</v>
      </c>
      <c r="H314" s="1863">
        <f>'Part II-Development Team'!H69</f>
        <v>0</v>
      </c>
      <c r="I314" s="1914"/>
      <c r="J314" s="1914"/>
      <c r="K314" s="1879" t="s">
        <v>2554</v>
      </c>
      <c r="L314" s="1863">
        <f>'Part II-Development Team'!L69</f>
        <v>0</v>
      </c>
      <c r="M314" s="1914"/>
      <c r="N314" s="1914"/>
      <c r="O314" s="1888" t="s">
        <v>1644</v>
      </c>
      <c r="P314" s="1863"/>
      <c r="Q314" s="1878">
        <f>'Part II-Development Team'!Q69</f>
        <v>0</v>
      </c>
      <c r="R314" s="1878"/>
      <c r="S314" s="1878"/>
      <c r="Z314" s="1868">
        <v>69</v>
      </c>
    </row>
    <row r="315" spans="2:26" s="1856" customFormat="1" ht="11.25" customHeight="1">
      <c r="E315" s="1858" t="s">
        <v>1717</v>
      </c>
      <c r="H315" s="1888">
        <f>'Part II-Development Team'!H70</f>
        <v>0</v>
      </c>
      <c r="I315" s="1863"/>
      <c r="J315" s="1863"/>
      <c r="K315" s="1879" t="s">
        <v>2129</v>
      </c>
      <c r="L315" s="1877">
        <f>'Part II-Development Team'!L70</f>
        <v>0</v>
      </c>
      <c r="M315" s="1914"/>
      <c r="N315" s="1863"/>
      <c r="O315" s="1888" t="s">
        <v>1890</v>
      </c>
      <c r="P315" s="1863"/>
      <c r="Q315" s="1878">
        <f>'Part II-Development Team'!Q70</f>
        <v>0</v>
      </c>
      <c r="R315" s="1878"/>
      <c r="S315" s="1878"/>
      <c r="Z315" s="1857">
        <v>70</v>
      </c>
    </row>
    <row r="316" spans="2:26" s="1856" customFormat="1" ht="11.25" customHeight="1">
      <c r="D316" s="1887"/>
      <c r="E316" s="1858" t="s">
        <v>3616</v>
      </c>
      <c r="H316" s="1878">
        <f>'Part II-Development Team'!H71</f>
        <v>0</v>
      </c>
      <c r="I316" s="1878"/>
      <c r="J316" s="1918">
        <f>'Part II-Development Team'!J71</f>
        <v>0</v>
      </c>
      <c r="K316" s="1879" t="s">
        <v>1895</v>
      </c>
      <c r="L316" s="1872">
        <f>'Part II-Development Team'!L71</f>
        <v>0</v>
      </c>
      <c r="M316" s="1872"/>
      <c r="N316" s="1872"/>
      <c r="O316" s="1872"/>
      <c r="P316" s="1872"/>
      <c r="Q316" s="1872"/>
      <c r="R316" s="1872"/>
      <c r="S316" s="1872"/>
      <c r="Z316" s="1857">
        <v>71</v>
      </c>
    </row>
    <row r="317" spans="2:26" s="1865" customFormat="1" ht="6.6" customHeight="1">
      <c r="H317" s="1878"/>
      <c r="I317" s="1878"/>
      <c r="J317" s="1878"/>
      <c r="K317" s="1879"/>
      <c r="L317" s="1878"/>
      <c r="M317" s="1878"/>
      <c r="N317" s="1879"/>
      <c r="O317" s="1878"/>
      <c r="P317" s="1878"/>
      <c r="Q317" s="1879"/>
      <c r="R317" s="1878"/>
      <c r="S317" s="1878"/>
      <c r="Z317" s="1857">
        <v>72</v>
      </c>
    </row>
    <row r="318" spans="2:26" s="1856" customFormat="1" ht="11.25" customHeight="1">
      <c r="B318" s="1856" t="s">
        <v>2022</v>
      </c>
      <c r="C318" s="1856" t="s">
        <v>273</v>
      </c>
      <c r="H318" s="1863" t="str">
        <f>'Part II-Development Team'!H73</f>
        <v>Vantage Development, LLC</v>
      </c>
      <c r="I318" s="1914"/>
      <c r="J318" s="1914"/>
      <c r="K318" s="1914"/>
      <c r="L318" s="1914"/>
      <c r="M318" s="1914"/>
      <c r="N318" s="1914"/>
      <c r="O318" s="1888" t="s">
        <v>1900</v>
      </c>
      <c r="P318" s="1888"/>
      <c r="Q318" s="1863" t="str">
        <f>'Part II-Development Team'!Q73</f>
        <v>Lowell R. Barron II</v>
      </c>
      <c r="R318" s="1914"/>
      <c r="S318" s="1914"/>
      <c r="Z318" s="1857">
        <v>73</v>
      </c>
    </row>
    <row r="319" spans="2:26" s="1856" customFormat="1" ht="11.25" customHeight="1">
      <c r="D319" s="1887"/>
      <c r="E319" s="1858" t="s">
        <v>982</v>
      </c>
      <c r="F319" s="1860"/>
      <c r="H319" s="1863" t="str">
        <f>'Part II-Development Team'!H74</f>
        <v>1544 S. Main Street</v>
      </c>
      <c r="I319" s="1914"/>
      <c r="J319" s="1914"/>
      <c r="K319" s="1914"/>
      <c r="L319" s="1914"/>
      <c r="M319" s="1914"/>
      <c r="N319" s="1914"/>
      <c r="O319" s="1888" t="s">
        <v>1668</v>
      </c>
      <c r="P319" s="1863"/>
      <c r="Q319" s="1863" t="str">
        <f>'Part II-Development Team'!Q74</f>
        <v>President</v>
      </c>
      <c r="R319" s="1914"/>
      <c r="S319" s="1914"/>
      <c r="Z319" s="1857">
        <v>74</v>
      </c>
    </row>
    <row r="320" spans="2:26" s="1856" customFormat="1" ht="11.25" customHeight="1">
      <c r="D320" s="1887"/>
      <c r="E320" s="1858" t="s">
        <v>588</v>
      </c>
      <c r="H320" s="1863" t="str">
        <f>'Part II-Development Team'!H75</f>
        <v>Fyffe</v>
      </c>
      <c r="I320" s="1914"/>
      <c r="J320" s="1914"/>
      <c r="K320" s="1879" t="s">
        <v>2554</v>
      </c>
      <c r="L320" s="1863" t="str">
        <f>'Part II-Development Team'!L75</f>
        <v>www.thevantagegroup.biz</v>
      </c>
      <c r="M320" s="1914"/>
      <c r="N320" s="1914"/>
      <c r="O320" s="1888" t="s">
        <v>1644</v>
      </c>
      <c r="P320" s="1863"/>
      <c r="Q320" s="1878">
        <f>'Part II-Development Team'!Q75</f>
        <v>2569976659</v>
      </c>
      <c r="R320" s="1878"/>
      <c r="S320" s="1878"/>
      <c r="Z320" s="1857">
        <v>75</v>
      </c>
    </row>
    <row r="321" spans="1:26" s="1856" customFormat="1" ht="11.25" customHeight="1">
      <c r="E321" s="1858" t="s">
        <v>1717</v>
      </c>
      <c r="H321" s="1888" t="str">
        <f>'Part II-Development Team'!H76</f>
        <v>AL</v>
      </c>
      <c r="I321" s="1863"/>
      <c r="J321" s="1863"/>
      <c r="K321" s="1879" t="s">
        <v>2129</v>
      </c>
      <c r="L321" s="1877">
        <f>'Part II-Development Team'!L76</f>
        <v>359713484</v>
      </c>
      <c r="M321" s="1914"/>
      <c r="N321" s="1863"/>
      <c r="O321" s="1888" t="s">
        <v>1890</v>
      </c>
      <c r="P321" s="1863"/>
      <c r="Q321" s="1878">
        <f>'Part II-Development Team'!Q76</f>
        <v>2569976659</v>
      </c>
      <c r="R321" s="1878"/>
      <c r="S321" s="1878"/>
      <c r="Z321" s="1857">
        <v>76</v>
      </c>
    </row>
    <row r="322" spans="1:26" s="1856" customFormat="1" ht="11.25" customHeight="1">
      <c r="D322" s="1887"/>
      <c r="E322" s="1858" t="s">
        <v>3616</v>
      </c>
      <c r="H322" s="1878">
        <f>'Part II-Development Team'!H77</f>
        <v>2564174920</v>
      </c>
      <c r="I322" s="1878"/>
      <c r="J322" s="1918">
        <f>'Part II-Development Team'!J77</f>
        <v>295</v>
      </c>
      <c r="K322" s="1879" t="s">
        <v>1895</v>
      </c>
      <c r="L322" s="1872" t="str">
        <f>'Part II-Development Team'!L77</f>
        <v>lbarron@thevantagegroup.biz</v>
      </c>
      <c r="M322" s="1872"/>
      <c r="N322" s="1872"/>
      <c r="O322" s="1872"/>
      <c r="P322" s="1872"/>
      <c r="Q322" s="1872"/>
      <c r="R322" s="1872"/>
      <c r="S322" s="1872"/>
      <c r="Z322" s="1857">
        <v>77</v>
      </c>
    </row>
    <row r="323" spans="1:26" s="1865" customFormat="1" ht="6.75" customHeight="1">
      <c r="H323" s="1914"/>
      <c r="I323" s="1914"/>
      <c r="J323" s="1914"/>
      <c r="K323" s="1914"/>
      <c r="L323" s="1914"/>
      <c r="M323" s="1914"/>
      <c r="N323" s="1914"/>
      <c r="O323" s="1914"/>
      <c r="P323" s="1914"/>
      <c r="Q323" s="1914"/>
      <c r="R323" s="1914"/>
      <c r="S323" s="1914"/>
      <c r="Z323" s="1868">
        <v>78</v>
      </c>
    </row>
    <row r="324" spans="1:26" s="1858" customFormat="1" ht="13.35" customHeight="1">
      <c r="A324" s="1858" t="s">
        <v>712</v>
      </c>
      <c r="B324" s="1858" t="s">
        <v>274</v>
      </c>
      <c r="H324" s="1888"/>
      <c r="I324" s="1888"/>
      <c r="J324" s="1888"/>
      <c r="K324" s="1962" t="s">
        <v>3615</v>
      </c>
      <c r="L324" s="1888"/>
      <c r="M324" s="1888"/>
      <c r="N324" s="1888"/>
      <c r="O324" s="1888"/>
      <c r="P324" s="1888"/>
      <c r="Q324" s="1888"/>
      <c r="R324" s="1888"/>
      <c r="S324" s="1888"/>
      <c r="Z324" s="1857">
        <v>79</v>
      </c>
    </row>
    <row r="325" spans="1:26" s="1858" customFormat="1" ht="3" customHeight="1">
      <c r="H325" s="1878"/>
      <c r="I325" s="1878"/>
      <c r="J325" s="1878"/>
      <c r="K325" s="1879"/>
      <c r="L325" s="1878"/>
      <c r="M325" s="1878"/>
      <c r="N325" s="1879"/>
      <c r="O325" s="1878"/>
      <c r="P325" s="1878"/>
      <c r="Q325" s="1879"/>
      <c r="R325" s="1878"/>
      <c r="S325" s="1878"/>
      <c r="Z325" s="1857">
        <v>80</v>
      </c>
    </row>
    <row r="326" spans="1:26" s="1856" customFormat="1" ht="11.25" customHeight="1">
      <c r="B326" s="1856" t="s">
        <v>1894</v>
      </c>
      <c r="C326" s="1856" t="s">
        <v>275</v>
      </c>
      <c r="H326" s="1863">
        <f>'Part II-Development Team'!H81</f>
        <v>0</v>
      </c>
      <c r="I326" s="1914"/>
      <c r="J326" s="1914"/>
      <c r="K326" s="1914"/>
      <c r="L326" s="1914"/>
      <c r="M326" s="1914"/>
      <c r="N326" s="1914"/>
      <c r="O326" s="1888" t="s">
        <v>1900</v>
      </c>
      <c r="P326" s="1888"/>
      <c r="Q326" s="1863">
        <f>'Part II-Development Team'!Q81</f>
        <v>0</v>
      </c>
      <c r="R326" s="1914"/>
      <c r="S326" s="1914"/>
      <c r="Z326" s="1857">
        <v>81</v>
      </c>
    </row>
    <row r="327" spans="1:26" s="1856" customFormat="1" ht="11.25" customHeight="1">
      <c r="D327" s="1887"/>
      <c r="E327" s="1858" t="s">
        <v>982</v>
      </c>
      <c r="F327" s="1860"/>
      <c r="H327" s="1863">
        <f>'Part II-Development Team'!H82</f>
        <v>0</v>
      </c>
      <c r="I327" s="1914"/>
      <c r="J327" s="1914"/>
      <c r="K327" s="1914"/>
      <c r="L327" s="1914"/>
      <c r="M327" s="1914"/>
      <c r="N327" s="1914"/>
      <c r="O327" s="1888" t="s">
        <v>1668</v>
      </c>
      <c r="P327" s="1863"/>
      <c r="Q327" s="1863">
        <f>'Part II-Development Team'!Q82</f>
        <v>0</v>
      </c>
      <c r="R327" s="1914"/>
      <c r="S327" s="1914"/>
      <c r="Z327" s="1857">
        <v>82</v>
      </c>
    </row>
    <row r="328" spans="1:26" s="1856" customFormat="1" ht="11.25" customHeight="1">
      <c r="D328" s="1887"/>
      <c r="E328" s="1858" t="s">
        <v>588</v>
      </c>
      <c r="H328" s="1863">
        <f>'Part II-Development Team'!H83</f>
        <v>0</v>
      </c>
      <c r="I328" s="1914"/>
      <c r="J328" s="1914"/>
      <c r="K328" s="1879" t="s">
        <v>2554</v>
      </c>
      <c r="L328" s="1863">
        <f>'Part II-Development Team'!L83</f>
        <v>0</v>
      </c>
      <c r="M328" s="1914"/>
      <c r="N328" s="1914"/>
      <c r="O328" s="1888" t="s">
        <v>1644</v>
      </c>
      <c r="P328" s="1863"/>
      <c r="Q328" s="1878">
        <f>'Part II-Development Team'!Q83</f>
        <v>0</v>
      </c>
      <c r="R328" s="1878"/>
      <c r="S328" s="1878"/>
      <c r="Z328" s="1857">
        <v>83</v>
      </c>
    </row>
    <row r="329" spans="1:26" s="1856" customFormat="1" ht="11.25" customHeight="1">
      <c r="E329" s="1858" t="s">
        <v>1717</v>
      </c>
      <c r="H329" s="1888">
        <f>'Part II-Development Team'!H84</f>
        <v>0</v>
      </c>
      <c r="I329" s="1863"/>
      <c r="J329" s="1863"/>
      <c r="K329" s="1879" t="s">
        <v>2129</v>
      </c>
      <c r="L329" s="1877">
        <f>'Part II-Development Team'!L84</f>
        <v>0</v>
      </c>
      <c r="M329" s="1914"/>
      <c r="N329" s="1863"/>
      <c r="O329" s="1888" t="s">
        <v>1890</v>
      </c>
      <c r="P329" s="1863"/>
      <c r="Q329" s="1878">
        <f>'Part II-Development Team'!Q84</f>
        <v>0</v>
      </c>
      <c r="R329" s="1878"/>
      <c r="S329" s="1878"/>
      <c r="Z329" s="1857">
        <v>84</v>
      </c>
    </row>
    <row r="330" spans="1:26" s="1856" customFormat="1" ht="11.25" customHeight="1">
      <c r="D330" s="1887"/>
      <c r="E330" s="1858" t="s">
        <v>3616</v>
      </c>
      <c r="H330" s="1878">
        <f>'Part II-Development Team'!H85</f>
        <v>0</v>
      </c>
      <c r="I330" s="1878"/>
      <c r="J330" s="1918">
        <f>'Part II-Development Team'!J85</f>
        <v>0</v>
      </c>
      <c r="K330" s="1879" t="s">
        <v>1895</v>
      </c>
      <c r="L330" s="1872">
        <f>'Part II-Development Team'!L85</f>
        <v>0</v>
      </c>
      <c r="M330" s="1872"/>
      <c r="N330" s="1872"/>
      <c r="O330" s="1872"/>
      <c r="P330" s="1872"/>
      <c r="Q330" s="1872"/>
      <c r="R330" s="1872"/>
      <c r="S330" s="1872"/>
      <c r="Z330" s="1857">
        <v>85</v>
      </c>
    </row>
    <row r="331" spans="1:26" s="1865" customFormat="1" ht="6.6" customHeight="1">
      <c r="H331" s="1878"/>
      <c r="I331" s="1878"/>
      <c r="J331" s="1878"/>
      <c r="K331" s="1879"/>
      <c r="L331" s="1878"/>
      <c r="M331" s="1878"/>
      <c r="N331" s="1879"/>
      <c r="O331" s="1878"/>
      <c r="P331" s="1878"/>
      <c r="Q331" s="1879"/>
      <c r="R331" s="1878"/>
      <c r="S331" s="1878"/>
      <c r="Z331" s="1857">
        <v>86</v>
      </c>
    </row>
    <row r="332" spans="1:26" s="1856" customFormat="1" ht="11.25" customHeight="1">
      <c r="B332" s="1856" t="s">
        <v>1896</v>
      </c>
      <c r="C332" s="1856" t="s">
        <v>276</v>
      </c>
      <c r="H332" s="1863" t="str">
        <f>'Part II-Development Team'!H87</f>
        <v>Fyffe Construction Company, Inc.</v>
      </c>
      <c r="I332" s="1914"/>
      <c r="J332" s="1914"/>
      <c r="K332" s="1914"/>
      <c r="L332" s="1914"/>
      <c r="M332" s="1914"/>
      <c r="N332" s="1914"/>
      <c r="O332" s="1888" t="s">
        <v>1900</v>
      </c>
      <c r="P332" s="1888"/>
      <c r="Q332" s="1863" t="str">
        <f>'Part II-Development Team'!Q87</f>
        <v>Lowell R. Barron II</v>
      </c>
      <c r="R332" s="1914"/>
      <c r="S332" s="1914"/>
      <c r="Z332" s="1868">
        <v>87</v>
      </c>
    </row>
    <row r="333" spans="1:26" s="1856" customFormat="1" ht="11.25" customHeight="1">
      <c r="D333" s="1887"/>
      <c r="E333" s="1858" t="s">
        <v>982</v>
      </c>
      <c r="F333" s="1860"/>
      <c r="H333" s="1863" t="str">
        <f>'Part II-Development Team'!H88</f>
        <v>1544 S. Main Street</v>
      </c>
      <c r="I333" s="1914"/>
      <c r="J333" s="1914"/>
      <c r="K333" s="1914"/>
      <c r="L333" s="1914"/>
      <c r="M333" s="1914"/>
      <c r="N333" s="1914"/>
      <c r="O333" s="1888" t="s">
        <v>1668</v>
      </c>
      <c r="P333" s="1863"/>
      <c r="Q333" s="1863" t="str">
        <f>'Part II-Development Team'!Q88</f>
        <v>President of GP</v>
      </c>
      <c r="R333" s="1914"/>
      <c r="S333" s="1914"/>
      <c r="Z333" s="1857">
        <v>88</v>
      </c>
    </row>
    <row r="334" spans="1:26" s="1856" customFormat="1" ht="11.25" customHeight="1">
      <c r="D334" s="1887"/>
      <c r="E334" s="1858" t="s">
        <v>588</v>
      </c>
      <c r="H334" s="1863" t="str">
        <f>'Part II-Development Team'!H89</f>
        <v>Fyffe</v>
      </c>
      <c r="I334" s="1914"/>
      <c r="J334" s="1914"/>
      <c r="K334" s="1879" t="s">
        <v>2554</v>
      </c>
      <c r="L334" s="1863" t="str">
        <f>'Part II-Development Team'!L89</f>
        <v>www.fyffeconstruction.com</v>
      </c>
      <c r="M334" s="1914"/>
      <c r="N334" s="1914"/>
      <c r="O334" s="1888" t="s">
        <v>1644</v>
      </c>
      <c r="P334" s="1863"/>
      <c r="Q334" s="1878">
        <f>'Part II-Development Team'!Q89</f>
        <v>2569976659</v>
      </c>
      <c r="R334" s="1878"/>
      <c r="S334" s="1878"/>
      <c r="Z334" s="1857">
        <v>89</v>
      </c>
    </row>
    <row r="335" spans="1:26" s="1856" customFormat="1" ht="11.25" customHeight="1">
      <c r="E335" s="1858" t="s">
        <v>1717</v>
      </c>
      <c r="H335" s="1888" t="str">
        <f>'Part II-Development Team'!H90</f>
        <v>AL</v>
      </c>
      <c r="I335" s="1863"/>
      <c r="J335" s="1863"/>
      <c r="K335" s="1879" t="s">
        <v>2129</v>
      </c>
      <c r="L335" s="1877">
        <f>'Part II-Development Team'!L90</f>
        <v>359713484</v>
      </c>
      <c r="M335" s="1914"/>
      <c r="N335" s="1863"/>
      <c r="O335" s="1888" t="s">
        <v>1890</v>
      </c>
      <c r="P335" s="1863"/>
      <c r="Q335" s="1878">
        <f>'Part II-Development Team'!Q90</f>
        <v>2569976659</v>
      </c>
      <c r="R335" s="1878"/>
      <c r="S335" s="1878"/>
      <c r="Z335" s="1857">
        <v>90</v>
      </c>
    </row>
    <row r="336" spans="1:26" s="1856" customFormat="1" ht="11.25" customHeight="1">
      <c r="D336" s="1887"/>
      <c r="E336" s="1858" t="s">
        <v>3616</v>
      </c>
      <c r="H336" s="1878">
        <f>'Part II-Development Team'!H91</f>
        <v>2564174920</v>
      </c>
      <c r="I336" s="1878"/>
      <c r="J336" s="1918">
        <f>'Part II-Development Team'!J91</f>
        <v>295</v>
      </c>
      <c r="K336" s="1879" t="s">
        <v>1895</v>
      </c>
      <c r="L336" s="1872" t="str">
        <f>'Part II-Development Team'!L91</f>
        <v>lbarron@thevantagegroup.biz</v>
      </c>
      <c r="M336" s="1872"/>
      <c r="N336" s="1872"/>
      <c r="O336" s="1872"/>
      <c r="P336" s="1872"/>
      <c r="Q336" s="1872"/>
      <c r="R336" s="1872"/>
      <c r="S336" s="1872"/>
      <c r="Z336" s="1857">
        <v>91</v>
      </c>
    </row>
    <row r="337" spans="2:26" s="1865" customFormat="1" ht="6.6" customHeight="1">
      <c r="H337" s="1878"/>
      <c r="I337" s="1878"/>
      <c r="J337" s="1878"/>
      <c r="K337" s="1879"/>
      <c r="L337" s="1878"/>
      <c r="M337" s="1878"/>
      <c r="N337" s="1879"/>
      <c r="O337" s="1878"/>
      <c r="P337" s="1878"/>
      <c r="Q337" s="1879"/>
      <c r="R337" s="1878"/>
      <c r="S337" s="1878"/>
      <c r="Z337" s="1857">
        <v>92</v>
      </c>
    </row>
    <row r="338" spans="2:26" s="1856" customFormat="1" ht="11.25" customHeight="1">
      <c r="B338" s="1856" t="s">
        <v>719</v>
      </c>
      <c r="C338" s="1856" t="s">
        <v>277</v>
      </c>
      <c r="F338" s="1865"/>
      <c r="H338" s="1863" t="str">
        <f>'Part II-Development Team'!H93</f>
        <v>Vantage Management, LLC</v>
      </c>
      <c r="I338" s="1914"/>
      <c r="J338" s="1914"/>
      <c r="K338" s="1914"/>
      <c r="L338" s="1914"/>
      <c r="M338" s="1914"/>
      <c r="N338" s="1914"/>
      <c r="O338" s="1888" t="s">
        <v>1900</v>
      </c>
      <c r="P338" s="1888"/>
      <c r="Q338" s="1863" t="str">
        <f>'Part II-Development Team'!Q93</f>
        <v>Lowell R. Barron II</v>
      </c>
      <c r="R338" s="1914"/>
      <c r="S338" s="1914"/>
      <c r="Z338" s="1868">
        <v>93</v>
      </c>
    </row>
    <row r="339" spans="2:26" s="1856" customFormat="1" ht="11.25" customHeight="1">
      <c r="D339" s="1887"/>
      <c r="E339" s="1858" t="s">
        <v>982</v>
      </c>
      <c r="F339" s="1860"/>
      <c r="H339" s="1863" t="str">
        <f>'Part II-Development Team'!H94</f>
        <v>1544 S. Main Street</v>
      </c>
      <c r="I339" s="1914"/>
      <c r="J339" s="1914"/>
      <c r="K339" s="1914"/>
      <c r="L339" s="1914"/>
      <c r="M339" s="1914"/>
      <c r="N339" s="1914"/>
      <c r="O339" s="1888" t="s">
        <v>1668</v>
      </c>
      <c r="P339" s="1863"/>
      <c r="Q339" s="1863" t="str">
        <f>'Part II-Development Team'!Q94</f>
        <v>President of GP</v>
      </c>
      <c r="R339" s="1914"/>
      <c r="S339" s="1914"/>
      <c r="Z339" s="1857">
        <v>94</v>
      </c>
    </row>
    <row r="340" spans="2:26" s="1856" customFormat="1" ht="11.25" customHeight="1">
      <c r="D340" s="1887"/>
      <c r="E340" s="1858" t="s">
        <v>588</v>
      </c>
      <c r="H340" s="1863" t="str">
        <f>'Part II-Development Team'!H95</f>
        <v>Fyffe</v>
      </c>
      <c r="I340" s="1914"/>
      <c r="J340" s="1914"/>
      <c r="K340" s="1879" t="s">
        <v>2554</v>
      </c>
      <c r="L340" s="1863" t="str">
        <f>'Part II-Development Team'!L95</f>
        <v>www.thevantagegroup.biz</v>
      </c>
      <c r="M340" s="1914"/>
      <c r="N340" s="1914"/>
      <c r="O340" s="1888" t="s">
        <v>1644</v>
      </c>
      <c r="P340" s="1863"/>
      <c r="Q340" s="1878">
        <f>'Part II-Development Team'!Q95</f>
        <v>2569976659</v>
      </c>
      <c r="R340" s="1878"/>
      <c r="S340" s="1878"/>
      <c r="Z340" s="1857">
        <v>95</v>
      </c>
    </row>
    <row r="341" spans="2:26" s="1856" customFormat="1" ht="11.25" customHeight="1">
      <c r="D341" s="1887"/>
      <c r="E341" s="1858" t="s">
        <v>1717</v>
      </c>
      <c r="H341" s="1888" t="str">
        <f>'Part II-Development Team'!H96</f>
        <v>AL</v>
      </c>
      <c r="I341" s="1863"/>
      <c r="J341" s="1863"/>
      <c r="K341" s="1879" t="s">
        <v>2129</v>
      </c>
      <c r="L341" s="1877">
        <f>'Part II-Development Team'!L96</f>
        <v>359713484</v>
      </c>
      <c r="M341" s="1914"/>
      <c r="N341" s="1863"/>
      <c r="O341" s="1888" t="s">
        <v>1890</v>
      </c>
      <c r="P341" s="1863"/>
      <c r="Q341" s="1878">
        <f>'Part II-Development Team'!Q96</f>
        <v>2569976659</v>
      </c>
      <c r="R341" s="1878"/>
      <c r="S341" s="1878"/>
      <c r="Z341" s="1857">
        <v>96</v>
      </c>
    </row>
    <row r="342" spans="2:26" s="1856" customFormat="1" ht="11.25" customHeight="1">
      <c r="D342" s="1887"/>
      <c r="E342" s="1858" t="s">
        <v>3616</v>
      </c>
      <c r="H342" s="1878">
        <f>'Part II-Development Team'!H97</f>
        <v>2564174920</v>
      </c>
      <c r="I342" s="1878"/>
      <c r="J342" s="1918">
        <f>'Part II-Development Team'!J97</f>
        <v>295</v>
      </c>
      <c r="K342" s="1879" t="s">
        <v>1895</v>
      </c>
      <c r="L342" s="1872" t="str">
        <f>'Part II-Development Team'!L97</f>
        <v>lbarron@thevantagegroup.biz</v>
      </c>
      <c r="M342" s="1872"/>
      <c r="N342" s="1872"/>
      <c r="O342" s="1872"/>
      <c r="P342" s="1872"/>
      <c r="Q342" s="1872"/>
      <c r="R342" s="1872"/>
      <c r="S342" s="1872"/>
      <c r="Z342" s="1857">
        <v>97</v>
      </c>
    </row>
    <row r="343" spans="2:26" s="1865" customFormat="1" ht="6.6" customHeight="1">
      <c r="H343" s="1878"/>
      <c r="I343" s="1878"/>
      <c r="J343" s="1878"/>
      <c r="K343" s="1879"/>
      <c r="L343" s="1878"/>
      <c r="M343" s="1878"/>
      <c r="N343" s="1879"/>
      <c r="O343" s="1878"/>
      <c r="P343" s="1878"/>
      <c r="Q343" s="1879"/>
      <c r="R343" s="1878"/>
      <c r="S343" s="1878"/>
      <c r="Z343" s="1857">
        <v>98</v>
      </c>
    </row>
    <row r="344" spans="2:26" s="1856" customFormat="1" ht="11.25" customHeight="1">
      <c r="B344" s="1856" t="s">
        <v>2022</v>
      </c>
      <c r="C344" s="1856" t="s">
        <v>278</v>
      </c>
      <c r="H344" s="1863" t="str">
        <f>'Part II-Development Team'!H99</f>
        <v>Balch &amp; Bingham, LLP</v>
      </c>
      <c r="I344" s="1914"/>
      <c r="J344" s="1914"/>
      <c r="K344" s="1914"/>
      <c r="L344" s="1914"/>
      <c r="M344" s="1914"/>
      <c r="N344" s="1914"/>
      <c r="O344" s="1888" t="s">
        <v>1900</v>
      </c>
      <c r="P344" s="1888"/>
      <c r="Q344" s="1863" t="str">
        <f>'Part II-Development Team'!Q99</f>
        <v>Lee Johnsey</v>
      </c>
      <c r="R344" s="1914"/>
      <c r="S344" s="1914"/>
      <c r="Z344" s="1857">
        <v>99</v>
      </c>
    </row>
    <row r="345" spans="2:26" s="1856" customFormat="1" ht="11.25" customHeight="1">
      <c r="D345" s="1887"/>
      <c r="E345" s="1858" t="s">
        <v>982</v>
      </c>
      <c r="F345" s="1860"/>
      <c r="H345" s="1863" t="str">
        <f>'Part II-Development Team'!H100</f>
        <v>1901 Sixth Avenue North</v>
      </c>
      <c r="I345" s="1914"/>
      <c r="J345" s="1914"/>
      <c r="K345" s="1914"/>
      <c r="L345" s="1914"/>
      <c r="M345" s="1914"/>
      <c r="N345" s="1914"/>
      <c r="O345" s="1888" t="s">
        <v>1668</v>
      </c>
      <c r="P345" s="1863"/>
      <c r="Q345" s="1863" t="str">
        <f>'Part II-Development Team'!Q100</f>
        <v>Partner</v>
      </c>
      <c r="R345" s="1914"/>
      <c r="S345" s="1914"/>
      <c r="Z345" s="1857">
        <v>100</v>
      </c>
    </row>
    <row r="346" spans="2:26" s="1856" customFormat="1" ht="11.25" customHeight="1">
      <c r="D346" s="1887"/>
      <c r="E346" s="1858" t="s">
        <v>588</v>
      </c>
      <c r="H346" s="1863" t="str">
        <f>'Part II-Development Team'!H101</f>
        <v>Birmingham</v>
      </c>
      <c r="I346" s="1914"/>
      <c r="J346" s="1914"/>
      <c r="K346" s="1879" t="s">
        <v>2554</v>
      </c>
      <c r="L346" s="1863" t="str">
        <f>'Part II-Development Team'!L101</f>
        <v>www.balch.com</v>
      </c>
      <c r="M346" s="1914"/>
      <c r="N346" s="1914"/>
      <c r="O346" s="1888" t="s">
        <v>1644</v>
      </c>
      <c r="P346" s="1863"/>
      <c r="Q346" s="1878">
        <f>'Part II-Development Team'!Q101</f>
        <v>2052268741</v>
      </c>
      <c r="R346" s="1878"/>
      <c r="S346" s="1878"/>
      <c r="Z346" s="1857">
        <v>101</v>
      </c>
    </row>
    <row r="347" spans="2:26" s="1856" customFormat="1" ht="11.25" customHeight="1">
      <c r="D347" s="1887"/>
      <c r="E347" s="1858" t="s">
        <v>1717</v>
      </c>
      <c r="H347" s="1888" t="str">
        <f>'Part II-Development Team'!H102</f>
        <v>AL</v>
      </c>
      <c r="I347" s="1863"/>
      <c r="J347" s="1863"/>
      <c r="K347" s="1879" t="s">
        <v>2129</v>
      </c>
      <c r="L347" s="1877">
        <f>'Part II-Development Team'!L102</f>
        <v>352034642</v>
      </c>
      <c r="M347" s="1914"/>
      <c r="N347" s="1863"/>
      <c r="O347" s="1888" t="s">
        <v>1890</v>
      </c>
      <c r="P347" s="1863"/>
      <c r="Q347" s="1878">
        <f>'Part II-Development Team'!Q102</f>
        <v>2058073855</v>
      </c>
      <c r="R347" s="1878"/>
      <c r="S347" s="1878"/>
      <c r="Z347" s="1868">
        <v>102</v>
      </c>
    </row>
    <row r="348" spans="2:26" s="1865" customFormat="1" ht="11.25" customHeight="1">
      <c r="E348" s="1858" t="s">
        <v>3616</v>
      </c>
      <c r="F348" s="1856"/>
      <c r="G348" s="1856"/>
      <c r="H348" s="1878">
        <f>'Part II-Development Team'!H103</f>
        <v>2052268741</v>
      </c>
      <c r="I348" s="1878"/>
      <c r="J348" s="1918">
        <f>'Part II-Development Team'!J103</f>
        <v>0</v>
      </c>
      <c r="K348" s="1879" t="s">
        <v>1895</v>
      </c>
      <c r="L348" s="1872" t="str">
        <f>'Part II-Development Team'!L103</f>
        <v>ljohnsey@balch.com</v>
      </c>
      <c r="M348" s="1872"/>
      <c r="N348" s="1872"/>
      <c r="O348" s="1872"/>
      <c r="P348" s="1872"/>
      <c r="Q348" s="1872"/>
      <c r="R348" s="1872"/>
      <c r="S348" s="1872"/>
      <c r="Z348" s="1857">
        <v>103</v>
      </c>
    </row>
    <row r="349" spans="2:26" s="1865" customFormat="1" ht="6" customHeight="1">
      <c r="E349" s="1858"/>
      <c r="F349" s="1856"/>
      <c r="G349" s="1856"/>
      <c r="H349" s="1878"/>
      <c r="I349" s="1878"/>
      <c r="J349" s="1878"/>
      <c r="K349" s="1879"/>
      <c r="L349" s="1878"/>
      <c r="M349" s="1878"/>
      <c r="N349" s="1879"/>
      <c r="O349" s="1878"/>
      <c r="P349" s="1878"/>
      <c r="Q349" s="1879"/>
      <c r="R349" s="1878"/>
      <c r="S349" s="1878"/>
      <c r="Z349" s="1857">
        <v>104</v>
      </c>
    </row>
    <row r="350" spans="2:26" s="1856" customFormat="1" ht="11.25" customHeight="1">
      <c r="B350" s="1856" t="s">
        <v>1656</v>
      </c>
      <c r="C350" s="1856" t="s">
        <v>279</v>
      </c>
      <c r="H350" s="1863" t="str">
        <f>'Part II-Development Team'!H105</f>
        <v>Cone &amp; Smith, PC</v>
      </c>
      <c r="I350" s="1914"/>
      <c r="J350" s="1914"/>
      <c r="K350" s="1914"/>
      <c r="L350" s="1914"/>
      <c r="M350" s="1914"/>
      <c r="N350" s="1914"/>
      <c r="O350" s="1888" t="s">
        <v>1900</v>
      </c>
      <c r="P350" s="1888"/>
      <c r="Q350" s="1863" t="str">
        <f>'Part II-Development Team'!Q105</f>
        <v>David Smith</v>
      </c>
      <c r="R350" s="1914"/>
      <c r="S350" s="1914"/>
      <c r="Z350" s="1857">
        <v>105</v>
      </c>
    </row>
    <row r="351" spans="2:26" s="1856" customFormat="1" ht="11.25" customHeight="1">
      <c r="D351" s="1887"/>
      <c r="E351" s="1858" t="s">
        <v>982</v>
      </c>
      <c r="F351" s="1860"/>
      <c r="H351" s="1863" t="str">
        <f>'Part II-Development Team'!H106</f>
        <v>3421 Rainbow Parkway</v>
      </c>
      <c r="I351" s="1914"/>
      <c r="J351" s="1914"/>
      <c r="K351" s="1914"/>
      <c r="L351" s="1914"/>
      <c r="M351" s="1914"/>
      <c r="N351" s="1914"/>
      <c r="O351" s="1888" t="s">
        <v>1668</v>
      </c>
      <c r="P351" s="1863"/>
      <c r="Q351" s="1863" t="str">
        <f>'Part II-Development Team'!Q106</f>
        <v>Principal, CPA</v>
      </c>
      <c r="R351" s="1914"/>
      <c r="S351" s="1914"/>
      <c r="Z351" s="1857">
        <v>106</v>
      </c>
    </row>
    <row r="352" spans="2:26" s="1856" customFormat="1" ht="11.25" customHeight="1">
      <c r="D352" s="1887"/>
      <c r="E352" s="1858" t="s">
        <v>588</v>
      </c>
      <c r="H352" s="1863" t="str">
        <f>'Part II-Development Team'!H107</f>
        <v>Rainbow City</v>
      </c>
      <c r="I352" s="1914"/>
      <c r="J352" s="1914"/>
      <c r="K352" s="1879" t="s">
        <v>2554</v>
      </c>
      <c r="L352" s="1863" t="str">
        <f>'Part II-Development Team'!L107</f>
        <v>N/A</v>
      </c>
      <c r="M352" s="1914"/>
      <c r="N352" s="1914"/>
      <c r="O352" s="1888" t="s">
        <v>1644</v>
      </c>
      <c r="P352" s="1863"/>
      <c r="Q352" s="1878">
        <f>'Part II-Development Team'!Q107</f>
        <v>2564133057</v>
      </c>
      <c r="R352" s="1878"/>
      <c r="S352" s="1878"/>
      <c r="Z352" s="1857">
        <v>107</v>
      </c>
    </row>
    <row r="353" spans="1:26" s="1856" customFormat="1" ht="11.25" customHeight="1">
      <c r="D353" s="1887"/>
      <c r="E353" s="1858" t="s">
        <v>1717</v>
      </c>
      <c r="H353" s="1888" t="str">
        <f>'Part II-Development Team'!H108</f>
        <v>AL</v>
      </c>
      <c r="I353" s="1863"/>
      <c r="J353" s="1863"/>
      <c r="K353" s="1879" t="s">
        <v>2129</v>
      </c>
      <c r="L353" s="1877">
        <f>'Part II-Development Team'!L108</f>
        <v>359063206</v>
      </c>
      <c r="M353" s="1914"/>
      <c r="N353" s="1863"/>
      <c r="O353" s="1888" t="s">
        <v>1890</v>
      </c>
      <c r="P353" s="1863"/>
      <c r="Q353" s="1878">
        <f>'Part II-Development Team'!Q108</f>
        <v>2563905972</v>
      </c>
      <c r="R353" s="1878"/>
      <c r="S353" s="1878"/>
      <c r="Z353" s="1857">
        <v>108</v>
      </c>
    </row>
    <row r="354" spans="1:26" s="1865" customFormat="1" ht="11.25" customHeight="1">
      <c r="E354" s="1858" t="s">
        <v>3616</v>
      </c>
      <c r="F354" s="1856"/>
      <c r="G354" s="1856"/>
      <c r="H354" s="1878">
        <f>'Part II-Development Team'!H109</f>
        <v>2564133057</v>
      </c>
      <c r="I354" s="1878"/>
      <c r="J354" s="1918">
        <f>'Part II-Development Team'!J109</f>
        <v>0</v>
      </c>
      <c r="K354" s="1879" t="s">
        <v>1895</v>
      </c>
      <c r="L354" s="1872" t="str">
        <f>'Part II-Development Team'!L109</f>
        <v>dsmith@coneandsmith.com</v>
      </c>
      <c r="M354" s="1872"/>
      <c r="N354" s="1872"/>
      <c r="O354" s="1872"/>
      <c r="P354" s="1872"/>
      <c r="Q354" s="1872"/>
      <c r="R354" s="1872"/>
      <c r="S354" s="1872"/>
      <c r="Z354" s="1857">
        <v>109</v>
      </c>
    </row>
    <row r="355" spans="1:26" s="1865" customFormat="1" ht="6.6" customHeight="1">
      <c r="E355" s="1858"/>
      <c r="F355" s="1856"/>
      <c r="G355" s="1856"/>
      <c r="H355" s="1878"/>
      <c r="I355" s="1878"/>
      <c r="J355" s="1878"/>
      <c r="K355" s="1879"/>
      <c r="L355" s="1878"/>
      <c r="M355" s="1878"/>
      <c r="N355" s="1879"/>
      <c r="O355" s="1878"/>
      <c r="P355" s="1878"/>
      <c r="Q355" s="1879"/>
      <c r="R355" s="1878"/>
      <c r="S355" s="1878"/>
      <c r="Z355" s="1857">
        <v>110</v>
      </c>
    </row>
    <row r="356" spans="1:26" s="1856" customFormat="1" ht="11.25" customHeight="1">
      <c r="B356" s="1856" t="s">
        <v>1657</v>
      </c>
      <c r="C356" s="1856" t="s">
        <v>280</v>
      </c>
      <c r="H356" s="1863" t="str">
        <f>'Part II-Development Team'!H111</f>
        <v>Wallace Architects, LLC</v>
      </c>
      <c r="I356" s="1914"/>
      <c r="J356" s="1914"/>
      <c r="K356" s="1914"/>
      <c r="L356" s="1914"/>
      <c r="M356" s="1914"/>
      <c r="N356" s="1914"/>
      <c r="O356" s="1888" t="s">
        <v>1900</v>
      </c>
      <c r="P356" s="1888"/>
      <c r="Q356" s="1863" t="str">
        <f>'Part II-Development Team'!Q111</f>
        <v>Mike Kleffner</v>
      </c>
      <c r="R356" s="1914"/>
      <c r="S356" s="1914"/>
      <c r="Z356" s="1868">
        <v>111</v>
      </c>
    </row>
    <row r="357" spans="1:26" s="1856" customFormat="1" ht="11.25" customHeight="1">
      <c r="D357" s="1887"/>
      <c r="E357" s="1858" t="s">
        <v>982</v>
      </c>
      <c r="F357" s="1860"/>
      <c r="H357" s="1863" t="str">
        <f>'Part II-Development Team'!H112</f>
        <v>3615 West Broadway, Suite B</v>
      </c>
      <c r="I357" s="1914"/>
      <c r="J357" s="1914"/>
      <c r="K357" s="1914"/>
      <c r="L357" s="1914"/>
      <c r="M357" s="1914"/>
      <c r="N357" s="1914"/>
      <c r="O357" s="1888" t="s">
        <v>1668</v>
      </c>
      <c r="P357" s="1863"/>
      <c r="Q357" s="1863" t="str">
        <f>'Part II-Development Team'!Q112</f>
        <v>Architect</v>
      </c>
      <c r="R357" s="1914"/>
      <c r="S357" s="1914"/>
      <c r="Z357" s="1857">
        <v>112</v>
      </c>
    </row>
    <row r="358" spans="1:26" s="1856" customFormat="1" ht="11.25" customHeight="1">
      <c r="D358" s="1887"/>
      <c r="E358" s="1858" t="s">
        <v>588</v>
      </c>
      <c r="H358" s="1863" t="str">
        <f>'Part II-Development Team'!H113</f>
        <v>Sedalia</v>
      </c>
      <c r="I358" s="1914"/>
      <c r="J358" s="1914"/>
      <c r="K358" s="1879" t="s">
        <v>2554</v>
      </c>
      <c r="L358" s="1863" t="str">
        <f>'Part II-Development Team'!L113</f>
        <v>www.wallacearchitects.com</v>
      </c>
      <c r="M358" s="1914"/>
      <c r="N358" s="1914"/>
      <c r="O358" s="1888" t="s">
        <v>1644</v>
      </c>
      <c r="P358" s="1863"/>
      <c r="Q358" s="1878">
        <f>'Part II-Development Team'!Q113</f>
        <v>6608267000</v>
      </c>
      <c r="R358" s="1878"/>
      <c r="S358" s="1878"/>
      <c r="Z358" s="1857">
        <v>113</v>
      </c>
    </row>
    <row r="359" spans="1:26" s="1856" customFormat="1" ht="11.25" customHeight="1">
      <c r="D359" s="1887"/>
      <c r="E359" s="1858" t="s">
        <v>1717</v>
      </c>
      <c r="H359" s="1888" t="str">
        <f>'Part II-Development Team'!H114</f>
        <v>MO</v>
      </c>
      <c r="I359" s="1863"/>
      <c r="J359" s="1863"/>
      <c r="K359" s="1879" t="s">
        <v>2129</v>
      </c>
      <c r="L359" s="1877">
        <f>'Part II-Development Team'!L114</f>
        <v>653012479</v>
      </c>
      <c r="M359" s="1914"/>
      <c r="N359" s="1863"/>
      <c r="O359" s="1888" t="s">
        <v>1890</v>
      </c>
      <c r="P359" s="1863"/>
      <c r="Q359" s="1878">
        <f>'Part II-Development Team'!Q114</f>
        <v>6602817041</v>
      </c>
      <c r="R359" s="1878"/>
      <c r="S359" s="1878"/>
      <c r="Z359" s="1857">
        <v>114</v>
      </c>
    </row>
    <row r="360" spans="1:26" s="1856" customFormat="1" ht="11.25" customHeight="1">
      <c r="D360" s="1887"/>
      <c r="E360" s="1858" t="s">
        <v>3616</v>
      </c>
      <c r="H360" s="1878">
        <f>'Part II-Development Team'!H115</f>
        <v>6608267000</v>
      </c>
      <c r="I360" s="1878"/>
      <c r="J360" s="1918">
        <f>'Part II-Development Team'!J115</f>
        <v>0</v>
      </c>
      <c r="K360" s="1879" t="s">
        <v>1895</v>
      </c>
      <c r="L360" s="1872" t="str">
        <f>'Part II-Development Team'!L115</f>
        <v>mikek@wallacearchitects.com</v>
      </c>
      <c r="M360" s="1872"/>
      <c r="N360" s="1872"/>
      <c r="O360" s="1872"/>
      <c r="P360" s="1872"/>
      <c r="Q360" s="1872"/>
      <c r="R360" s="1872"/>
      <c r="S360" s="1872"/>
      <c r="Z360" s="1857">
        <v>115</v>
      </c>
    </row>
    <row r="361" spans="1:26" s="1865" customFormat="1" ht="3" customHeight="1">
      <c r="H361" s="1914"/>
      <c r="I361" s="1914"/>
      <c r="J361" s="1914"/>
      <c r="K361" s="1914"/>
      <c r="L361" s="1914"/>
      <c r="M361" s="1914"/>
      <c r="N361" s="1914"/>
      <c r="O361" s="1914"/>
      <c r="P361" s="1914"/>
      <c r="Q361" s="1914"/>
      <c r="R361" s="1914"/>
      <c r="S361" s="1914"/>
      <c r="Z361" s="1857">
        <v>116</v>
      </c>
    </row>
    <row r="362" spans="1:26" s="1856" customFormat="1" ht="12" customHeight="1">
      <c r="A362" s="1856" t="s">
        <v>1711</v>
      </c>
      <c r="B362" s="1856" t="s">
        <v>2484</v>
      </c>
      <c r="G362" s="1857"/>
      <c r="H362" s="1879"/>
      <c r="I362" s="1879"/>
      <c r="J362" s="1879"/>
      <c r="K362" s="1879"/>
      <c r="L362" s="1879"/>
      <c r="M362" s="1879"/>
      <c r="N362" s="1879"/>
      <c r="O362" s="1879"/>
      <c r="P362" s="1879"/>
      <c r="Q362" s="1879"/>
      <c r="R362" s="1863"/>
      <c r="S362" s="1863"/>
      <c r="Z362" s="1857">
        <v>117</v>
      </c>
    </row>
    <row r="363" spans="1:26" s="1856" customFormat="1" ht="12" customHeight="1">
      <c r="B363" s="1856" t="s">
        <v>1894</v>
      </c>
      <c r="C363" s="1856" t="s">
        <v>7045</v>
      </c>
      <c r="G363" s="1857"/>
      <c r="H363" s="1879"/>
      <c r="I363" s="1879"/>
      <c r="J363" s="1879"/>
      <c r="K363" s="1879"/>
      <c r="L363" s="1879"/>
      <c r="M363" s="1879"/>
      <c r="N363" s="1879"/>
      <c r="O363" s="1879"/>
      <c r="P363" s="1879"/>
      <c r="Q363" s="1879"/>
      <c r="R363" s="1863"/>
      <c r="S363" s="1863"/>
      <c r="Z363" s="1868">
        <v>118</v>
      </c>
    </row>
    <row r="364" spans="1:26" s="1865" customFormat="1" ht="2.25" customHeight="1">
      <c r="H364" s="1914"/>
      <c r="I364" s="1914"/>
      <c r="J364" s="1914"/>
      <c r="K364" s="1914"/>
      <c r="L364" s="1914"/>
      <c r="M364" s="1914"/>
      <c r="N364" s="1914"/>
      <c r="O364" s="1914"/>
      <c r="P364" s="1914"/>
      <c r="Q364" s="1914"/>
      <c r="R364" s="1914"/>
      <c r="S364" s="1914"/>
      <c r="Z364" s="1857">
        <v>119</v>
      </c>
    </row>
    <row r="365" spans="1:26" s="1856" customFormat="1" ht="11.25" customHeight="1">
      <c r="C365" s="1901" t="s">
        <v>1897</v>
      </c>
      <c r="D365" s="1856" t="s">
        <v>7112</v>
      </c>
      <c r="H365" s="1863" t="str">
        <f>'Part II-Development Team'!H120</f>
        <v>George Dickey</v>
      </c>
      <c r="I365" s="1863"/>
      <c r="J365" s="1863"/>
      <c r="K365" s="1879" t="s">
        <v>1716</v>
      </c>
      <c r="L365" s="1863" t="str">
        <f>'Part II-Development Team'!L120</f>
        <v>George Dickey</v>
      </c>
      <c r="M365" s="1914"/>
      <c r="N365" s="1914"/>
      <c r="O365" s="1888" t="s">
        <v>3262</v>
      </c>
      <c r="P365" s="1863"/>
      <c r="Q365" s="1878">
        <f>'Part II-Development Team'!Q120</f>
        <v>9126677776</v>
      </c>
      <c r="R365" s="1964"/>
      <c r="S365" s="1964"/>
      <c r="Z365" s="1857">
        <v>120</v>
      </c>
    </row>
    <row r="366" spans="1:26" s="1856" customFormat="1" ht="11.25" customHeight="1">
      <c r="D366" s="1887"/>
      <c r="E366" s="1858" t="s">
        <v>6490</v>
      </c>
      <c r="F366" s="1860"/>
      <c r="H366" s="1863" t="str">
        <f>'Part II-Development Team'!H121</f>
        <v>PO Box 18031</v>
      </c>
      <c r="I366" s="1914"/>
      <c r="J366" s="1914"/>
      <c r="K366" s="1914"/>
      <c r="L366" s="1914"/>
      <c r="M366" s="1914"/>
      <c r="N366" s="1914"/>
      <c r="O366" s="1888" t="s">
        <v>588</v>
      </c>
      <c r="P366" s="1863"/>
      <c r="Q366" s="1863" t="str">
        <f>'Part II-Development Team'!Q121</f>
        <v>Garden City</v>
      </c>
      <c r="R366" s="1914"/>
      <c r="S366" s="1914"/>
      <c r="Z366" s="1857">
        <v>121</v>
      </c>
    </row>
    <row r="367" spans="1:26" s="1856" customFormat="1">
      <c r="D367" s="1887"/>
      <c r="E367" s="1858" t="s">
        <v>1717</v>
      </c>
      <c r="H367" s="1888" t="str">
        <f>'Part II-Development Team'!H122</f>
        <v>GA</v>
      </c>
      <c r="I367" s="1879" t="s">
        <v>2129</v>
      </c>
      <c r="J367" s="1877">
        <f>'Part II-Development Team'!J122</f>
        <v>314180000</v>
      </c>
      <c r="K367" s="1914"/>
      <c r="L367" s="1879" t="s">
        <v>1895</v>
      </c>
      <c r="M367" s="1872" t="str">
        <f>'Part II-Development Team'!M122</f>
        <v>atfsav@hotmail.com</v>
      </c>
      <c r="N367" s="1872"/>
      <c r="O367" s="1872"/>
      <c r="P367" s="1872"/>
      <c r="Q367" s="1872"/>
      <c r="R367" s="1872"/>
      <c r="S367" s="1872"/>
      <c r="Z367" s="1857">
        <v>122</v>
      </c>
    </row>
    <row r="368" spans="1:26" s="1865" customFormat="1">
      <c r="H368" s="1914"/>
      <c r="I368" s="1914"/>
      <c r="J368" s="1914"/>
      <c r="K368" s="1914"/>
      <c r="L368" s="1914"/>
      <c r="M368" s="1914"/>
      <c r="N368" s="1914"/>
      <c r="O368" s="1914"/>
      <c r="P368" s="1914"/>
      <c r="Q368" s="1914"/>
      <c r="R368" s="1914"/>
      <c r="S368" s="1914"/>
      <c r="Z368" s="1857">
        <v>123</v>
      </c>
    </row>
    <row r="369" spans="3:26" s="1856" customFormat="1">
      <c r="C369" s="1901"/>
      <c r="D369" s="1856" t="s">
        <v>7113</v>
      </c>
      <c r="H369" s="1863">
        <f>'Part II-Development Team'!H124</f>
        <v>0</v>
      </c>
      <c r="I369" s="1863"/>
      <c r="J369" s="1863"/>
      <c r="K369" s="1879" t="s">
        <v>1716</v>
      </c>
      <c r="L369" s="1863">
        <f>'Part II-Development Team'!L124</f>
        <v>0</v>
      </c>
      <c r="M369" s="1914"/>
      <c r="N369" s="1914"/>
      <c r="O369" s="1888" t="s">
        <v>3262</v>
      </c>
      <c r="P369" s="1863"/>
      <c r="Q369" s="1878">
        <f>'Part II-Development Team'!Q124</f>
        <v>0</v>
      </c>
      <c r="R369" s="1964"/>
      <c r="S369" s="1964"/>
      <c r="Z369" s="1857">
        <v>124</v>
      </c>
    </row>
    <row r="370" spans="3:26" s="1856" customFormat="1">
      <c r="D370" s="1887"/>
      <c r="E370" s="1858" t="s">
        <v>6490</v>
      </c>
      <c r="F370" s="1860"/>
      <c r="H370" s="1863">
        <f>'Part II-Development Team'!H125</f>
        <v>0</v>
      </c>
      <c r="I370" s="1914"/>
      <c r="J370" s="1914"/>
      <c r="K370" s="1914"/>
      <c r="L370" s="1914"/>
      <c r="M370" s="1914"/>
      <c r="N370" s="1914"/>
      <c r="O370" s="1888" t="s">
        <v>588</v>
      </c>
      <c r="P370" s="1863"/>
      <c r="Q370" s="1863">
        <f>'Part II-Development Team'!Q125</f>
        <v>0</v>
      </c>
      <c r="R370" s="1914"/>
      <c r="S370" s="1914"/>
      <c r="Z370" s="1857">
        <v>125</v>
      </c>
    </row>
    <row r="371" spans="3:26" s="1856" customFormat="1">
      <c r="D371" s="1887"/>
      <c r="E371" s="1858" t="s">
        <v>1717</v>
      </c>
      <c r="H371" s="1888">
        <f>'Part II-Development Team'!H126</f>
        <v>0</v>
      </c>
      <c r="I371" s="1879" t="s">
        <v>2129</v>
      </c>
      <c r="J371" s="1877">
        <f>'Part II-Development Team'!J126</f>
        <v>0</v>
      </c>
      <c r="K371" s="1914"/>
      <c r="L371" s="1879" t="s">
        <v>1895</v>
      </c>
      <c r="M371" s="1872">
        <f>'Part II-Development Team'!M126</f>
        <v>0</v>
      </c>
      <c r="N371" s="1872"/>
      <c r="O371" s="1872"/>
      <c r="P371" s="1872"/>
      <c r="Q371" s="1872"/>
      <c r="R371" s="1872"/>
      <c r="S371" s="1872"/>
      <c r="Z371" s="1857">
        <v>126</v>
      </c>
    </row>
    <row r="372" spans="3:26" s="1865" customFormat="1">
      <c r="H372" s="1914"/>
      <c r="I372" s="1914"/>
      <c r="J372" s="1914"/>
      <c r="K372" s="1914"/>
      <c r="L372" s="1914"/>
      <c r="M372" s="1914"/>
      <c r="N372" s="1914"/>
      <c r="O372" s="1914"/>
      <c r="P372" s="1914"/>
      <c r="Q372" s="1914"/>
      <c r="R372" s="1914"/>
      <c r="S372" s="1914"/>
      <c r="Z372" s="1868">
        <v>127</v>
      </c>
    </row>
    <row r="373" spans="3:26" s="1856" customFormat="1">
      <c r="C373" s="1901"/>
      <c r="D373" s="1856" t="s">
        <v>7046</v>
      </c>
      <c r="H373" s="1863">
        <f>'Part II-Development Team'!H128</f>
        <v>0</v>
      </c>
      <c r="I373" s="1863"/>
      <c r="J373" s="1863"/>
      <c r="K373" s="1879" t="s">
        <v>1716</v>
      </c>
      <c r="L373" s="1863">
        <f>'Part II-Development Team'!L128</f>
        <v>0</v>
      </c>
      <c r="M373" s="1914"/>
      <c r="N373" s="1914"/>
      <c r="O373" s="1888" t="s">
        <v>3262</v>
      </c>
      <c r="P373" s="1863"/>
      <c r="Q373" s="1878">
        <f>'Part II-Development Team'!Q128</f>
        <v>0</v>
      </c>
      <c r="R373" s="1964"/>
      <c r="S373" s="1964"/>
      <c r="Z373" s="1857">
        <v>128</v>
      </c>
    </row>
    <row r="374" spans="3:26" s="1856" customFormat="1">
      <c r="D374" s="1887"/>
      <c r="E374" s="1858" t="s">
        <v>6490</v>
      </c>
      <c r="F374" s="1860"/>
      <c r="H374" s="1863">
        <f>'Part II-Development Team'!H129</f>
        <v>0</v>
      </c>
      <c r="I374" s="1914"/>
      <c r="J374" s="1914"/>
      <c r="K374" s="1914"/>
      <c r="L374" s="1914"/>
      <c r="M374" s="1914"/>
      <c r="N374" s="1914"/>
      <c r="O374" s="1888" t="s">
        <v>588</v>
      </c>
      <c r="P374" s="1863"/>
      <c r="Q374" s="1863">
        <f>'Part II-Development Team'!Q129</f>
        <v>0</v>
      </c>
      <c r="R374" s="1914"/>
      <c r="S374" s="1914"/>
      <c r="Z374" s="1857">
        <v>129</v>
      </c>
    </row>
    <row r="375" spans="3:26" s="1856" customFormat="1">
      <c r="D375" s="1887"/>
      <c r="E375" s="1858" t="s">
        <v>1717</v>
      </c>
      <c r="H375" s="1888">
        <f>'Part II-Development Team'!H130</f>
        <v>0</v>
      </c>
      <c r="I375" s="1879" t="s">
        <v>2129</v>
      </c>
      <c r="J375" s="1877">
        <f>'Part II-Development Team'!J130</f>
        <v>0</v>
      </c>
      <c r="K375" s="1914"/>
      <c r="L375" s="1879" t="s">
        <v>1895</v>
      </c>
      <c r="M375" s="1872">
        <f>'Part II-Development Team'!M130</f>
        <v>0</v>
      </c>
      <c r="N375" s="1872"/>
      <c r="O375" s="1872"/>
      <c r="P375" s="1872"/>
      <c r="Q375" s="1872"/>
      <c r="R375" s="1872"/>
      <c r="S375" s="1872"/>
      <c r="Z375" s="1857">
        <v>130</v>
      </c>
    </row>
    <row r="376" spans="3:26" s="1865" customFormat="1">
      <c r="H376" s="1914"/>
      <c r="I376" s="1914"/>
      <c r="J376" s="1914"/>
      <c r="K376" s="1914"/>
      <c r="L376" s="1914"/>
      <c r="M376" s="1914"/>
      <c r="N376" s="1914"/>
      <c r="O376" s="1914"/>
      <c r="P376" s="1914"/>
      <c r="Q376" s="1914"/>
      <c r="R376" s="1914"/>
      <c r="S376" s="1914"/>
      <c r="Z376" s="1857">
        <v>131</v>
      </c>
    </row>
    <row r="377" spans="3:26" s="1856" customFormat="1">
      <c r="C377" s="1901"/>
      <c r="D377" s="1856" t="s">
        <v>7114</v>
      </c>
      <c r="H377" s="1863">
        <f>'Part II-Development Team'!H132</f>
        <v>0</v>
      </c>
      <c r="I377" s="1863"/>
      <c r="J377" s="1863"/>
      <c r="K377" s="1879" t="s">
        <v>1716</v>
      </c>
      <c r="L377" s="1863">
        <f>'Part II-Development Team'!L132</f>
        <v>0</v>
      </c>
      <c r="M377" s="1914"/>
      <c r="N377" s="1914"/>
      <c r="O377" s="1888" t="s">
        <v>3262</v>
      </c>
      <c r="P377" s="1863"/>
      <c r="Q377" s="1878">
        <f>'Part II-Development Team'!Q132</f>
        <v>0</v>
      </c>
      <c r="R377" s="1964"/>
      <c r="S377" s="1964"/>
      <c r="Z377" s="1857">
        <v>132</v>
      </c>
    </row>
    <row r="378" spans="3:26" s="1856" customFormat="1">
      <c r="D378" s="1887"/>
      <c r="E378" s="1858" t="s">
        <v>6490</v>
      </c>
      <c r="F378" s="1860"/>
      <c r="H378" s="1863">
        <f>'Part II-Development Team'!H133</f>
        <v>0</v>
      </c>
      <c r="I378" s="1914"/>
      <c r="J378" s="1914"/>
      <c r="K378" s="1914"/>
      <c r="L378" s="1914"/>
      <c r="M378" s="1914"/>
      <c r="N378" s="1914"/>
      <c r="O378" s="1888" t="s">
        <v>588</v>
      </c>
      <c r="P378" s="1863"/>
      <c r="Q378" s="1863">
        <f>'Part II-Development Team'!Q133</f>
        <v>0</v>
      </c>
      <c r="R378" s="1914"/>
      <c r="S378" s="1914"/>
      <c r="Z378" s="1857">
        <v>133</v>
      </c>
    </row>
    <row r="379" spans="3:26" s="1856" customFormat="1">
      <c r="D379" s="1887"/>
      <c r="E379" s="1858" t="s">
        <v>1717</v>
      </c>
      <c r="H379" s="1888">
        <f>'Part II-Development Team'!H134</f>
        <v>0</v>
      </c>
      <c r="I379" s="1879" t="s">
        <v>2129</v>
      </c>
      <c r="J379" s="1877">
        <f>'Part II-Development Team'!J134</f>
        <v>0</v>
      </c>
      <c r="K379" s="1914"/>
      <c r="L379" s="1879" t="s">
        <v>1895</v>
      </c>
      <c r="M379" s="1872">
        <f>'Part II-Development Team'!M134</f>
        <v>0</v>
      </c>
      <c r="N379" s="1872"/>
      <c r="O379" s="1872"/>
      <c r="P379" s="1872"/>
      <c r="Q379" s="1872"/>
      <c r="R379" s="1872"/>
      <c r="S379" s="1872"/>
      <c r="Z379" s="1857">
        <v>134</v>
      </c>
    </row>
    <row r="380" spans="3:26" s="1865" customFormat="1">
      <c r="H380" s="1914"/>
      <c r="I380" s="1914"/>
      <c r="J380" s="1914"/>
      <c r="K380" s="1914"/>
      <c r="L380" s="1914"/>
      <c r="M380" s="1914"/>
      <c r="N380" s="1914"/>
      <c r="O380" s="1914"/>
      <c r="P380" s="1914"/>
      <c r="Q380" s="1914"/>
      <c r="R380" s="1914"/>
      <c r="S380" s="1914"/>
      <c r="Z380" s="1857">
        <v>135</v>
      </c>
    </row>
    <row r="381" spans="3:26" s="1856" customFormat="1">
      <c r="C381" s="1901"/>
      <c r="D381" s="1856" t="s">
        <v>7047</v>
      </c>
      <c r="H381" s="1863">
        <f>'Part II-Development Team'!H136</f>
        <v>0</v>
      </c>
      <c r="I381" s="1863"/>
      <c r="J381" s="1863"/>
      <c r="K381" s="1879" t="s">
        <v>1716</v>
      </c>
      <c r="L381" s="1863">
        <f>'Part II-Development Team'!L136</f>
        <v>0</v>
      </c>
      <c r="M381" s="1914"/>
      <c r="N381" s="1914"/>
      <c r="O381" s="1888" t="s">
        <v>3262</v>
      </c>
      <c r="P381" s="1863"/>
      <c r="Q381" s="1878">
        <f>'Part II-Development Team'!Q136</f>
        <v>0</v>
      </c>
      <c r="R381" s="1964"/>
      <c r="S381" s="1964"/>
      <c r="Z381" s="1868">
        <v>136</v>
      </c>
    </row>
    <row r="382" spans="3:26" s="1856" customFormat="1">
      <c r="D382" s="1887"/>
      <c r="E382" s="1858" t="s">
        <v>6490</v>
      </c>
      <c r="F382" s="1860"/>
      <c r="H382" s="1863">
        <f>'Part II-Development Team'!H137</f>
        <v>0</v>
      </c>
      <c r="I382" s="1914"/>
      <c r="J382" s="1914"/>
      <c r="K382" s="1914"/>
      <c r="L382" s="1914"/>
      <c r="M382" s="1914"/>
      <c r="N382" s="1914"/>
      <c r="O382" s="1888" t="s">
        <v>588</v>
      </c>
      <c r="P382" s="1863"/>
      <c r="Q382" s="1863">
        <f>'Part II-Development Team'!Q137</f>
        <v>0</v>
      </c>
      <c r="R382" s="1914"/>
      <c r="S382" s="1914"/>
      <c r="Z382" s="1857">
        <v>137</v>
      </c>
    </row>
    <row r="383" spans="3:26" s="1856" customFormat="1">
      <c r="D383" s="1887"/>
      <c r="E383" s="1858" t="s">
        <v>1717</v>
      </c>
      <c r="H383" s="1888">
        <f>'Part II-Development Team'!H138</f>
        <v>0</v>
      </c>
      <c r="I383" s="1879" t="s">
        <v>2129</v>
      </c>
      <c r="J383" s="1877">
        <f>'Part II-Development Team'!J138</f>
        <v>0</v>
      </c>
      <c r="K383" s="1914"/>
      <c r="L383" s="1879" t="s">
        <v>1895</v>
      </c>
      <c r="M383" s="1872">
        <f>'Part II-Development Team'!M138</f>
        <v>0</v>
      </c>
      <c r="N383" s="1872"/>
      <c r="O383" s="1872"/>
      <c r="P383" s="1872"/>
      <c r="Q383" s="1872"/>
      <c r="R383" s="1872"/>
      <c r="S383" s="1872"/>
      <c r="Z383" s="1857">
        <v>138</v>
      </c>
    </row>
    <row r="384" spans="3:26" s="1865" customFormat="1">
      <c r="H384" s="1914"/>
      <c r="I384" s="1914"/>
      <c r="J384" s="1914"/>
      <c r="K384" s="1914"/>
      <c r="L384" s="1914"/>
      <c r="M384" s="1914"/>
      <c r="N384" s="1914"/>
      <c r="O384" s="1914"/>
      <c r="P384" s="1914"/>
      <c r="Q384" s="1914"/>
      <c r="R384" s="1914"/>
      <c r="S384" s="1914"/>
      <c r="Z384" s="1857">
        <v>139</v>
      </c>
    </row>
    <row r="385" spans="1:26" s="1856" customFormat="1">
      <c r="C385" s="1901"/>
      <c r="D385" s="1856" t="s">
        <v>7115</v>
      </c>
      <c r="H385" s="1863">
        <f>'Part II-Development Team'!H140</f>
        <v>0</v>
      </c>
      <c r="I385" s="1863"/>
      <c r="J385" s="1863"/>
      <c r="K385" s="1879" t="s">
        <v>1716</v>
      </c>
      <c r="L385" s="1863">
        <f>'Part II-Development Team'!L140</f>
        <v>0</v>
      </c>
      <c r="M385" s="1914"/>
      <c r="N385" s="1914"/>
      <c r="O385" s="1888" t="s">
        <v>3262</v>
      </c>
      <c r="P385" s="1863"/>
      <c r="Q385" s="1878">
        <f>'Part II-Development Team'!Q140</f>
        <v>0</v>
      </c>
      <c r="R385" s="1964"/>
      <c r="S385" s="1964"/>
      <c r="Z385" s="1857">
        <v>140</v>
      </c>
    </row>
    <row r="386" spans="1:26" s="1856" customFormat="1">
      <c r="D386" s="1887"/>
      <c r="E386" s="1858" t="s">
        <v>6490</v>
      </c>
      <c r="F386" s="1860"/>
      <c r="H386" s="1863">
        <f>'Part II-Development Team'!H141</f>
        <v>0</v>
      </c>
      <c r="I386" s="1914"/>
      <c r="J386" s="1914"/>
      <c r="K386" s="1914"/>
      <c r="L386" s="1914"/>
      <c r="M386" s="1914"/>
      <c r="N386" s="1914"/>
      <c r="O386" s="1888" t="s">
        <v>588</v>
      </c>
      <c r="P386" s="1863"/>
      <c r="Q386" s="1863">
        <f>'Part II-Development Team'!Q141</f>
        <v>0</v>
      </c>
      <c r="R386" s="1914"/>
      <c r="S386" s="1914"/>
      <c r="Z386" s="1857">
        <v>141</v>
      </c>
    </row>
    <row r="387" spans="1:26" s="1856" customFormat="1">
      <c r="D387" s="1887"/>
      <c r="E387" s="1858" t="s">
        <v>1717</v>
      </c>
      <c r="H387" s="1888">
        <f>'Part II-Development Team'!H142</f>
        <v>0</v>
      </c>
      <c r="I387" s="1879" t="s">
        <v>2129</v>
      </c>
      <c r="J387" s="1877">
        <f>'Part II-Development Team'!J142</f>
        <v>0</v>
      </c>
      <c r="K387" s="1914"/>
      <c r="L387" s="1879" t="s">
        <v>1895</v>
      </c>
      <c r="M387" s="1872">
        <f>'Part II-Development Team'!M142</f>
        <v>0</v>
      </c>
      <c r="N387" s="1872"/>
      <c r="O387" s="1872"/>
      <c r="P387" s="1872"/>
      <c r="Q387" s="1872"/>
      <c r="R387" s="1872"/>
      <c r="S387" s="1872"/>
      <c r="Z387" s="1857">
        <v>142</v>
      </c>
    </row>
    <row r="388" spans="1:26" s="1865" customFormat="1">
      <c r="H388" s="1914"/>
      <c r="I388" s="1914"/>
      <c r="J388" s="1914"/>
      <c r="K388" s="1914"/>
      <c r="L388" s="1914"/>
      <c r="M388" s="1914"/>
      <c r="N388" s="1914"/>
      <c r="O388" s="1914"/>
      <c r="P388" s="1914"/>
      <c r="Q388" s="1914"/>
      <c r="R388" s="1914"/>
      <c r="S388" s="1914"/>
      <c r="Z388" s="1857">
        <v>143</v>
      </c>
    </row>
    <row r="389" spans="1:26" s="1856" customFormat="1">
      <c r="C389" s="1901" t="s">
        <v>1899</v>
      </c>
      <c r="D389" s="1856" t="s">
        <v>7048</v>
      </c>
      <c r="H389" s="1863">
        <f>'Part II-Development Team'!H144</f>
        <v>0</v>
      </c>
      <c r="I389" s="1863"/>
      <c r="J389" s="1863"/>
      <c r="K389" s="1879" t="s">
        <v>1716</v>
      </c>
      <c r="L389" s="1863">
        <f>'Part II-Development Team'!L144</f>
        <v>0</v>
      </c>
      <c r="M389" s="1914"/>
      <c r="N389" s="1914"/>
      <c r="O389" s="1888" t="s">
        <v>3262</v>
      </c>
      <c r="P389" s="1863"/>
      <c r="Q389" s="1878">
        <f>'Part II-Development Team'!Q144</f>
        <v>0</v>
      </c>
      <c r="R389" s="1964"/>
      <c r="S389" s="1964"/>
      <c r="Z389" s="1857">
        <v>144</v>
      </c>
    </row>
    <row r="390" spans="1:26" s="1856" customFormat="1" ht="11.25" customHeight="1">
      <c r="D390" s="1887"/>
      <c r="E390" s="1858" t="s">
        <v>6490</v>
      </c>
      <c r="F390" s="1860"/>
      <c r="H390" s="1863">
        <f>'Part II-Development Team'!H145</f>
        <v>0</v>
      </c>
      <c r="I390" s="1914"/>
      <c r="J390" s="1914"/>
      <c r="K390" s="1914"/>
      <c r="L390" s="1914"/>
      <c r="M390" s="1914"/>
      <c r="N390" s="1914"/>
      <c r="O390" s="1888" t="s">
        <v>588</v>
      </c>
      <c r="P390" s="1863"/>
      <c r="Q390" s="1863">
        <f>'Part II-Development Team'!Q145</f>
        <v>0</v>
      </c>
      <c r="R390" s="1914"/>
      <c r="S390" s="1914"/>
      <c r="Z390" s="1868">
        <v>145</v>
      </c>
    </row>
    <row r="391" spans="1:26" s="1856" customFormat="1" ht="11.25" customHeight="1">
      <c r="D391" s="1887"/>
      <c r="E391" s="1858" t="s">
        <v>1717</v>
      </c>
      <c r="H391" s="1888">
        <f>'Part II-Development Team'!H146</f>
        <v>0</v>
      </c>
      <c r="I391" s="1879" t="s">
        <v>2129</v>
      </c>
      <c r="J391" s="1877">
        <f>'Part II-Development Team'!J146</f>
        <v>0</v>
      </c>
      <c r="K391" s="1914"/>
      <c r="L391" s="1879" t="s">
        <v>1895</v>
      </c>
      <c r="M391" s="1872">
        <f>'Part II-Development Team'!M146</f>
        <v>0</v>
      </c>
      <c r="N391" s="1872"/>
      <c r="O391" s="1872"/>
      <c r="P391" s="1872"/>
      <c r="Q391" s="1872"/>
      <c r="R391" s="1872"/>
      <c r="S391" s="1872"/>
      <c r="Z391" s="1868">
        <v>146</v>
      </c>
    </row>
    <row r="392" spans="1:26" s="1865" customFormat="1" ht="2.25" customHeight="1">
      <c r="H392" s="1914"/>
      <c r="I392" s="1914"/>
      <c r="J392" s="1914"/>
      <c r="K392" s="1914"/>
      <c r="L392" s="1914"/>
      <c r="M392" s="1914"/>
      <c r="N392" s="1914"/>
      <c r="O392" s="1914"/>
      <c r="P392" s="1914"/>
      <c r="Q392" s="1914"/>
      <c r="R392" s="1914"/>
      <c r="S392" s="1914"/>
      <c r="Z392" s="1857">
        <v>147</v>
      </c>
    </row>
    <row r="393" spans="1:26" s="1856" customFormat="1" ht="11.25" customHeight="1">
      <c r="C393" s="1901" t="s">
        <v>2417</v>
      </c>
      <c r="D393" s="1856" t="s">
        <v>7049</v>
      </c>
      <c r="H393" s="1863">
        <f>'Part II-Development Team'!H148</f>
        <v>0</v>
      </c>
      <c r="I393" s="1863"/>
      <c r="J393" s="1863"/>
      <c r="K393" s="1879" t="s">
        <v>1716</v>
      </c>
      <c r="L393" s="1863">
        <f>'Part II-Development Team'!L148</f>
        <v>0</v>
      </c>
      <c r="M393" s="1914"/>
      <c r="N393" s="1914"/>
      <c r="O393" s="1888" t="s">
        <v>3262</v>
      </c>
      <c r="P393" s="1863"/>
      <c r="Q393" s="1878">
        <f>'Part II-Development Team'!Q148</f>
        <v>0</v>
      </c>
      <c r="R393" s="1964"/>
      <c r="S393" s="1964"/>
      <c r="Z393" s="1857">
        <v>148</v>
      </c>
    </row>
    <row r="394" spans="1:26" s="1856" customFormat="1" ht="11.25" customHeight="1">
      <c r="D394" s="1887"/>
      <c r="E394" s="1858" t="s">
        <v>6490</v>
      </c>
      <c r="F394" s="1860"/>
      <c r="H394" s="1863">
        <f>'Part II-Development Team'!H149</f>
        <v>0</v>
      </c>
      <c r="I394" s="1914"/>
      <c r="J394" s="1914"/>
      <c r="K394" s="1914"/>
      <c r="L394" s="1914"/>
      <c r="M394" s="1914"/>
      <c r="N394" s="1914"/>
      <c r="O394" s="1888" t="s">
        <v>588</v>
      </c>
      <c r="P394" s="1863"/>
      <c r="Q394" s="1863">
        <f>'Part II-Development Team'!Q149</f>
        <v>0</v>
      </c>
      <c r="R394" s="1914"/>
      <c r="S394" s="1914"/>
      <c r="Z394" s="1857">
        <v>149</v>
      </c>
    </row>
    <row r="395" spans="1:26" s="1856" customFormat="1" ht="11.25" customHeight="1">
      <c r="D395" s="1887"/>
      <c r="E395" s="1858" t="s">
        <v>1717</v>
      </c>
      <c r="H395" s="1888">
        <f>'Part II-Development Team'!H150</f>
        <v>0</v>
      </c>
      <c r="I395" s="1879" t="s">
        <v>2129</v>
      </c>
      <c r="J395" s="1877">
        <f>'Part II-Development Team'!J150</f>
        <v>0</v>
      </c>
      <c r="K395" s="1914"/>
      <c r="L395" s="1879" t="s">
        <v>1895</v>
      </c>
      <c r="M395" s="1872">
        <f>'Part II-Development Team'!M150</f>
        <v>0</v>
      </c>
      <c r="N395" s="1872"/>
      <c r="O395" s="1872"/>
      <c r="P395" s="1872"/>
      <c r="Q395" s="1872"/>
      <c r="R395" s="1872"/>
      <c r="S395" s="1872"/>
      <c r="Z395" s="1857">
        <v>150</v>
      </c>
    </row>
    <row r="396" spans="1:26" s="1865" customFormat="1" ht="6" customHeight="1">
      <c r="H396" s="1914"/>
      <c r="I396" s="1914"/>
      <c r="J396" s="1914"/>
      <c r="K396" s="1914"/>
      <c r="L396" s="1914"/>
      <c r="M396" s="1914"/>
      <c r="N396" s="1914"/>
      <c r="O396" s="1914"/>
      <c r="P396" s="1914"/>
      <c r="Q396" s="1914"/>
      <c r="R396" s="1914"/>
      <c r="S396" s="1914"/>
      <c r="Z396" s="1857">
        <v>151</v>
      </c>
    </row>
    <row r="397" spans="1:26" s="1865" customFormat="1" ht="12" customHeight="1">
      <c r="B397" s="1856" t="s">
        <v>1896</v>
      </c>
      <c r="C397" s="1856" t="s">
        <v>6844</v>
      </c>
      <c r="H397" s="1854"/>
      <c r="I397" s="1854"/>
      <c r="J397" s="1854"/>
      <c r="K397" s="1854"/>
      <c r="L397" s="1854"/>
      <c r="M397" s="1854"/>
      <c r="N397" s="1854"/>
      <c r="O397" s="1854"/>
      <c r="P397" s="1854"/>
      <c r="Q397" s="1854"/>
      <c r="R397" s="1854"/>
      <c r="S397" s="1854"/>
      <c r="Z397" s="1857">
        <v>152</v>
      </c>
    </row>
    <row r="398" spans="1:26" s="1865" customFormat="1" ht="13.5" customHeight="1">
      <c r="A398" s="1856" t="s">
        <v>3438</v>
      </c>
      <c r="B398" s="1856"/>
      <c r="C398" s="1856"/>
      <c r="D398" s="1856"/>
      <c r="E398" s="1856"/>
      <c r="H398" s="1879" t="s">
        <v>2393</v>
      </c>
      <c r="I398" s="1863" t="s">
        <v>6797</v>
      </c>
      <c r="J398" s="1863"/>
      <c r="K398" s="1863"/>
      <c r="L398" s="1863"/>
      <c r="M398" s="1863"/>
      <c r="N398" s="1863"/>
      <c r="O398" s="1863"/>
      <c r="P398" s="1863"/>
      <c r="Q398" s="1863"/>
      <c r="R398" s="1863"/>
      <c r="S398" s="1863"/>
      <c r="Z398" s="1857">
        <v>153</v>
      </c>
    </row>
    <row r="399" spans="1:26" s="1856" customFormat="1" ht="15" customHeight="1">
      <c r="B399" s="1965" t="s">
        <v>1897</v>
      </c>
      <c r="C399" s="1907" t="s">
        <v>2632</v>
      </c>
      <c r="E399" s="1907"/>
      <c r="H399" s="1966" t="str">
        <f>'Part II-Development Team'!H154</f>
        <v>No</v>
      </c>
      <c r="I399" s="1951">
        <f>'Part II-Development Team'!I154</f>
        <v>0</v>
      </c>
      <c r="J399" s="1951"/>
      <c r="K399" s="1951"/>
      <c r="L399" s="1951"/>
      <c r="M399" s="1951"/>
      <c r="N399" s="1951"/>
      <c r="O399" s="1951"/>
      <c r="P399" s="1951"/>
      <c r="Q399" s="1951"/>
      <c r="R399" s="1951"/>
      <c r="S399" s="1951"/>
      <c r="U399" s="1855" t="s">
        <v>1941</v>
      </c>
      <c r="V399" s="1855"/>
      <c r="Z399" s="1857">
        <v>154</v>
      </c>
    </row>
    <row r="400" spans="1:26" s="1856" customFormat="1" ht="15" customHeight="1">
      <c r="B400" s="1965" t="s">
        <v>1899</v>
      </c>
      <c r="C400" s="1907" t="s">
        <v>6488</v>
      </c>
      <c r="E400" s="1907"/>
      <c r="H400" s="1966" t="str">
        <f>'Part II-Development Team'!H155</f>
        <v>No</v>
      </c>
      <c r="I400" s="1951">
        <f>'Part II-Development Team'!I155</f>
        <v>0</v>
      </c>
      <c r="J400" s="1951"/>
      <c r="K400" s="1951"/>
      <c r="L400" s="1951"/>
      <c r="M400" s="1951"/>
      <c r="N400" s="1951"/>
      <c r="O400" s="1951"/>
      <c r="P400" s="1951"/>
      <c r="Q400" s="1951"/>
      <c r="R400" s="1951"/>
      <c r="S400" s="1951"/>
      <c r="U400" s="1855"/>
      <c r="V400" s="1855"/>
      <c r="Z400" s="1868">
        <v>155</v>
      </c>
    </row>
    <row r="401" spans="1:26" s="1856" customFormat="1" ht="15" customHeight="1">
      <c r="B401" s="1965" t="s">
        <v>2417</v>
      </c>
      <c r="C401" s="1907" t="s">
        <v>2671</v>
      </c>
      <c r="E401" s="1907"/>
      <c r="H401" s="1966" t="str">
        <f>'Part II-Development Team'!H156</f>
        <v>No</v>
      </c>
      <c r="I401" s="1951">
        <f>'Part II-Development Team'!I156</f>
        <v>0</v>
      </c>
      <c r="J401" s="1951"/>
      <c r="K401" s="1951"/>
      <c r="L401" s="1951"/>
      <c r="M401" s="1951"/>
      <c r="N401" s="1951"/>
      <c r="O401" s="1951"/>
      <c r="P401" s="1951"/>
      <c r="Q401" s="1951"/>
      <c r="R401" s="1951"/>
      <c r="S401" s="1951"/>
      <c r="U401" s="1855"/>
      <c r="V401" s="1855"/>
      <c r="Z401" s="1857">
        <v>156</v>
      </c>
    </row>
    <row r="402" spans="1:26" s="1856" customFormat="1" ht="15" customHeight="1">
      <c r="B402" s="1965" t="s">
        <v>1178</v>
      </c>
      <c r="C402" s="1907" t="s">
        <v>2633</v>
      </c>
      <c r="E402" s="1907"/>
      <c r="H402" s="1966" t="str">
        <f>'Part II-Development Team'!H157</f>
        <v>No</v>
      </c>
      <c r="I402" s="1951">
        <f>'Part II-Development Team'!I157</f>
        <v>0</v>
      </c>
      <c r="J402" s="1951"/>
      <c r="K402" s="1951"/>
      <c r="L402" s="1951"/>
      <c r="M402" s="1951"/>
      <c r="N402" s="1951"/>
      <c r="O402" s="1951"/>
      <c r="P402" s="1951"/>
      <c r="Q402" s="1951"/>
      <c r="R402" s="1951"/>
      <c r="S402" s="1951"/>
      <c r="U402" s="1855"/>
      <c r="V402" s="1855"/>
      <c r="Z402" s="1857">
        <v>157</v>
      </c>
    </row>
    <row r="403" spans="1:26" s="1856" customFormat="1" ht="15" customHeight="1">
      <c r="B403" s="1965" t="s">
        <v>1179</v>
      </c>
      <c r="C403" s="1907" t="s">
        <v>3196</v>
      </c>
      <c r="E403" s="1907"/>
      <c r="H403" s="1966" t="str">
        <f>'Part II-Development Team'!H158</f>
        <v>No</v>
      </c>
      <c r="I403" s="1951">
        <f>'Part II-Development Team'!I158</f>
        <v>0</v>
      </c>
      <c r="J403" s="1951"/>
      <c r="K403" s="1951"/>
      <c r="L403" s="1951"/>
      <c r="M403" s="1951"/>
      <c r="N403" s="1951"/>
      <c r="O403" s="1951"/>
      <c r="P403" s="1951"/>
      <c r="Q403" s="1951"/>
      <c r="R403" s="1951"/>
      <c r="S403" s="1951"/>
      <c r="U403" s="1855"/>
      <c r="V403" s="1855"/>
      <c r="Z403" s="1857">
        <v>158</v>
      </c>
    </row>
    <row r="404" spans="1:26" s="1856" customFormat="1" ht="15" customHeight="1">
      <c r="B404" s="1965" t="s">
        <v>1793</v>
      </c>
      <c r="C404" s="1907" t="s">
        <v>3197</v>
      </c>
      <c r="E404" s="1907"/>
      <c r="H404" s="1966" t="str">
        <f>'Part II-Development Team'!H159</f>
        <v>No</v>
      </c>
      <c r="I404" s="1951">
        <f>'Part II-Development Team'!I159</f>
        <v>0</v>
      </c>
      <c r="J404" s="1951"/>
      <c r="K404" s="1951"/>
      <c r="L404" s="1951"/>
      <c r="M404" s="1951"/>
      <c r="N404" s="1951"/>
      <c r="O404" s="1951"/>
      <c r="P404" s="1951"/>
      <c r="Q404" s="1951"/>
      <c r="R404" s="1951"/>
      <c r="S404" s="1951"/>
      <c r="U404" s="1855"/>
      <c r="V404" s="1855"/>
      <c r="Z404" s="1857">
        <v>159</v>
      </c>
    </row>
    <row r="405" spans="1:26" s="1856" customFormat="1" ht="15" customHeight="1">
      <c r="B405" s="1965" t="s">
        <v>481</v>
      </c>
      <c r="C405" s="1907" t="s">
        <v>2634</v>
      </c>
      <c r="E405" s="1907"/>
      <c r="H405" s="1966" t="str">
        <f>'Part II-Development Team'!H160</f>
        <v>No</v>
      </c>
      <c r="I405" s="1951">
        <f>'Part II-Development Team'!I160</f>
        <v>0</v>
      </c>
      <c r="J405" s="1951"/>
      <c r="K405" s="1951"/>
      <c r="L405" s="1951"/>
      <c r="M405" s="1951"/>
      <c r="N405" s="1951"/>
      <c r="O405" s="1951"/>
      <c r="P405" s="1951"/>
      <c r="Q405" s="1951"/>
      <c r="R405" s="1951"/>
      <c r="S405" s="1951"/>
      <c r="Z405" s="1857">
        <v>160</v>
      </c>
    </row>
    <row r="406" spans="1:26" s="1856" customFormat="1" ht="15" customHeight="1">
      <c r="B406" s="1965" t="s">
        <v>482</v>
      </c>
      <c r="C406" s="1907" t="s">
        <v>4076</v>
      </c>
      <c r="E406" s="1907"/>
      <c r="H406" s="1966" t="str">
        <f>'Part II-Development Team'!H161</f>
        <v>No</v>
      </c>
      <c r="I406" s="1951">
        <f>'Part II-Development Team'!I161</f>
        <v>0</v>
      </c>
      <c r="J406" s="1951"/>
      <c r="K406" s="1951"/>
      <c r="L406" s="1951"/>
      <c r="M406" s="1951"/>
      <c r="N406" s="1951"/>
      <c r="O406" s="1951"/>
      <c r="P406" s="1951"/>
      <c r="Q406" s="1951"/>
      <c r="R406" s="1951"/>
      <c r="S406" s="1951"/>
      <c r="Z406" s="1857">
        <v>161</v>
      </c>
    </row>
    <row r="407" spans="1:26" s="1856" customFormat="1" ht="15" customHeight="1">
      <c r="B407" s="1965" t="s">
        <v>4075</v>
      </c>
      <c r="C407" s="1854" t="str">
        <f>+'Part II-Development Team'!C162</f>
        <v>Other - Owner and Developer / Consultant and Contractor and Mgr</v>
      </c>
      <c r="D407" s="1854"/>
      <c r="E407" s="1854"/>
      <c r="F407" s="1854"/>
      <c r="G407" s="1854"/>
      <c r="H407" s="1966" t="str">
        <f>'Part II-Development Team'!H162</f>
        <v>Yes</v>
      </c>
      <c r="I407" s="1951" t="str">
        <f>'Part II-Development Team'!I162</f>
        <v>The Managing GP, NAHPA 2021 GA, Inc. and NAHPA Development, LLC are both owned by National Affordable Housing Preservation Associates, Inc., a 501(c)3.  Vantage Development, LLC (consultant), Fyffe Construction Company, Inc. (contractor) and Vantage Management, LLC (management agent) are all owned by Lowell R. Barron II.</v>
      </c>
      <c r="J407" s="1951"/>
      <c r="K407" s="1951"/>
      <c r="L407" s="1951"/>
      <c r="M407" s="1951"/>
      <c r="N407" s="1951"/>
      <c r="O407" s="1951"/>
      <c r="P407" s="1951"/>
      <c r="Q407" s="1951"/>
      <c r="R407" s="1951"/>
      <c r="S407" s="1951"/>
      <c r="Z407" s="1857">
        <v>162</v>
      </c>
    </row>
    <row r="408" spans="1:26" s="1856" customFormat="1" ht="13.35" customHeight="1">
      <c r="A408" s="1856" t="s">
        <v>1711</v>
      </c>
      <c r="B408" s="1856" t="s">
        <v>7116</v>
      </c>
      <c r="G408" s="1857"/>
      <c r="H408" s="1857"/>
      <c r="I408" s="1857"/>
      <c r="J408" s="1857"/>
      <c r="K408" s="1857"/>
      <c r="L408" s="1857"/>
      <c r="M408" s="1857"/>
      <c r="N408" s="1857"/>
      <c r="O408" s="1857"/>
      <c r="P408" s="1857"/>
      <c r="Q408" s="1857"/>
      <c r="Z408" s="1857">
        <v>163</v>
      </c>
    </row>
    <row r="409" spans="1:26" s="1856" customFormat="1" ht="2.25" customHeight="1">
      <c r="G409" s="1857"/>
      <c r="H409" s="1857"/>
      <c r="I409" s="1857"/>
      <c r="J409" s="1857"/>
      <c r="K409" s="1857"/>
      <c r="L409" s="1857"/>
      <c r="M409" s="1857"/>
      <c r="N409" s="1857"/>
      <c r="O409" s="1857"/>
      <c r="P409" s="1857"/>
      <c r="Q409" s="1857"/>
      <c r="Z409" s="1868">
        <v>164</v>
      </c>
    </row>
    <row r="410" spans="1:26" s="1865" customFormat="1" ht="13.35" customHeight="1">
      <c r="B410" s="1856" t="s">
        <v>719</v>
      </c>
      <c r="C410" s="1856" t="s">
        <v>6845</v>
      </c>
      <c r="Z410" s="1857">
        <v>165</v>
      </c>
    </row>
    <row r="411" spans="1:26" s="1856" customFormat="1" ht="12.75" customHeight="1">
      <c r="A411" s="1907" t="s">
        <v>610</v>
      </c>
      <c r="B411" s="1907"/>
      <c r="C411" s="1907"/>
      <c r="D411" s="1907"/>
      <c r="E411" s="1907" t="s">
        <v>3185</v>
      </c>
      <c r="F411" s="1907"/>
      <c r="G411" s="1907"/>
      <c r="H411" s="1907"/>
      <c r="I411" s="1907"/>
      <c r="J411" s="1907" t="s">
        <v>3186</v>
      </c>
      <c r="K411" s="1907" t="s">
        <v>7050</v>
      </c>
      <c r="L411" s="1907" t="s">
        <v>7051</v>
      </c>
      <c r="M411" s="1905" t="s">
        <v>7052</v>
      </c>
      <c r="N411" s="1905"/>
      <c r="O411" s="1905"/>
      <c r="P411" s="1905"/>
      <c r="Q411" s="1905"/>
      <c r="R411" s="1905"/>
      <c r="S411" s="1905"/>
      <c r="Z411" s="1857">
        <v>166</v>
      </c>
    </row>
    <row r="412" spans="1:26" s="1856" customFormat="1" ht="12.75" customHeight="1">
      <c r="A412" s="1907"/>
      <c r="B412" s="1907"/>
      <c r="C412" s="1907"/>
      <c r="D412" s="1907"/>
      <c r="E412" s="1907"/>
      <c r="F412" s="1907"/>
      <c r="G412" s="1907"/>
      <c r="H412" s="1907"/>
      <c r="I412" s="1907"/>
      <c r="J412" s="1907"/>
      <c r="K412" s="1907"/>
      <c r="L412" s="1907"/>
      <c r="M412" s="1905"/>
      <c r="N412" s="1905"/>
      <c r="O412" s="1905"/>
      <c r="P412" s="1905"/>
      <c r="Q412" s="1905"/>
      <c r="R412" s="1905"/>
      <c r="S412" s="1905"/>
      <c r="Z412" s="1857">
        <v>167</v>
      </c>
    </row>
    <row r="413" spans="1:26" s="1856" customFormat="1" ht="12.75" customHeight="1">
      <c r="A413" s="1907"/>
      <c r="B413" s="1907"/>
      <c r="C413" s="1907"/>
      <c r="D413" s="1907"/>
      <c r="E413" s="1907"/>
      <c r="F413" s="1907"/>
      <c r="G413" s="1907"/>
      <c r="H413" s="1907"/>
      <c r="I413" s="1907"/>
      <c r="J413" s="1907"/>
      <c r="K413" s="1907"/>
      <c r="L413" s="1907"/>
      <c r="M413" s="1905"/>
      <c r="N413" s="1905"/>
      <c r="O413" s="1905"/>
      <c r="P413" s="1905"/>
      <c r="Q413" s="1905"/>
      <c r="R413" s="1905"/>
      <c r="S413" s="1905"/>
      <c r="Z413" s="1857">
        <v>168</v>
      </c>
    </row>
    <row r="414" spans="1:26" s="1856" customFormat="1" ht="12.75" customHeight="1">
      <c r="A414" s="1907"/>
      <c r="B414" s="1907"/>
      <c r="C414" s="1907"/>
      <c r="D414" s="1907"/>
      <c r="E414" s="1967" t="s">
        <v>7117</v>
      </c>
      <c r="F414" s="1967"/>
      <c r="G414" s="1967"/>
      <c r="H414" s="1967"/>
      <c r="I414" s="1907"/>
      <c r="J414" s="1907"/>
      <c r="K414" s="1907"/>
      <c r="L414" s="1907"/>
      <c r="M414" s="1905"/>
      <c r="N414" s="1905"/>
      <c r="O414" s="1905"/>
      <c r="P414" s="1905"/>
      <c r="Q414" s="1905"/>
      <c r="R414" s="1905"/>
      <c r="S414" s="1905"/>
      <c r="Z414" s="1857">
        <v>169</v>
      </c>
    </row>
    <row r="415" spans="1:26" s="1856" customFormat="1" ht="13.5" customHeight="1">
      <c r="A415" s="1907"/>
      <c r="B415" s="1907"/>
      <c r="C415" s="1907"/>
      <c r="D415" s="1907"/>
      <c r="E415" s="1967"/>
      <c r="F415" s="1967"/>
      <c r="G415" s="1967"/>
      <c r="H415" s="1967"/>
      <c r="I415" s="1968" t="s">
        <v>2393</v>
      </c>
      <c r="J415" s="1907"/>
      <c r="K415" s="1907"/>
      <c r="L415" s="1907"/>
      <c r="M415" s="1883" t="s">
        <v>2393</v>
      </c>
      <c r="N415" s="1865" t="s">
        <v>2695</v>
      </c>
      <c r="O415" s="1865"/>
      <c r="P415" s="1865"/>
      <c r="Q415" s="1865"/>
      <c r="R415" s="1865"/>
      <c r="S415" s="1865"/>
      <c r="Z415" s="1857">
        <v>170</v>
      </c>
    </row>
    <row r="416" spans="1:26" s="1856" customFormat="1" ht="23.25" customHeight="1">
      <c r="A416" s="1905" t="s">
        <v>3180</v>
      </c>
      <c r="B416" s="1905"/>
      <c r="C416" s="1905"/>
      <c r="D416" s="1905"/>
      <c r="E416" s="1951">
        <f>'Part II-Development Team'!E171</f>
        <v>0</v>
      </c>
      <c r="F416" s="1951"/>
      <c r="G416" s="1951"/>
      <c r="H416" s="1951"/>
      <c r="I416" s="1966" t="str">
        <f>'Part II-Development Team'!I171</f>
        <v>No</v>
      </c>
      <c r="J416" s="1966" t="str">
        <f>'Part II-Development Team'!J171</f>
        <v>No</v>
      </c>
      <c r="K416" s="1969" t="str">
        <f>'Part II-Development Team'!K171</f>
        <v>For Profit</v>
      </c>
      <c r="L416" s="1970">
        <f>'Part II-Development Team'!L171</f>
        <v>9.0000000000000006E-5</v>
      </c>
      <c r="M416" s="1966" t="str">
        <f>'Part II-Development Team'!M171</f>
        <v>No</v>
      </c>
      <c r="N416" s="1951">
        <f>'Part II-Development Team'!N171</f>
        <v>0</v>
      </c>
      <c r="O416" s="1951"/>
      <c r="P416" s="1951"/>
      <c r="Q416" s="1951"/>
      <c r="R416" s="1951"/>
      <c r="S416" s="1951"/>
      <c r="Z416" s="1868">
        <v>171</v>
      </c>
    </row>
    <row r="417" spans="1:26" s="1856" customFormat="1" ht="23.25" customHeight="1">
      <c r="A417" s="1905" t="s">
        <v>3181</v>
      </c>
      <c r="B417" s="1905"/>
      <c r="C417" s="1905"/>
      <c r="D417" s="1905"/>
      <c r="E417" s="1951">
        <f>'Part II-Development Team'!E172</f>
        <v>0</v>
      </c>
      <c r="F417" s="1951"/>
      <c r="G417" s="1951"/>
      <c r="H417" s="1951"/>
      <c r="I417" s="1966" t="str">
        <f>'Part II-Development Team'!I172</f>
        <v>Select</v>
      </c>
      <c r="J417" s="1966" t="str">
        <f>'Part II-Development Team'!J172</f>
        <v>Select</v>
      </c>
      <c r="K417" s="1969">
        <f>'Part II-Development Team'!K172</f>
        <v>0</v>
      </c>
      <c r="L417" s="1970">
        <f>'Part II-Development Team'!L172</f>
        <v>0</v>
      </c>
      <c r="M417" s="1966" t="str">
        <f>'Part II-Development Team'!M172</f>
        <v>Select</v>
      </c>
      <c r="N417" s="1951">
        <f>'Part II-Development Team'!N172</f>
        <v>0</v>
      </c>
      <c r="O417" s="1951"/>
      <c r="P417" s="1951"/>
      <c r="Q417" s="1951"/>
      <c r="R417" s="1951"/>
      <c r="S417" s="1951"/>
      <c r="U417" s="1855" t="s">
        <v>1941</v>
      </c>
      <c r="V417" s="1855"/>
      <c r="Z417" s="1857">
        <v>172</v>
      </c>
    </row>
    <row r="418" spans="1:26" s="1856" customFormat="1" ht="23.25" customHeight="1">
      <c r="A418" s="1905" t="s">
        <v>3182</v>
      </c>
      <c r="B418" s="1905"/>
      <c r="C418" s="1905"/>
      <c r="D418" s="1905"/>
      <c r="E418" s="1951">
        <f>'Part II-Development Team'!E173</f>
        <v>0</v>
      </c>
      <c r="F418" s="1951"/>
      <c r="G418" s="1951"/>
      <c r="H418" s="1951"/>
      <c r="I418" s="1966" t="str">
        <f>'Part II-Development Team'!I173</f>
        <v>Select</v>
      </c>
      <c r="J418" s="1966" t="str">
        <f>'Part II-Development Team'!J173</f>
        <v>Select</v>
      </c>
      <c r="K418" s="1969">
        <f>'Part II-Development Team'!K173</f>
        <v>0</v>
      </c>
      <c r="L418" s="1970">
        <f>'Part II-Development Team'!L173</f>
        <v>0</v>
      </c>
      <c r="M418" s="1966" t="str">
        <f>'Part II-Development Team'!M173</f>
        <v>Select</v>
      </c>
      <c r="N418" s="1951">
        <f>'Part II-Development Team'!N173</f>
        <v>0</v>
      </c>
      <c r="O418" s="1951"/>
      <c r="P418" s="1951"/>
      <c r="Q418" s="1951"/>
      <c r="R418" s="1951"/>
      <c r="S418" s="1951"/>
      <c r="U418" s="1855"/>
      <c r="V418" s="1855"/>
      <c r="Z418" s="1857">
        <v>173</v>
      </c>
    </row>
    <row r="419" spans="1:26" s="1856" customFormat="1" ht="23.25" customHeight="1">
      <c r="A419" s="1905" t="s">
        <v>3183</v>
      </c>
      <c r="B419" s="1905"/>
      <c r="C419" s="1905"/>
      <c r="D419" s="1905"/>
      <c r="E419" s="1951">
        <f>'Part II-Development Team'!E174</f>
        <v>0</v>
      </c>
      <c r="F419" s="1951"/>
      <c r="G419" s="1951"/>
      <c r="H419" s="1951"/>
      <c r="I419" s="1966" t="str">
        <f>'Part II-Development Team'!I174</f>
        <v>No</v>
      </c>
      <c r="J419" s="1966" t="str">
        <f>'Part II-Development Team'!J174</f>
        <v>No</v>
      </c>
      <c r="K419" s="1969" t="str">
        <f>'Part II-Development Team'!K174</f>
        <v>For Profit</v>
      </c>
      <c r="L419" s="1970">
        <f>'Part II-Development Team'!L174</f>
        <v>0.98990999999999996</v>
      </c>
      <c r="M419" s="1966" t="str">
        <f>'Part II-Development Team'!M174</f>
        <v>No</v>
      </c>
      <c r="N419" s="1951">
        <f>'Part II-Development Team'!N174</f>
        <v>0</v>
      </c>
      <c r="O419" s="1951"/>
      <c r="P419" s="1951"/>
      <c r="Q419" s="1951"/>
      <c r="R419" s="1951"/>
      <c r="S419" s="1951"/>
      <c r="U419" s="1855"/>
      <c r="V419" s="1855"/>
      <c r="Z419" s="1857">
        <v>174</v>
      </c>
    </row>
    <row r="420" spans="1:26" s="1856" customFormat="1" ht="23.25" customHeight="1">
      <c r="A420" s="1905" t="s">
        <v>3184</v>
      </c>
      <c r="B420" s="1905"/>
      <c r="C420" s="1905"/>
      <c r="D420" s="1905"/>
      <c r="E420" s="1951">
        <f>'Part II-Development Team'!E175</f>
        <v>0</v>
      </c>
      <c r="F420" s="1951"/>
      <c r="G420" s="1951"/>
      <c r="H420" s="1951"/>
      <c r="I420" s="1966" t="str">
        <f>'Part II-Development Team'!I175</f>
        <v>No</v>
      </c>
      <c r="J420" s="1966" t="str">
        <f>'Part II-Development Team'!J175</f>
        <v>No</v>
      </c>
      <c r="K420" s="1969" t="str">
        <f>'Part II-Development Team'!K175</f>
        <v>For Profit</v>
      </c>
      <c r="L420" s="1970">
        <f>'Part II-Development Team'!L175</f>
        <v>0.01</v>
      </c>
      <c r="M420" s="1966" t="str">
        <f>'Part II-Development Team'!M175</f>
        <v>No</v>
      </c>
      <c r="N420" s="1951">
        <f>'Part II-Development Team'!N175</f>
        <v>0</v>
      </c>
      <c r="O420" s="1951"/>
      <c r="P420" s="1951"/>
      <c r="Q420" s="1951"/>
      <c r="R420" s="1951"/>
      <c r="S420" s="1951"/>
      <c r="U420" s="1855"/>
      <c r="V420" s="1855"/>
      <c r="Z420" s="1857">
        <v>175</v>
      </c>
    </row>
    <row r="421" spans="1:26" s="1856" customFormat="1" ht="23.25" customHeight="1">
      <c r="A421" s="1905" t="s">
        <v>2685</v>
      </c>
      <c r="B421" s="1905"/>
      <c r="C421" s="1905"/>
      <c r="D421" s="1905"/>
      <c r="E421" s="1951">
        <f>'Part II-Development Team'!E176</f>
        <v>0</v>
      </c>
      <c r="F421" s="1951"/>
      <c r="G421" s="1951"/>
      <c r="H421" s="1951"/>
      <c r="I421" s="1966" t="str">
        <f>'Part II-Development Team'!I176</f>
        <v>No</v>
      </c>
      <c r="J421" s="1966" t="str">
        <f>'Part II-Development Team'!J176</f>
        <v>No</v>
      </c>
      <c r="K421" s="1969" t="str">
        <f>'Part II-Development Team'!K176</f>
        <v>Nonprofit</v>
      </c>
      <c r="L421" s="1970">
        <f>'Part II-Development Team'!L176</f>
        <v>0</v>
      </c>
      <c r="M421" s="1966" t="str">
        <f>'Part II-Development Team'!M176</f>
        <v>No</v>
      </c>
      <c r="N421" s="1951">
        <f>'Part II-Development Team'!N176</f>
        <v>0</v>
      </c>
      <c r="O421" s="1951"/>
      <c r="P421" s="1951"/>
      <c r="Q421" s="1951"/>
      <c r="R421" s="1951"/>
      <c r="S421" s="1951"/>
      <c r="U421" s="1855"/>
      <c r="V421" s="1855"/>
      <c r="Z421" s="1857">
        <v>176</v>
      </c>
    </row>
    <row r="422" spans="1:26" s="1856" customFormat="1" ht="23.25" customHeight="1">
      <c r="A422" s="1905" t="s">
        <v>623</v>
      </c>
      <c r="B422" s="1905"/>
      <c r="C422" s="1905"/>
      <c r="D422" s="1905"/>
      <c r="E422" s="1951">
        <f>'Part II-Development Team'!E177</f>
        <v>0</v>
      </c>
      <c r="F422" s="1951"/>
      <c r="G422" s="1951"/>
      <c r="H422" s="1951"/>
      <c r="I422" s="1966" t="str">
        <f>'Part II-Development Team'!I177</f>
        <v>No</v>
      </c>
      <c r="J422" s="1966" t="str">
        <f>'Part II-Development Team'!J177</f>
        <v>No</v>
      </c>
      <c r="K422" s="1969" t="str">
        <f>'Part II-Development Team'!K177</f>
        <v>For Profit</v>
      </c>
      <c r="L422" s="1970">
        <f>'Part II-Development Team'!L177</f>
        <v>0</v>
      </c>
      <c r="M422" s="1966" t="str">
        <f>'Part II-Development Team'!M177</f>
        <v>No</v>
      </c>
      <c r="N422" s="1951">
        <f>'Part II-Development Team'!N177</f>
        <v>0</v>
      </c>
      <c r="O422" s="1951"/>
      <c r="P422" s="1951"/>
      <c r="Q422" s="1951"/>
      <c r="R422" s="1951"/>
      <c r="S422" s="1951"/>
      <c r="U422" s="1855"/>
      <c r="V422" s="1855"/>
      <c r="Z422" s="1857">
        <v>177</v>
      </c>
    </row>
    <row r="423" spans="1:26" s="1856" customFormat="1" ht="23.25" customHeight="1">
      <c r="A423" s="1905" t="s">
        <v>2686</v>
      </c>
      <c r="B423" s="1905"/>
      <c r="C423" s="1905"/>
      <c r="D423" s="1905"/>
      <c r="E423" s="1951">
        <f>'Part II-Development Team'!E178</f>
        <v>0</v>
      </c>
      <c r="F423" s="1951"/>
      <c r="G423" s="1951"/>
      <c r="H423" s="1951"/>
      <c r="I423" s="1966" t="str">
        <f>'Part II-Development Team'!I178</f>
        <v>Select</v>
      </c>
      <c r="J423" s="1966" t="str">
        <f>'Part II-Development Team'!J178</f>
        <v>Select</v>
      </c>
      <c r="K423" s="1969">
        <f>'Part II-Development Team'!K178</f>
        <v>0</v>
      </c>
      <c r="L423" s="1970">
        <f>'Part II-Development Team'!L178</f>
        <v>0</v>
      </c>
      <c r="M423" s="1966" t="str">
        <f>'Part II-Development Team'!M178</f>
        <v>Select</v>
      </c>
      <c r="N423" s="1951">
        <f>'Part II-Development Team'!N178</f>
        <v>0</v>
      </c>
      <c r="O423" s="1951"/>
      <c r="P423" s="1951"/>
      <c r="Q423" s="1951"/>
      <c r="R423" s="1951"/>
      <c r="S423" s="1951"/>
      <c r="Z423" s="1868">
        <v>178</v>
      </c>
    </row>
    <row r="424" spans="1:26" s="1856" customFormat="1" ht="23.25" customHeight="1">
      <c r="A424" s="1905" t="s">
        <v>2687</v>
      </c>
      <c r="B424" s="1905"/>
      <c r="C424" s="1905"/>
      <c r="D424" s="1905"/>
      <c r="E424" s="1951">
        <f>'Part II-Development Team'!E179</f>
        <v>0</v>
      </c>
      <c r="F424" s="1951"/>
      <c r="G424" s="1951"/>
      <c r="H424" s="1951"/>
      <c r="I424" s="1966" t="str">
        <f>'Part II-Development Team'!I179</f>
        <v>Select</v>
      </c>
      <c r="J424" s="1966" t="str">
        <f>'Part II-Development Team'!J179</f>
        <v>Select</v>
      </c>
      <c r="K424" s="1969">
        <f>'Part II-Development Team'!K179</f>
        <v>0</v>
      </c>
      <c r="L424" s="1970">
        <f>'Part II-Development Team'!L179</f>
        <v>0</v>
      </c>
      <c r="M424" s="1966" t="str">
        <f>'Part II-Development Team'!M179</f>
        <v>Select</v>
      </c>
      <c r="N424" s="1951">
        <f>'Part II-Development Team'!N179</f>
        <v>0</v>
      </c>
      <c r="O424" s="1951"/>
      <c r="P424" s="1951"/>
      <c r="Q424" s="1951"/>
      <c r="R424" s="1951"/>
      <c r="S424" s="1951"/>
      <c r="Z424" s="1857">
        <v>179</v>
      </c>
    </row>
    <row r="425" spans="1:26" s="1856" customFormat="1" ht="23.25" customHeight="1">
      <c r="A425" s="1905" t="s">
        <v>2689</v>
      </c>
      <c r="B425" s="1905"/>
      <c r="C425" s="1905"/>
      <c r="D425" s="1905"/>
      <c r="E425" s="1951">
        <f>'Part II-Development Team'!E180</f>
        <v>0</v>
      </c>
      <c r="F425" s="1951"/>
      <c r="G425" s="1951"/>
      <c r="H425" s="1951"/>
      <c r="I425" s="1966" t="str">
        <f>'Part II-Development Team'!I180</f>
        <v>Select</v>
      </c>
      <c r="J425" s="1966" t="str">
        <f>'Part II-Development Team'!J180</f>
        <v>Select</v>
      </c>
      <c r="K425" s="1969">
        <f>'Part II-Development Team'!K180</f>
        <v>0</v>
      </c>
      <c r="L425" s="1970">
        <f>'Part II-Development Team'!L180</f>
        <v>0</v>
      </c>
      <c r="M425" s="1966" t="str">
        <f>'Part II-Development Team'!M180</f>
        <v>Select</v>
      </c>
      <c r="N425" s="1951">
        <f>'Part II-Development Team'!N180</f>
        <v>0</v>
      </c>
      <c r="O425" s="1951"/>
      <c r="P425" s="1951"/>
      <c r="Q425" s="1951"/>
      <c r="R425" s="1951"/>
      <c r="S425" s="1951"/>
      <c r="Z425" s="1857">
        <v>180</v>
      </c>
    </row>
    <row r="426" spans="1:26" s="1856" customFormat="1" ht="23.25" customHeight="1">
      <c r="A426" s="1905" t="s">
        <v>2688</v>
      </c>
      <c r="B426" s="1905"/>
      <c r="C426" s="1905"/>
      <c r="D426" s="1905"/>
      <c r="E426" s="1951">
        <f>'Part II-Development Team'!E181</f>
        <v>0</v>
      </c>
      <c r="F426" s="1951"/>
      <c r="G426" s="1951"/>
      <c r="H426" s="1951"/>
      <c r="I426" s="1966" t="str">
        <f>'Part II-Development Team'!I181</f>
        <v>No</v>
      </c>
      <c r="J426" s="1966" t="str">
        <f>'Part II-Development Team'!J181</f>
        <v>No</v>
      </c>
      <c r="K426" s="1969" t="str">
        <f>'Part II-Development Team'!K181</f>
        <v>For Profit</v>
      </c>
      <c r="L426" s="1970">
        <f>'Part II-Development Team'!L181</f>
        <v>0</v>
      </c>
      <c r="M426" s="1966" t="str">
        <f>'Part II-Development Team'!M181</f>
        <v>No</v>
      </c>
      <c r="N426" s="1951">
        <f>'Part II-Development Team'!N181</f>
        <v>0</v>
      </c>
      <c r="O426" s="1951"/>
      <c r="P426" s="1951"/>
      <c r="Q426" s="1951"/>
      <c r="R426" s="1951"/>
      <c r="S426" s="1951"/>
      <c r="Z426" s="1857">
        <v>181</v>
      </c>
    </row>
    <row r="427" spans="1:26" s="1856" customFormat="1" ht="23.25" customHeight="1">
      <c r="A427" s="1905" t="s">
        <v>1468</v>
      </c>
      <c r="B427" s="1905"/>
      <c r="C427" s="1905"/>
      <c r="D427" s="1905"/>
      <c r="E427" s="1951">
        <f>'Part II-Development Team'!E182</f>
        <v>0</v>
      </c>
      <c r="F427" s="1951"/>
      <c r="G427" s="1951"/>
      <c r="H427" s="1951"/>
      <c r="I427" s="1966" t="str">
        <f>'Part II-Development Team'!I182</f>
        <v>No</v>
      </c>
      <c r="J427" s="1966" t="str">
        <f>'Part II-Development Team'!J182</f>
        <v>No</v>
      </c>
      <c r="K427" s="1969" t="str">
        <f>'Part II-Development Team'!K182</f>
        <v>For Profit</v>
      </c>
      <c r="L427" s="1970">
        <f>'Part II-Development Team'!L182</f>
        <v>0</v>
      </c>
      <c r="M427" s="1966" t="str">
        <f>'Part II-Development Team'!M182</f>
        <v>No</v>
      </c>
      <c r="N427" s="1951">
        <f>'Part II-Development Team'!N182</f>
        <v>0</v>
      </c>
      <c r="O427" s="1951"/>
      <c r="P427" s="1951"/>
      <c r="Q427" s="1951"/>
      <c r="R427" s="1951"/>
      <c r="S427" s="1951"/>
      <c r="Z427" s="1857">
        <v>182</v>
      </c>
    </row>
    <row r="428" spans="1:26" s="1856" customFormat="1" ht="23.25" customHeight="1">
      <c r="A428" s="1905" t="s">
        <v>2690</v>
      </c>
      <c r="B428" s="1905"/>
      <c r="C428" s="1905"/>
      <c r="D428" s="1905"/>
      <c r="E428" s="1951">
        <f>'Part II-Development Team'!E183</f>
        <v>0</v>
      </c>
      <c r="F428" s="1951"/>
      <c r="G428" s="1951"/>
      <c r="H428" s="1951"/>
      <c r="I428" s="1966" t="str">
        <f>'Part II-Development Team'!I183</f>
        <v>No</v>
      </c>
      <c r="J428" s="1966" t="str">
        <f>'Part II-Development Team'!J183</f>
        <v>No</v>
      </c>
      <c r="K428" s="1969" t="str">
        <f>'Part II-Development Team'!K183</f>
        <v>For Profit</v>
      </c>
      <c r="L428" s="1970">
        <f>'Part II-Development Team'!L183</f>
        <v>0</v>
      </c>
      <c r="M428" s="1966" t="str">
        <f>'Part II-Development Team'!M183</f>
        <v>No</v>
      </c>
      <c r="N428" s="1951">
        <f>'Part II-Development Team'!N183</f>
        <v>0</v>
      </c>
      <c r="O428" s="1951"/>
      <c r="P428" s="1951"/>
      <c r="Q428" s="1951"/>
      <c r="R428" s="1951"/>
      <c r="S428" s="1951"/>
      <c r="Z428" s="1857">
        <v>183</v>
      </c>
    </row>
    <row r="429" spans="1:26" s="1856" customFormat="1" ht="12" customHeight="1">
      <c r="J429" s="1857"/>
      <c r="K429" s="1908" t="s">
        <v>513</v>
      </c>
      <c r="L429" s="1971">
        <f>SUM(L416:L428)</f>
        <v>1</v>
      </c>
      <c r="M429" s="1857"/>
      <c r="P429" s="1865"/>
      <c r="Z429" s="1857">
        <v>184</v>
      </c>
    </row>
    <row r="430" spans="1:26" s="1865" customFormat="1" ht="11.25" customHeight="1">
      <c r="A430" s="1865" t="s">
        <v>505</v>
      </c>
      <c r="C430" s="1865" t="s">
        <v>543</v>
      </c>
      <c r="N430" s="1865" t="s">
        <v>505</v>
      </c>
      <c r="O430" s="1865" t="s">
        <v>74</v>
      </c>
      <c r="Z430" s="1857">
        <v>185</v>
      </c>
    </row>
    <row r="431" spans="1:26" s="1865" customFormat="1" ht="105.75" customHeight="1">
      <c r="A431" s="1956" t="str">
        <f>'Part II-Development Team'!A186</f>
        <v>The Managing GP, NAHPA 2021 GA, Inc., and NAHPA Development, LLC are both owned by National Affordable Housing Preservation Associates, Inc.  National Affordable Housing Preservation Associates, Inc. is a 501(c)3 nonprofit.   Fyffe Construction Company, Inc. (contractor), Vantage Development, LLC (consultant) and Vantage Management, LLC (management agent) are all owned by Lowell R. Barron, II.
DCA instructions prohibits the use of "N/A" in boxes; many of the above phone numbers do not have an extension so those boxes have been left blank as opposed to entering "N/A"</v>
      </c>
      <c r="B431" s="1956"/>
      <c r="C431" s="1956"/>
      <c r="D431" s="1956"/>
      <c r="E431" s="1956"/>
      <c r="F431" s="1956"/>
      <c r="G431" s="1956"/>
      <c r="H431" s="1956"/>
      <c r="I431" s="1956"/>
      <c r="J431" s="1956"/>
      <c r="K431" s="1956"/>
      <c r="L431" s="1956"/>
      <c r="M431" s="1956"/>
      <c r="N431" s="1956"/>
      <c r="O431" s="1956"/>
      <c r="P431" s="1956"/>
      <c r="Q431" s="1956"/>
      <c r="R431" s="1956"/>
      <c r="S431" s="1956"/>
      <c r="T431" s="1924"/>
      <c r="U431" s="1924"/>
      <c r="V431" s="1924"/>
      <c r="W431" s="1924"/>
      <c r="X431" s="1924"/>
      <c r="Z431" s="1857">
        <v>186</v>
      </c>
    </row>
    <row r="436" spans="1:52" s="1875" customFormat="1" ht="14.1" customHeight="1">
      <c r="A436" s="1856" t="str">
        <f>CONCATENATE("PART THREE - SOURCES OF FUNDS (Proposed)","  -  ",'Part I-Project Information'!$O$7," ",'Part I-Project Information'!$F$35,", ",'Part I-Project Information'!$F$39,", ",'Part I-Project Information'!$J$40," County")</f>
        <v>PART THREE - SOURCES OF FUNDS (Proposed)  -  2021-015 The Peaks at Turnberry, Rincon, Effingham County</v>
      </c>
      <c r="B436" s="1856"/>
      <c r="C436" s="1856"/>
      <c r="D436" s="1856"/>
      <c r="E436" s="1856"/>
      <c r="F436" s="1856"/>
      <c r="G436" s="1856"/>
      <c r="H436" s="1856"/>
      <c r="I436" s="1856"/>
      <c r="J436" s="1856"/>
      <c r="K436" s="1856"/>
      <c r="L436" s="1856"/>
      <c r="M436" s="1856"/>
      <c r="N436" s="1856"/>
      <c r="O436" s="1856"/>
      <c r="P436" s="1856"/>
      <c r="Q436" s="1856"/>
      <c r="S436" s="1875" t="str">
        <f>$A$2</f>
        <v>The Peaks at Turnberry</v>
      </c>
      <c r="Y436" s="1972"/>
      <c r="Z436" s="1857">
        <v>2</v>
      </c>
      <c r="AZ436" s="1972"/>
    </row>
    <row r="437" spans="1:52" s="1973" customFormat="1" ht="17.45" customHeight="1">
      <c r="A437" s="1865"/>
      <c r="B437" s="1865"/>
      <c r="C437" s="1865"/>
      <c r="D437" s="1865"/>
      <c r="E437" s="1865"/>
      <c r="F437" s="1865"/>
      <c r="G437" s="1818"/>
      <c r="H437" s="1818"/>
      <c r="I437" s="1818"/>
      <c r="J437" s="1818"/>
      <c r="K437" s="1818"/>
      <c r="L437" s="1818"/>
      <c r="Y437" s="1972"/>
      <c r="Z437" s="1857">
        <v>3</v>
      </c>
      <c r="AZ437" s="1972"/>
    </row>
    <row r="438" spans="1:52" s="1875" customFormat="1" ht="13.35" customHeight="1">
      <c r="A438" s="1856" t="s">
        <v>586</v>
      </c>
      <c r="B438" s="1856" t="s">
        <v>2379</v>
      </c>
      <c r="C438" s="1856"/>
      <c r="D438" s="1856"/>
      <c r="E438" s="1856"/>
      <c r="F438" s="1856"/>
      <c r="G438" s="1856"/>
      <c r="L438" s="1974" t="str">
        <f>'Part I-Project Information'!$B$7</f>
        <v>2021 Core App
May 10 Rev</v>
      </c>
      <c r="M438" s="1974"/>
      <c r="N438" s="1974"/>
      <c r="O438" s="1974"/>
      <c r="P438" s="1974"/>
      <c r="S438" s="1875" t="str">
        <f>B438</f>
        <v>GOVERNMENT FUNDING SOURCES  (check all that apply)</v>
      </c>
      <c r="Y438" s="1972"/>
      <c r="Z438" s="1857">
        <v>4</v>
      </c>
      <c r="AZ438" s="1972"/>
    </row>
    <row r="439" spans="1:52" s="1875" customFormat="1" ht="15.75" customHeight="1">
      <c r="A439" s="1865"/>
      <c r="B439" s="1857"/>
      <c r="C439" s="1865"/>
      <c r="D439" s="1856"/>
      <c r="E439" s="1856"/>
      <c r="F439" s="1856"/>
      <c r="G439" s="1856"/>
      <c r="S439" s="1852" t="s">
        <v>2538</v>
      </c>
      <c r="T439" s="1852"/>
      <c r="Y439" s="1972"/>
      <c r="Z439" s="1857">
        <v>5</v>
      </c>
      <c r="AZ439" s="1972"/>
    </row>
    <row r="440" spans="1:52" s="1875" customFormat="1" ht="16.5" customHeight="1">
      <c r="A440" s="1857"/>
      <c r="B440" s="1879" t="str">
        <f>'Part III-Sources of Funds'!B6</f>
        <v>Yes</v>
      </c>
      <c r="C440" s="1859" t="s">
        <v>2301</v>
      </c>
      <c r="D440" s="1856"/>
      <c r="E440" s="1879" t="str">
        <f>'Part III-Sources of Funds'!E6</f>
        <v>No</v>
      </c>
      <c r="F440" s="1859" t="s">
        <v>6293</v>
      </c>
      <c r="G440" s="1856"/>
      <c r="I440" s="1975">
        <f>'Part III-Sources of Funds'!I6</f>
        <v>0</v>
      </c>
      <c r="J440" s="1976"/>
      <c r="L440" s="1879" t="str">
        <f>'Part III-Sources of Funds'!L6</f>
        <v>No</v>
      </c>
      <c r="M440" s="1859" t="s">
        <v>1475</v>
      </c>
      <c r="Q440" s="1890"/>
      <c r="S440" s="1956"/>
      <c r="T440" s="1956"/>
      <c r="Y440" s="1972"/>
      <c r="Z440" s="1857">
        <v>6</v>
      </c>
      <c r="AZ440" s="1972"/>
    </row>
    <row r="441" spans="1:52" s="1875" customFormat="1" ht="16.5" customHeight="1">
      <c r="A441" s="1857"/>
      <c r="B441" s="1879" t="str">
        <f>'Part III-Sources of Funds'!B7</f>
        <v>No</v>
      </c>
      <c r="C441" s="1859" t="s">
        <v>4060</v>
      </c>
      <c r="D441" s="1856"/>
      <c r="E441" s="1879" t="str">
        <f>'Part III-Sources of Funds'!E7</f>
        <v>No</v>
      </c>
      <c r="F441" s="1859" t="s">
        <v>6294</v>
      </c>
      <c r="I441" s="1975">
        <f>'Part III-Sources of Funds'!I7</f>
        <v>0</v>
      </c>
      <c r="J441" s="1976"/>
      <c r="L441" s="1879" t="str">
        <f>'Part III-Sources of Funds'!L7</f>
        <v>No</v>
      </c>
      <c r="M441" s="1859" t="s">
        <v>523</v>
      </c>
      <c r="P441" s="1890"/>
      <c r="Q441" s="1890"/>
      <c r="S441" s="1956"/>
      <c r="T441" s="1956"/>
      <c r="Y441" s="1972"/>
      <c r="Z441" s="1857">
        <v>7</v>
      </c>
      <c r="AZ441" s="1972"/>
    </row>
    <row r="442" spans="1:52" s="1875" customFormat="1" ht="16.5" customHeight="1">
      <c r="A442" s="1856"/>
      <c r="B442" s="1879" t="str">
        <f>'Part III-Sources of Funds'!B8</f>
        <v>No</v>
      </c>
      <c r="C442" s="1859" t="s">
        <v>524</v>
      </c>
      <c r="F442" s="1875" t="s">
        <v>6295</v>
      </c>
      <c r="H442" s="1869" t="str">
        <f>'Part III-Sources of Funds'!H8</f>
        <v>Specify Other HOME Source here</v>
      </c>
      <c r="I442" s="1869"/>
      <c r="J442" s="1869"/>
      <c r="L442" s="1879" t="str">
        <f>'Part III-Sources of Funds'!L8</f>
        <v>No</v>
      </c>
      <c r="M442" s="1859" t="s">
        <v>3277</v>
      </c>
      <c r="P442" s="1890"/>
      <c r="Q442" s="1890"/>
      <c r="S442" s="1956"/>
      <c r="T442" s="1956"/>
      <c r="Y442" s="1972"/>
      <c r="Z442" s="1857">
        <v>8</v>
      </c>
      <c r="AZ442" s="1972"/>
    </row>
    <row r="443" spans="1:52" s="1875" customFormat="1" ht="16.5" customHeight="1">
      <c r="A443" s="1857"/>
      <c r="B443" s="1879" t="str">
        <f>'Part III-Sources of Funds'!B9</f>
        <v>No</v>
      </c>
      <c r="C443" s="1875" t="s">
        <v>3442</v>
      </c>
      <c r="E443" s="1879" t="str">
        <f>'Part III-Sources of Funds'!E9</f>
        <v>No</v>
      </c>
      <c r="F443" s="1869" t="str">
        <f>'Part III-Sources of Funds'!F9</f>
        <v>Other Type of FEDERAL Funding - describe type/program here</v>
      </c>
      <c r="G443" s="1869"/>
      <c r="H443" s="1869"/>
      <c r="I443" s="1869"/>
      <c r="J443" s="1869"/>
      <c r="L443" s="1879" t="str">
        <f>'Part III-Sources of Funds'!L9</f>
        <v>No</v>
      </c>
      <c r="M443" s="1859" t="s">
        <v>4061</v>
      </c>
      <c r="Q443" s="1890"/>
      <c r="S443" s="1956"/>
      <c r="T443" s="1956"/>
      <c r="Y443" s="1972"/>
      <c r="Z443" s="1857">
        <v>9</v>
      </c>
      <c r="AZ443" s="1972"/>
    </row>
    <row r="444" spans="1:52" s="1875" customFormat="1" ht="16.5" customHeight="1">
      <c r="A444" s="1857"/>
      <c r="B444" s="1879" t="str">
        <f>'Part III-Sources of Funds'!B10</f>
        <v>No</v>
      </c>
      <c r="C444" s="1859" t="s">
        <v>2482</v>
      </c>
      <c r="F444" s="1869" t="str">
        <f>'Part III-Sources of Funds'!F10</f>
        <v>Specify Source/Administrator of Other FEDERAL Funding here</v>
      </c>
      <c r="G444" s="1869"/>
      <c r="H444" s="1869"/>
      <c r="I444" s="1869"/>
      <c r="J444" s="1869"/>
      <c r="L444" s="1879" t="str">
        <f>'Part III-Sources of Funds'!L10</f>
        <v>No</v>
      </c>
      <c r="M444" s="1859" t="s">
        <v>3320</v>
      </c>
      <c r="P444" s="1890"/>
      <c r="Q444" s="1890"/>
      <c r="S444" s="1956"/>
      <c r="T444" s="1956"/>
      <c r="Y444" s="1972"/>
      <c r="Z444" s="1868">
        <v>10</v>
      </c>
      <c r="AZ444" s="1972"/>
    </row>
    <row r="445" spans="1:52" s="1875" customFormat="1" ht="16.5" customHeight="1">
      <c r="A445" s="1857"/>
      <c r="B445" s="1879" t="str">
        <f>'Part III-Sources of Funds'!B11</f>
        <v>No</v>
      </c>
      <c r="C445" s="1859" t="s">
        <v>2483</v>
      </c>
      <c r="E445" s="1879" t="str">
        <f>'Part III-Sources of Funds'!E11</f>
        <v>No</v>
      </c>
      <c r="F445" s="1869" t="str">
        <f>'Part III-Sources of Funds'!F11</f>
        <v>Other Type of STATE/LOCAL Funding - describe type/program here</v>
      </c>
      <c r="G445" s="1869"/>
      <c r="H445" s="1869"/>
      <c r="I445" s="1869"/>
      <c r="J445" s="1869"/>
      <c r="L445" s="1879" t="str">
        <f>'Part III-Sources of Funds'!L11</f>
        <v>No</v>
      </c>
      <c r="M445" s="1875" t="s">
        <v>2487</v>
      </c>
      <c r="S445" s="1956"/>
      <c r="T445" s="1956"/>
      <c r="Y445" s="1972"/>
      <c r="Z445" s="1857">
        <v>11</v>
      </c>
      <c r="AZ445" s="1972"/>
    </row>
    <row r="446" spans="1:52" s="1875" customFormat="1" ht="16.5" customHeight="1">
      <c r="A446" s="1857"/>
      <c r="B446" s="1879" t="str">
        <f>'Part III-Sources of Funds'!B12</f>
        <v>No</v>
      </c>
      <c r="C446" s="1859" t="s">
        <v>3323</v>
      </c>
      <c r="F446" s="1869" t="str">
        <f>'Part III-Sources of Funds'!F12</f>
        <v>Specify Source/Administrator of Other STATE/LOCAL Funding here</v>
      </c>
      <c r="G446" s="1869"/>
      <c r="H446" s="1869"/>
      <c r="I446" s="1869"/>
      <c r="J446" s="1869"/>
      <c r="L446" s="1879" t="str">
        <f>'Part III-Sources of Funds'!L12</f>
        <v>No</v>
      </c>
      <c r="M446" s="1875" t="s">
        <v>3353</v>
      </c>
      <c r="S446" s="1956"/>
      <c r="T446" s="1956"/>
      <c r="Y446" s="1972"/>
      <c r="Z446" s="1857">
        <v>12</v>
      </c>
      <c r="AZ446" s="1972"/>
    </row>
    <row r="447" spans="1:52" s="1875" customFormat="1" ht="16.5" customHeight="1">
      <c r="A447" s="1857"/>
      <c r="B447" s="1879" t="str">
        <f>'Part III-Sources of Funds'!B13</f>
        <v>No</v>
      </c>
      <c r="C447" s="1859" t="s">
        <v>2486</v>
      </c>
      <c r="E447" s="1879" t="str">
        <f>'Part III-Sources of Funds'!E13</f>
        <v>No</v>
      </c>
      <c r="F447" s="1859" t="s">
        <v>3352</v>
      </c>
      <c r="H447" s="1869" t="str">
        <f>'Part III-Sources of Funds'!H13</f>
        <v>Specify Other PBRA Source here</v>
      </c>
      <c r="I447" s="1869"/>
      <c r="J447" s="1869"/>
      <c r="L447" s="1879" t="str">
        <f>'Part III-Sources of Funds'!L13</f>
        <v>No</v>
      </c>
      <c r="M447" s="1875" t="s">
        <v>6292</v>
      </c>
      <c r="S447" s="1956"/>
      <c r="T447" s="1956"/>
      <c r="Y447" s="1972"/>
      <c r="Z447" s="1857">
        <v>13</v>
      </c>
      <c r="AZ447" s="1972"/>
    </row>
    <row r="448" spans="1:52" s="1875" customFormat="1" ht="16.5" customHeight="1">
      <c r="A448" s="1857"/>
      <c r="B448" s="1879" t="str">
        <f>'Part III-Sources of Funds'!B14</f>
        <v>No</v>
      </c>
      <c r="C448" s="1875" t="s">
        <v>2485</v>
      </c>
      <c r="E448" s="1879" t="str">
        <f>'Part III-Sources of Funds'!E14</f>
        <v>No</v>
      </c>
      <c r="F448" s="1859" t="s">
        <v>3441</v>
      </c>
      <c r="L448" s="1879" t="str">
        <f>'Part III-Sources of Funds'!L14</f>
        <v>No</v>
      </c>
      <c r="M448" s="1875" t="s">
        <v>6538</v>
      </c>
      <c r="S448" s="1956"/>
      <c r="T448" s="1956"/>
      <c r="Y448" s="1972"/>
      <c r="Z448" s="1857">
        <v>14</v>
      </c>
      <c r="AZ448" s="1972"/>
    </row>
    <row r="449" spans="1:52" s="1875" customFormat="1" ht="16.5" customHeight="1">
      <c r="A449" s="1857"/>
      <c r="B449" s="1879" t="str">
        <f>'Part III-Sources of Funds'!B15</f>
        <v>No</v>
      </c>
      <c r="C449" s="1875" t="s">
        <v>3351</v>
      </c>
      <c r="E449" s="1879" t="str">
        <f>'Part III-Sources of Funds'!E15</f>
        <v>No</v>
      </c>
      <c r="F449" s="1859" t="s">
        <v>6296</v>
      </c>
      <c r="L449" s="1879" t="str">
        <f>'Part III-Sources of Funds'!L15</f>
        <v>No</v>
      </c>
      <c r="M449" s="1890" t="s">
        <v>6297</v>
      </c>
      <c r="Y449" s="1972"/>
      <c r="Z449" s="1857">
        <v>15</v>
      </c>
      <c r="AZ449" s="1972"/>
    </row>
    <row r="450" spans="1:52" s="1875" customFormat="1" ht="16.5" customHeight="1">
      <c r="A450" s="1857"/>
      <c r="B450" s="1879" t="str">
        <f>'Part III-Sources of Funds'!B16</f>
        <v>No</v>
      </c>
      <c r="C450" s="1859" t="s">
        <v>1720</v>
      </c>
      <c r="E450" s="1879" t="str">
        <f>'Part III-Sources of Funds'!E16</f>
        <v>No</v>
      </c>
      <c r="F450" s="1859" t="s">
        <v>6837</v>
      </c>
      <c r="I450" s="1975">
        <f>'Part III-Sources of Funds'!I16</f>
        <v>0</v>
      </c>
      <c r="J450" s="1976"/>
      <c r="L450" s="1879" t="str">
        <f>'Part III-Sources of Funds'!L16</f>
        <v>No</v>
      </c>
      <c r="M450" s="1890" t="s">
        <v>6291</v>
      </c>
      <c r="Y450" s="1972"/>
      <c r="Z450" s="1857">
        <v>16</v>
      </c>
      <c r="AZ450" s="1972"/>
    </row>
    <row r="451" spans="1:52" s="1875" customFormat="1" ht="17.100000000000001" customHeight="1">
      <c r="A451" s="1857"/>
      <c r="B451" s="1875" t="s">
        <v>4062</v>
      </c>
      <c r="C451" s="1856"/>
      <c r="D451" s="1856"/>
      <c r="E451" s="1856"/>
      <c r="F451" s="1856"/>
      <c r="G451" s="1856"/>
      <c r="H451" s="1856"/>
      <c r="I451" s="1856"/>
      <c r="J451" s="1856"/>
      <c r="K451" s="1856"/>
      <c r="L451" s="1856"/>
      <c r="M451" s="1973"/>
      <c r="N451" s="1856"/>
      <c r="O451" s="1856"/>
      <c r="P451" s="1856"/>
      <c r="Q451" s="1856"/>
      <c r="Y451" s="1972"/>
      <c r="Z451" s="1857">
        <v>17</v>
      </c>
      <c r="AZ451" s="1972"/>
    </row>
    <row r="452" spans="1:52" s="1875" customFormat="1" ht="12" customHeight="1">
      <c r="A452" s="1857"/>
      <c r="L452" s="1856"/>
      <c r="M452" s="1865"/>
      <c r="N452" s="1856"/>
      <c r="O452" s="1856"/>
      <c r="P452" s="1856"/>
      <c r="Q452" s="1856"/>
      <c r="Y452" s="1972"/>
      <c r="Z452" s="1857">
        <v>18</v>
      </c>
      <c r="AZ452" s="1972"/>
    </row>
    <row r="453" spans="1:52" s="1875" customFormat="1" ht="15" customHeight="1">
      <c r="A453" s="1856" t="s">
        <v>710</v>
      </c>
      <c r="B453" s="1858" t="s">
        <v>2242</v>
      </c>
      <c r="C453" s="1856"/>
      <c r="D453" s="1856"/>
      <c r="E453" s="1856"/>
      <c r="F453" s="1856"/>
      <c r="G453" s="1856"/>
      <c r="L453" s="1856"/>
      <c r="M453" s="1856"/>
      <c r="N453" s="1856"/>
      <c r="O453" s="1856"/>
      <c r="P453" s="1856"/>
      <c r="Q453" s="1856"/>
      <c r="S453" s="1875" t="str">
        <f>B453</f>
        <v>CONSTRUCTION FINANCING</v>
      </c>
      <c r="Y453" s="1972"/>
      <c r="Z453" s="1868">
        <v>19</v>
      </c>
      <c r="AZ453" s="1972"/>
    </row>
    <row r="454" spans="1:52" s="1875" customFormat="1" ht="5.25" customHeight="1">
      <c r="A454" s="1856"/>
      <c r="B454" s="1858"/>
      <c r="C454" s="1856"/>
      <c r="K454" s="1856"/>
      <c r="L454" s="1856"/>
      <c r="M454" s="1856"/>
      <c r="N454" s="1857"/>
      <c r="O454" s="1857"/>
      <c r="P454" s="1856"/>
      <c r="Q454" s="1856"/>
      <c r="Y454" s="1972"/>
      <c r="Z454" s="1857">
        <v>20</v>
      </c>
      <c r="AZ454" s="1972"/>
    </row>
    <row r="455" spans="1:52" s="1875" customFormat="1" ht="17.100000000000001" customHeight="1">
      <c r="A455" s="1856"/>
      <c r="B455" s="1858" t="s">
        <v>1785</v>
      </c>
      <c r="C455" s="1856"/>
      <c r="D455" s="1856"/>
      <c r="E455" s="1856"/>
      <c r="F455" s="1856"/>
      <c r="G455" s="1856"/>
      <c r="H455" s="1856" t="s">
        <v>1249</v>
      </c>
      <c r="I455" s="1856"/>
      <c r="J455" s="1856"/>
      <c r="K455" s="1856"/>
      <c r="L455" s="1856" t="s">
        <v>4025</v>
      </c>
      <c r="M455" s="1856"/>
      <c r="N455" s="1856" t="s">
        <v>1446</v>
      </c>
      <c r="O455" s="1856"/>
      <c r="P455" s="1856" t="s">
        <v>1564</v>
      </c>
      <c r="Q455" s="1856"/>
      <c r="S455" s="1852" t="s">
        <v>2538</v>
      </c>
      <c r="T455" s="1852"/>
      <c r="Y455" s="1972"/>
      <c r="Z455" s="1857">
        <v>21</v>
      </c>
      <c r="AZ455" s="1972" t="s">
        <v>6655</v>
      </c>
    </row>
    <row r="456" spans="1:52" s="1875" customFormat="1" ht="15.75" customHeight="1">
      <c r="A456" s="1856"/>
      <c r="B456" s="1856" t="s">
        <v>1525</v>
      </c>
      <c r="C456" s="1856"/>
      <c r="D456" s="1856"/>
      <c r="E456" s="1856"/>
      <c r="F456" s="1856"/>
      <c r="G456" s="1856"/>
      <c r="H456" s="1863" t="str">
        <f>'Part III-Sources of Funds'!H22</f>
        <v>TBD - Synovus</v>
      </c>
      <c r="I456" s="1863"/>
      <c r="J456" s="1863"/>
      <c r="K456" s="1863"/>
      <c r="L456" s="1871">
        <f>'Part III-Sources of Funds'!L22</f>
        <v>8687101</v>
      </c>
      <c r="M456" s="1871"/>
      <c r="N456" s="1977">
        <f>'Part III-Sources of Funds'!N22</f>
        <v>0.06</v>
      </c>
      <c r="O456" s="1977"/>
      <c r="P456" s="1978">
        <f>'Part III-Sources of Funds'!P22</f>
        <v>24</v>
      </c>
      <c r="Q456" s="1978"/>
      <c r="S456" s="1956"/>
      <c r="T456" s="1956"/>
      <c r="Y456" s="1972" t="s">
        <v>6655</v>
      </c>
      <c r="Z456" s="1857">
        <v>22</v>
      </c>
      <c r="AZ456" s="1972" t="s">
        <v>6656</v>
      </c>
    </row>
    <row r="457" spans="1:52" s="1875" customFormat="1" ht="15.75" customHeight="1">
      <c r="A457" s="1856"/>
      <c r="B457" s="1856" t="s">
        <v>1526</v>
      </c>
      <c r="C457" s="1856"/>
      <c r="D457" s="1856"/>
      <c r="E457" s="1856"/>
      <c r="F457" s="1856"/>
      <c r="G457" s="1856"/>
      <c r="H457" s="1863">
        <f>'Part III-Sources of Funds'!H23</f>
        <v>0</v>
      </c>
      <c r="I457" s="1863"/>
      <c r="J457" s="1863"/>
      <c r="K457" s="1863"/>
      <c r="L457" s="1871">
        <f>'Part III-Sources of Funds'!L23</f>
        <v>0</v>
      </c>
      <c r="M457" s="1871"/>
      <c r="N457" s="1977">
        <f>'Part III-Sources of Funds'!N23</f>
        <v>0</v>
      </c>
      <c r="O457" s="1977"/>
      <c r="P457" s="1978">
        <f>'Part III-Sources of Funds'!P23</f>
        <v>0</v>
      </c>
      <c r="Q457" s="1978"/>
      <c r="S457" s="1956"/>
      <c r="T457" s="1956"/>
      <c r="Y457" s="1972" t="s">
        <v>6656</v>
      </c>
      <c r="Z457" s="1857">
        <v>23</v>
      </c>
      <c r="AZ457" s="1972" t="s">
        <v>6657</v>
      </c>
    </row>
    <row r="458" spans="1:52" s="1875" customFormat="1" ht="15.75" customHeight="1">
      <c r="A458" s="1856"/>
      <c r="B458" s="1856" t="s">
        <v>1527</v>
      </c>
      <c r="C458" s="1856"/>
      <c r="D458" s="1856"/>
      <c r="E458" s="1856"/>
      <c r="F458" s="1856"/>
      <c r="G458" s="1856"/>
      <c r="H458" s="1863">
        <f>'Part III-Sources of Funds'!H24</f>
        <v>0</v>
      </c>
      <c r="I458" s="1863"/>
      <c r="J458" s="1863"/>
      <c r="K458" s="1863"/>
      <c r="L458" s="1871">
        <f>'Part III-Sources of Funds'!L24</f>
        <v>0</v>
      </c>
      <c r="M458" s="1871"/>
      <c r="N458" s="1977">
        <f>'Part III-Sources of Funds'!N24</f>
        <v>0</v>
      </c>
      <c r="O458" s="1977"/>
      <c r="P458" s="1978">
        <f>'Part III-Sources of Funds'!P24</f>
        <v>0</v>
      </c>
      <c r="Q458" s="1978"/>
      <c r="S458" s="1956"/>
      <c r="T458" s="1956"/>
      <c r="Y458" s="1972" t="s">
        <v>6657</v>
      </c>
      <c r="Z458" s="1857">
        <v>24</v>
      </c>
      <c r="AZ458" s="1972" t="s">
        <v>6658</v>
      </c>
    </row>
    <row r="459" spans="1:52" s="1875" customFormat="1" ht="15.75" customHeight="1">
      <c r="A459" s="1856"/>
      <c r="B459" s="1856" t="s">
        <v>2115</v>
      </c>
      <c r="C459" s="1856"/>
      <c r="D459" s="1856"/>
      <c r="E459" s="1856"/>
      <c r="F459" s="1856"/>
      <c r="G459" s="1856"/>
      <c r="H459" s="1863">
        <f>'Part III-Sources of Funds'!H25</f>
        <v>0</v>
      </c>
      <c r="I459" s="1863"/>
      <c r="J459" s="1863"/>
      <c r="K459" s="1863"/>
      <c r="L459" s="1871">
        <f>'Part III-Sources of Funds'!L25</f>
        <v>0</v>
      </c>
      <c r="M459" s="1871"/>
      <c r="N459" s="1979"/>
      <c r="O459" s="1979"/>
      <c r="P459" s="1856"/>
      <c r="Q459" s="1856"/>
      <c r="S459" s="1956"/>
      <c r="T459" s="1956"/>
      <c r="Y459" s="1972" t="s">
        <v>6658</v>
      </c>
      <c r="Z459" s="1857">
        <v>25</v>
      </c>
      <c r="AZ459" s="1972" t="s">
        <v>6659</v>
      </c>
    </row>
    <row r="460" spans="1:52" s="1875" customFormat="1" ht="15.75" customHeight="1">
      <c r="A460" s="1856"/>
      <c r="B460" s="1856" t="s">
        <v>768</v>
      </c>
      <c r="C460" s="1856"/>
      <c r="D460" s="1856"/>
      <c r="E460" s="1856"/>
      <c r="H460" s="1863">
        <f>'Part III-Sources of Funds'!H26</f>
        <v>0</v>
      </c>
      <c r="I460" s="1863"/>
      <c r="J460" s="1863"/>
      <c r="K460" s="1863"/>
      <c r="L460" s="1871">
        <f>'Part III-Sources of Funds'!L26</f>
        <v>0</v>
      </c>
      <c r="M460" s="1871"/>
      <c r="N460" s="1979"/>
      <c r="O460" s="1979"/>
      <c r="P460" s="1856"/>
      <c r="Q460" s="1856"/>
      <c r="S460" s="1956"/>
      <c r="T460" s="1956"/>
      <c r="Y460" s="1972" t="s">
        <v>6659</v>
      </c>
      <c r="Z460" s="1868">
        <v>26</v>
      </c>
      <c r="AZ460" s="1972" t="s">
        <v>6660</v>
      </c>
    </row>
    <row r="461" spans="1:52" s="1875" customFormat="1" ht="15.75" customHeight="1">
      <c r="A461" s="1856"/>
      <c r="B461" s="1856" t="s">
        <v>611</v>
      </c>
      <c r="C461" s="1856"/>
      <c r="D461" s="1856"/>
      <c r="E461" s="1856"/>
      <c r="H461" s="1863">
        <f>'Part III-Sources of Funds'!H27</f>
        <v>0</v>
      </c>
      <c r="I461" s="1863"/>
      <c r="J461" s="1863"/>
      <c r="K461" s="1863"/>
      <c r="L461" s="1871">
        <f>'Part III-Sources of Funds'!L27</f>
        <v>0</v>
      </c>
      <c r="M461" s="1871"/>
      <c r="N461" s="1979"/>
      <c r="O461" s="1979"/>
      <c r="P461" s="1856"/>
      <c r="Q461" s="1856"/>
      <c r="S461" s="1956"/>
      <c r="T461" s="1956"/>
      <c r="Y461" s="1972" t="s">
        <v>6660</v>
      </c>
      <c r="Z461" s="1857">
        <v>27</v>
      </c>
      <c r="AZ461" s="1972" t="s">
        <v>6661</v>
      </c>
    </row>
    <row r="462" spans="1:52" s="1875" customFormat="1" ht="15.75" customHeight="1">
      <c r="A462" s="1856"/>
      <c r="B462" s="1856" t="s">
        <v>769</v>
      </c>
      <c r="C462" s="1856"/>
      <c r="D462" s="1856"/>
      <c r="E462" s="1856"/>
      <c r="H462" s="1863" t="str">
        <f>'Part III-Sources of Funds'!H28</f>
        <v>TBD - Synovus</v>
      </c>
      <c r="I462" s="1863"/>
      <c r="J462" s="1863"/>
      <c r="K462" s="1863"/>
      <c r="L462" s="1871">
        <f>'Part III-Sources of Funds'!L28</f>
        <v>1439856</v>
      </c>
      <c r="M462" s="1871"/>
      <c r="N462" s="1856"/>
      <c r="Q462" s="1856"/>
      <c r="S462" s="1956"/>
      <c r="T462" s="1956"/>
      <c r="Y462" s="1972" t="s">
        <v>6661</v>
      </c>
      <c r="Z462" s="1857">
        <v>28</v>
      </c>
      <c r="AZ462" s="1972" t="s">
        <v>6662</v>
      </c>
    </row>
    <row r="463" spans="1:52" s="1875" customFormat="1" ht="15.75" customHeight="1">
      <c r="A463" s="1856"/>
      <c r="B463" s="1856" t="s">
        <v>770</v>
      </c>
      <c r="C463" s="1856"/>
      <c r="D463" s="1856"/>
      <c r="E463" s="1856"/>
      <c r="H463" s="1863" t="str">
        <f>'Part III-Sources of Funds'!H29</f>
        <v>TBD - Sugar Creek (incl'd 1% Fed.)</v>
      </c>
      <c r="I463" s="1863"/>
      <c r="J463" s="1863"/>
      <c r="K463" s="1863"/>
      <c r="L463" s="1871">
        <f>'Part III-Sources of Funds'!L29</f>
        <v>751078</v>
      </c>
      <c r="M463" s="1871"/>
      <c r="N463" s="1856"/>
      <c r="Q463" s="1856"/>
      <c r="S463" s="1956"/>
      <c r="T463" s="1956"/>
      <c r="Y463" s="1972" t="s">
        <v>6662</v>
      </c>
      <c r="Z463" s="1857">
        <v>29</v>
      </c>
      <c r="AZ463" s="1972" t="s">
        <v>6663</v>
      </c>
    </row>
    <row r="464" spans="1:52" s="1875" customFormat="1" ht="15.75" customHeight="1">
      <c r="A464" s="1856"/>
      <c r="B464" s="1856" t="s">
        <v>231</v>
      </c>
      <c r="C464" s="1856"/>
      <c r="D464" s="1863">
        <f>'Part III-Sources of Funds'!D30</f>
        <v>0</v>
      </c>
      <c r="E464" s="1863"/>
      <c r="F464" s="1863"/>
      <c r="G464" s="1863"/>
      <c r="H464" s="1863">
        <f>'Part III-Sources of Funds'!H30</f>
        <v>0</v>
      </c>
      <c r="I464" s="1863"/>
      <c r="J464" s="1863"/>
      <c r="K464" s="1863"/>
      <c r="L464" s="1871">
        <f>'Part III-Sources of Funds'!L30</f>
        <v>0</v>
      </c>
      <c r="M464" s="1871"/>
      <c r="N464" s="1856"/>
      <c r="Q464" s="1856"/>
      <c r="S464" s="1956"/>
      <c r="T464" s="1956"/>
      <c r="Y464" s="1972" t="s">
        <v>6663</v>
      </c>
      <c r="Z464" s="1857">
        <v>30</v>
      </c>
      <c r="AZ464" s="1972" t="s">
        <v>6664</v>
      </c>
    </row>
    <row r="465" spans="1:52" s="1875" customFormat="1" ht="15.75" customHeight="1">
      <c r="A465" s="1856"/>
      <c r="B465" s="1856" t="s">
        <v>231</v>
      </c>
      <c r="C465" s="1856"/>
      <c r="D465" s="1863">
        <f>'Part III-Sources of Funds'!D31</f>
        <v>0</v>
      </c>
      <c r="E465" s="1863"/>
      <c r="F465" s="1863"/>
      <c r="G465" s="1863"/>
      <c r="H465" s="1863">
        <f>'Part III-Sources of Funds'!H31</f>
        <v>0</v>
      </c>
      <c r="I465" s="1863"/>
      <c r="J465" s="1863"/>
      <c r="K465" s="1863"/>
      <c r="L465" s="1871">
        <f>'Part III-Sources of Funds'!L31</f>
        <v>0</v>
      </c>
      <c r="M465" s="1871"/>
      <c r="N465" s="1856"/>
      <c r="S465" s="1956"/>
      <c r="T465" s="1956"/>
      <c r="Y465" s="1972" t="s">
        <v>6664</v>
      </c>
      <c r="Z465" s="1857">
        <v>31</v>
      </c>
      <c r="AZ465" s="1972" t="s">
        <v>6665</v>
      </c>
    </row>
    <row r="466" spans="1:52" s="1875" customFormat="1" ht="15.75" customHeight="1">
      <c r="A466" s="1856"/>
      <c r="B466" s="1856" t="s">
        <v>231</v>
      </c>
      <c r="C466" s="1856"/>
      <c r="D466" s="1863">
        <f>'Part III-Sources of Funds'!D32</f>
        <v>0</v>
      </c>
      <c r="E466" s="1863"/>
      <c r="F466" s="1863"/>
      <c r="G466" s="1863"/>
      <c r="H466" s="1863">
        <f>'Part III-Sources of Funds'!H32</f>
        <v>0</v>
      </c>
      <c r="I466" s="1863"/>
      <c r="J466" s="1863"/>
      <c r="K466" s="1863"/>
      <c r="L466" s="1871">
        <f>'Part III-Sources of Funds'!L32</f>
        <v>0</v>
      </c>
      <c r="M466" s="1871"/>
      <c r="N466" s="1856"/>
      <c r="S466" s="1956"/>
      <c r="T466" s="1956"/>
      <c r="Y466" s="1972" t="s">
        <v>6665</v>
      </c>
      <c r="Z466" s="1857">
        <v>32</v>
      </c>
      <c r="AZ466" s="1972"/>
    </row>
    <row r="467" spans="1:52" s="1875" customFormat="1" ht="16.5" customHeight="1">
      <c r="A467" s="1856"/>
      <c r="B467" s="1858" t="s">
        <v>1250</v>
      </c>
      <c r="C467" s="1856"/>
      <c r="D467" s="1856"/>
      <c r="E467" s="1856"/>
      <c r="F467" s="1856"/>
      <c r="G467" s="1856"/>
      <c r="H467" s="1856"/>
      <c r="I467" s="1856"/>
      <c r="L467" s="1980">
        <f>SUM(L456:L466)</f>
        <v>10878035</v>
      </c>
      <c r="M467" s="1980"/>
      <c r="N467" s="1865"/>
      <c r="S467" s="1956"/>
      <c r="T467" s="1956"/>
      <c r="Y467" s="1972"/>
      <c r="Z467" s="1857">
        <v>33</v>
      </c>
      <c r="AZ467" s="1972"/>
    </row>
    <row r="468" spans="1:52" s="1875" customFormat="1" ht="16.5" customHeight="1">
      <c r="A468" s="1856"/>
      <c r="B468" s="1858" t="s">
        <v>1251</v>
      </c>
      <c r="C468" s="1856"/>
      <c r="D468" s="1856"/>
      <c r="E468" s="1856"/>
      <c r="F468" s="1856"/>
      <c r="G468" s="1856"/>
      <c r="H468" s="1856"/>
      <c r="I468" s="1856"/>
      <c r="L468" s="198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10224738</v>
      </c>
      <c r="M468" s="1981"/>
      <c r="N468" s="1865"/>
      <c r="S468" s="1956"/>
      <c r="T468" s="1956"/>
      <c r="Y468" s="1972"/>
      <c r="Z468" s="1857">
        <v>34</v>
      </c>
      <c r="AZ468" s="1972"/>
    </row>
    <row r="469" spans="1:52" s="1875" customFormat="1" ht="16.5" customHeight="1">
      <c r="A469" s="1856"/>
      <c r="B469" s="1858" t="s">
        <v>2064</v>
      </c>
      <c r="C469" s="1856"/>
      <c r="D469" s="1856"/>
      <c r="E469" s="1856"/>
      <c r="F469" s="1856"/>
      <c r="G469" s="1856"/>
      <c r="H469" s="1856"/>
      <c r="I469" s="1856"/>
      <c r="L469" s="1982">
        <f>L467-L468</f>
        <v>653297</v>
      </c>
      <c r="M469" s="1982"/>
      <c r="N469" s="1865"/>
      <c r="S469" s="1956"/>
      <c r="T469" s="1956"/>
      <c r="Y469" s="1972"/>
      <c r="Z469" s="1868">
        <v>35</v>
      </c>
      <c r="AZ469" s="1925"/>
    </row>
    <row r="470" spans="1:52" s="1973" customFormat="1" ht="9.6" customHeight="1">
      <c r="A470" s="1865"/>
      <c r="B470" s="1858"/>
      <c r="C470" s="1865"/>
      <c r="D470" s="1865"/>
      <c r="E470" s="1865"/>
      <c r="F470" s="1865"/>
      <c r="G470" s="1865"/>
      <c r="H470" s="1865"/>
      <c r="I470" s="1865"/>
      <c r="J470" s="1865"/>
      <c r="K470" s="1865"/>
      <c r="L470" s="1865"/>
      <c r="M470" s="1857"/>
      <c r="N470" s="1857"/>
      <c r="Y470" s="1925"/>
      <c r="Z470" s="1857">
        <v>36</v>
      </c>
      <c r="AZ470" s="1925"/>
    </row>
    <row r="471" spans="1:52" s="1973" customFormat="1" ht="9.6" customHeight="1">
      <c r="A471" s="1856" t="s">
        <v>712</v>
      </c>
      <c r="B471" s="1858" t="s">
        <v>767</v>
      </c>
      <c r="C471" s="1865"/>
      <c r="D471" s="1865"/>
      <c r="E471" s="1865"/>
      <c r="F471" s="1865"/>
      <c r="G471" s="1865"/>
      <c r="H471" s="1865"/>
      <c r="I471" s="1865"/>
      <c r="J471" s="1865"/>
      <c r="K471" s="1865"/>
      <c r="L471" s="1865"/>
      <c r="M471" s="1857"/>
      <c r="N471" s="1857"/>
      <c r="O471" s="1865"/>
      <c r="S471" s="1875" t="str">
        <f>B471</f>
        <v>PERMANENT FINANCING</v>
      </c>
      <c r="Y471" s="1925"/>
      <c r="Z471" s="1857">
        <v>37</v>
      </c>
      <c r="AZ471" s="1972"/>
    </row>
    <row r="472" spans="1:52" s="1875" customFormat="1" ht="13.35" customHeight="1">
      <c r="A472" s="1856"/>
      <c r="B472" s="1856"/>
      <c r="C472" s="1856"/>
      <c r="D472" s="1856"/>
      <c r="E472" s="1856"/>
      <c r="F472" s="1857"/>
      <c r="G472" s="1857"/>
      <c r="H472" s="1856"/>
      <c r="I472" s="1856"/>
      <c r="K472" s="1883" t="s">
        <v>2008</v>
      </c>
      <c r="L472" s="1857" t="s">
        <v>1247</v>
      </c>
      <c r="M472" s="1857" t="s">
        <v>1252</v>
      </c>
      <c r="P472" s="1865" t="s">
        <v>31</v>
      </c>
      <c r="Q472" s="1865"/>
      <c r="Y472" s="1972"/>
      <c r="Z472" s="1857">
        <v>38</v>
      </c>
      <c r="AZ472" s="1972"/>
    </row>
    <row r="473" spans="1:52" s="1875" customFormat="1" ht="13.35" customHeight="1">
      <c r="A473" s="1856"/>
      <c r="B473" s="1858" t="s">
        <v>1785</v>
      </c>
      <c r="C473" s="1856"/>
      <c r="D473" s="1856"/>
      <c r="E473" s="1856" t="s">
        <v>1249</v>
      </c>
      <c r="F473" s="1856"/>
      <c r="G473" s="1856"/>
      <c r="H473" s="1856"/>
      <c r="I473" s="1856" t="s">
        <v>4024</v>
      </c>
      <c r="J473" s="1856"/>
      <c r="K473" s="1857" t="s">
        <v>1722</v>
      </c>
      <c r="L473" s="1857" t="s">
        <v>2114</v>
      </c>
      <c r="M473" s="1857" t="s">
        <v>2114</v>
      </c>
      <c r="N473" s="1856" t="s">
        <v>69</v>
      </c>
      <c r="O473" s="1856"/>
      <c r="P473" s="1874"/>
      <c r="Q473" s="1874"/>
      <c r="S473" s="1852" t="s">
        <v>2538</v>
      </c>
      <c r="T473" s="1852"/>
      <c r="Y473" s="1972"/>
      <c r="Z473" s="1857">
        <v>39</v>
      </c>
      <c r="AZ473" s="1972" t="s">
        <v>6666</v>
      </c>
    </row>
    <row r="474" spans="1:52" s="1875" customFormat="1" ht="15.75" customHeight="1">
      <c r="A474" s="1856"/>
      <c r="B474" s="1856" t="s">
        <v>2491</v>
      </c>
      <c r="C474" s="1856"/>
      <c r="D474" s="1856"/>
      <c r="E474" s="1863" t="str">
        <f>'Part III-Sources of Funds'!E40</f>
        <v>TBD - Synovous</v>
      </c>
      <c r="F474" s="1863"/>
      <c r="G474" s="1863"/>
      <c r="H474" s="1863"/>
      <c r="I474" s="1894">
        <f>'Part III-Sources of Funds'!I40</f>
        <v>797864</v>
      </c>
      <c r="J474" s="1863"/>
      <c r="K474" s="1983">
        <f>'Part III-Sources of Funds'!K40</f>
        <v>5.2499999999999998E-2</v>
      </c>
      <c r="L474" s="1879">
        <f>'Part III-Sources of Funds'!L40</f>
        <v>10</v>
      </c>
      <c r="M474" s="1879">
        <f>'Part III-Sources of Funds'!M40</f>
        <v>10</v>
      </c>
      <c r="N474" s="1863" t="str">
        <f>'Part III-Sources of Funds'!N40</f>
        <v>Amortizing</v>
      </c>
      <c r="O474" s="1863"/>
      <c r="P474" s="1981">
        <f>'Part III-Sources of Funds'!P40</f>
        <v>102725.02325569189</v>
      </c>
      <c r="Q474" s="1981"/>
      <c r="S474" s="1956"/>
      <c r="T474" s="1956"/>
      <c r="Y474" s="1972" t="s">
        <v>6666</v>
      </c>
      <c r="Z474" s="1857">
        <v>40</v>
      </c>
      <c r="AZ474" s="1972" t="s">
        <v>6667</v>
      </c>
    </row>
    <row r="475" spans="1:52" s="1875" customFormat="1" ht="15.75" customHeight="1">
      <c r="A475" s="1856"/>
      <c r="B475" s="1856" t="s">
        <v>2492</v>
      </c>
      <c r="C475" s="1856"/>
      <c r="D475" s="1856"/>
      <c r="E475" s="1863">
        <f>'Part III-Sources of Funds'!E41</f>
        <v>0</v>
      </c>
      <c r="F475" s="1863"/>
      <c r="G475" s="1863"/>
      <c r="H475" s="1863"/>
      <c r="I475" s="1894">
        <f>'Part III-Sources of Funds'!I41</f>
        <v>0</v>
      </c>
      <c r="J475" s="1863"/>
      <c r="K475" s="1983">
        <f>'Part III-Sources of Funds'!K41</f>
        <v>0</v>
      </c>
      <c r="L475" s="1879">
        <f>'Part III-Sources of Funds'!L41</f>
        <v>0</v>
      </c>
      <c r="M475" s="1879">
        <f>'Part III-Sources of Funds'!M41</f>
        <v>0</v>
      </c>
      <c r="N475" s="1863">
        <f>'Part III-Sources of Funds'!N41</f>
        <v>0</v>
      </c>
      <c r="O475" s="1863"/>
      <c r="P475" s="1981" t="str">
        <f>'Part III-Sources of Funds'!P41</f>
        <v/>
      </c>
      <c r="Q475" s="1981"/>
      <c r="S475" s="1956"/>
      <c r="T475" s="1956"/>
      <c r="Y475" s="1972" t="s">
        <v>6667</v>
      </c>
      <c r="Z475" s="1857">
        <v>41</v>
      </c>
      <c r="AZ475" s="1972" t="s">
        <v>6668</v>
      </c>
    </row>
    <row r="476" spans="1:52" s="1875" customFormat="1" ht="15.75" customHeight="1">
      <c r="A476" s="1856"/>
      <c r="B476" s="1856" t="s">
        <v>2493</v>
      </c>
      <c r="C476" s="1856"/>
      <c r="D476" s="1856"/>
      <c r="E476" s="1863">
        <f>'Part III-Sources of Funds'!E42</f>
        <v>0</v>
      </c>
      <c r="F476" s="1863"/>
      <c r="G476" s="1863"/>
      <c r="H476" s="1863"/>
      <c r="I476" s="1894">
        <f>'Part III-Sources of Funds'!I42</f>
        <v>0</v>
      </c>
      <c r="J476" s="1863"/>
      <c r="K476" s="1983">
        <f>'Part III-Sources of Funds'!K42</f>
        <v>0</v>
      </c>
      <c r="L476" s="1879">
        <f>'Part III-Sources of Funds'!L42</f>
        <v>0</v>
      </c>
      <c r="M476" s="1879">
        <f>'Part III-Sources of Funds'!M42</f>
        <v>0</v>
      </c>
      <c r="N476" s="1863">
        <f>'Part III-Sources of Funds'!N42</f>
        <v>0</v>
      </c>
      <c r="O476" s="1863"/>
      <c r="P476" s="1981" t="str">
        <f>'Part III-Sources of Funds'!P42</f>
        <v/>
      </c>
      <c r="Q476" s="1981"/>
      <c r="S476" s="1956"/>
      <c r="T476" s="1956"/>
      <c r="Y476" s="1972" t="s">
        <v>6668</v>
      </c>
      <c r="Z476" s="1857">
        <v>42</v>
      </c>
      <c r="AZ476" s="1972" t="s">
        <v>6669</v>
      </c>
    </row>
    <row r="477" spans="1:52" s="1875" customFormat="1" ht="15.75" customHeight="1">
      <c r="A477" s="1856"/>
      <c r="B477" s="1856" t="s">
        <v>711</v>
      </c>
      <c r="C477" s="1863">
        <f>'Part III-Sources of Funds'!C43</f>
        <v>0</v>
      </c>
      <c r="D477" s="1863"/>
      <c r="E477" s="1863">
        <f>'Part III-Sources of Funds'!E43</f>
        <v>0</v>
      </c>
      <c r="F477" s="1863"/>
      <c r="G477" s="1863"/>
      <c r="H477" s="1863"/>
      <c r="I477" s="1894">
        <f>'Part III-Sources of Funds'!I43</f>
        <v>0</v>
      </c>
      <c r="J477" s="1863"/>
      <c r="K477" s="1983">
        <f>'Part III-Sources of Funds'!K43</f>
        <v>0</v>
      </c>
      <c r="L477" s="1879">
        <f>'Part III-Sources of Funds'!L43</f>
        <v>0</v>
      </c>
      <c r="M477" s="1879">
        <f>'Part III-Sources of Funds'!M43</f>
        <v>0</v>
      </c>
      <c r="N477" s="1863">
        <f>'Part III-Sources of Funds'!N43</f>
        <v>0</v>
      </c>
      <c r="O477" s="1863"/>
      <c r="P477" s="1981" t="str">
        <f>'Part III-Sources of Funds'!P43</f>
        <v/>
      </c>
      <c r="Q477" s="1981"/>
      <c r="S477" s="1956"/>
      <c r="T477" s="1956"/>
      <c r="Y477" s="1972" t="s">
        <v>6669</v>
      </c>
      <c r="Z477" s="1857">
        <v>43</v>
      </c>
      <c r="AZ477" s="1972" t="s">
        <v>6670</v>
      </c>
    </row>
    <row r="478" spans="1:52" s="1875" customFormat="1" ht="15.75" customHeight="1">
      <c r="A478" s="1856"/>
      <c r="B478" s="1856" t="s">
        <v>4147</v>
      </c>
      <c r="C478" s="1856"/>
      <c r="D478" s="1856"/>
      <c r="E478" s="1863">
        <f>'Part III-Sources of Funds'!E44</f>
        <v>0</v>
      </c>
      <c r="F478" s="1863"/>
      <c r="G478" s="1863"/>
      <c r="H478" s="1863"/>
      <c r="I478" s="1894">
        <f>'Part III-Sources of Funds'!I44</f>
        <v>0</v>
      </c>
      <c r="J478" s="1863"/>
      <c r="K478" s="1984"/>
      <c r="L478" s="1857"/>
      <c r="M478" s="1857"/>
      <c r="N478" s="1856"/>
      <c r="O478" s="1856"/>
      <c r="P478" s="1980"/>
      <c r="Q478" s="1980"/>
      <c r="S478" s="1956"/>
      <c r="T478" s="1956"/>
      <c r="Y478" s="1972" t="s">
        <v>6670</v>
      </c>
      <c r="Z478" s="1868">
        <v>44</v>
      </c>
      <c r="AZ478" s="1972" t="s">
        <v>6671</v>
      </c>
    </row>
    <row r="479" spans="1:52" s="1875" customFormat="1" ht="15.75" customHeight="1">
      <c r="A479" s="1856"/>
      <c r="B479" s="1856" t="s">
        <v>219</v>
      </c>
      <c r="C479" s="1856"/>
      <c r="D479" s="1985">
        <f>'Part III-Sources of Funds'!D45</f>
        <v>3.2374999999999999E-3</v>
      </c>
      <c r="E479" s="1863" t="str">
        <f>'Part III-Sources of Funds'!E45</f>
        <v>NAHPA Development, LLC</v>
      </c>
      <c r="F479" s="1863"/>
      <c r="G479" s="1863"/>
      <c r="H479" s="1863"/>
      <c r="I479" s="1894">
        <f>'Part III-Sources of Funds'!I45</f>
        <v>3885</v>
      </c>
      <c r="J479" s="1863"/>
      <c r="K479" s="1983">
        <f>'Part III-Sources of Funds'!K45</f>
        <v>0</v>
      </c>
      <c r="L479" s="1879">
        <f>'Part III-Sources of Funds'!L45</f>
        <v>15</v>
      </c>
      <c r="M479" s="1879">
        <f>'Part III-Sources of Funds'!M45</f>
        <v>0</v>
      </c>
      <c r="N479" s="1863" t="str">
        <f>'Part III-Sources of Funds'!N45</f>
        <v>Cash Flow</v>
      </c>
      <c r="O479" s="1863"/>
      <c r="P479" s="1981">
        <f>'Part III-Sources of Funds'!P45</f>
        <v>0</v>
      </c>
      <c r="Q479" s="1981"/>
      <c r="S479" s="1956"/>
      <c r="T479" s="1956"/>
      <c r="Y479" s="1972" t="s">
        <v>6671</v>
      </c>
      <c r="Z479" s="1857">
        <v>45</v>
      </c>
      <c r="AZ479" s="1972"/>
    </row>
    <row r="480" spans="1:52" s="1875" customFormat="1" ht="3" customHeight="1">
      <c r="A480" s="1856"/>
      <c r="B480" s="1856"/>
      <c r="C480" s="1856"/>
      <c r="D480" s="1856"/>
      <c r="E480" s="1856"/>
      <c r="F480" s="1856"/>
      <c r="G480" s="1856"/>
      <c r="H480" s="1856"/>
      <c r="I480" s="1916"/>
      <c r="J480" s="1986"/>
      <c r="K480" s="1983"/>
      <c r="L480" s="1879"/>
      <c r="M480" s="1879"/>
      <c r="N480" s="1987"/>
      <c r="O480" s="1987"/>
      <c r="P480" s="1879"/>
      <c r="Q480" s="1879"/>
      <c r="S480" s="1956"/>
      <c r="T480" s="1956"/>
      <c r="Y480" s="1972"/>
      <c r="Z480" s="1857">
        <v>46</v>
      </c>
      <c r="AZ480" s="1972"/>
    </row>
    <row r="481" spans="1:52" s="1875" customFormat="1" ht="14.25" customHeight="1">
      <c r="A481" s="1856"/>
      <c r="B481" s="1875" t="s">
        <v>3560</v>
      </c>
      <c r="C481" s="1856"/>
      <c r="E481" s="1875" t="s">
        <v>3513</v>
      </c>
      <c r="F481" s="1988">
        <f>'Part III-Sources of Funds'!F47</f>
        <v>1154545.4084753576</v>
      </c>
      <c r="H481" s="1989" t="s">
        <v>3559</v>
      </c>
      <c r="I481" s="1988">
        <f>'Part III-Sources of Funds'!I47</f>
        <v>3885</v>
      </c>
      <c r="K481" s="1989" t="s">
        <v>3561</v>
      </c>
      <c r="L481" s="1990">
        <f>'Part III-Sources of Funds'!L47</f>
        <v>3.3649607641940754E-3</v>
      </c>
      <c r="M481" s="1990"/>
      <c r="N481" s="1981" t="s">
        <v>4031</v>
      </c>
      <c r="O481" s="1981"/>
      <c r="P481" s="1991">
        <f>'Part III-Sources of Funds'!P47</f>
        <v>0</v>
      </c>
      <c r="Q481" s="1991"/>
      <c r="S481" s="1956"/>
      <c r="T481" s="1956"/>
      <c r="Y481" s="1972"/>
      <c r="Z481" s="1857">
        <v>47</v>
      </c>
      <c r="AZ481" s="1972"/>
    </row>
    <row r="482" spans="1:52" s="1875" customFormat="1" ht="3" customHeight="1">
      <c r="A482" s="1856"/>
      <c r="B482" s="1856"/>
      <c r="C482" s="1856"/>
      <c r="D482" s="1856"/>
      <c r="E482" s="1856"/>
      <c r="F482" s="1856"/>
      <c r="G482" s="1856"/>
      <c r="H482" s="1856"/>
      <c r="I482" s="1916"/>
      <c r="J482" s="1986"/>
      <c r="K482" s="1983"/>
      <c r="L482" s="1879"/>
      <c r="M482" s="1879"/>
      <c r="N482" s="1987"/>
      <c r="O482" s="1987"/>
      <c r="P482" s="1879"/>
      <c r="Q482" s="1879"/>
      <c r="S482" s="1956"/>
      <c r="T482" s="1956"/>
      <c r="Y482" s="1972"/>
      <c r="Z482" s="1857">
        <v>48</v>
      </c>
      <c r="AZ482" s="1972" t="s">
        <v>6672</v>
      </c>
    </row>
    <row r="483" spans="1:52" s="1875" customFormat="1" ht="15.75" customHeight="1">
      <c r="A483" s="1856"/>
      <c r="B483" s="1856" t="s">
        <v>2115</v>
      </c>
      <c r="C483" s="1856"/>
      <c r="D483" s="1856"/>
      <c r="E483" s="1863">
        <f>'Part III-Sources of Funds'!E49</f>
        <v>0</v>
      </c>
      <c r="F483" s="1863"/>
      <c r="G483" s="1863"/>
      <c r="H483" s="1863"/>
      <c r="I483" s="1894">
        <f>'Part III-Sources of Funds'!I49</f>
        <v>0</v>
      </c>
      <c r="J483" s="1863"/>
      <c r="K483" s="1856"/>
      <c r="L483" s="1856"/>
      <c r="M483" s="1856"/>
      <c r="N483" s="1856"/>
      <c r="O483" s="1856"/>
      <c r="P483" s="1857" t="s">
        <v>491</v>
      </c>
      <c r="Q483" s="1856"/>
      <c r="S483" s="1956"/>
      <c r="T483" s="1956"/>
      <c r="Y483" s="1972" t="s">
        <v>6672</v>
      </c>
      <c r="Z483" s="1857">
        <v>49</v>
      </c>
      <c r="AZ483" s="1972" t="s">
        <v>6673</v>
      </c>
    </row>
    <row r="484" spans="1:52" s="1875" customFormat="1" ht="15.75" customHeight="1">
      <c r="A484" s="1856"/>
      <c r="B484" s="1856" t="s">
        <v>768</v>
      </c>
      <c r="C484" s="1856"/>
      <c r="D484" s="1856"/>
      <c r="E484" s="1863">
        <f>'Part III-Sources of Funds'!E50</f>
        <v>0</v>
      </c>
      <c r="F484" s="1863"/>
      <c r="G484" s="1863"/>
      <c r="H484" s="1863"/>
      <c r="I484" s="1894">
        <f>'Part III-Sources of Funds'!I50</f>
        <v>0</v>
      </c>
      <c r="J484" s="1863"/>
      <c r="L484" s="1992" t="s">
        <v>492</v>
      </c>
      <c r="M484" s="1992"/>
      <c r="N484" s="1993" t="s">
        <v>493</v>
      </c>
      <c r="O484" s="1993"/>
      <c r="P484" s="1994" t="s">
        <v>2442</v>
      </c>
      <c r="Q484" s="1856"/>
      <c r="S484" s="1956"/>
      <c r="T484" s="1956"/>
      <c r="Y484" s="1972" t="s">
        <v>6673</v>
      </c>
      <c r="Z484" s="1857">
        <v>50</v>
      </c>
      <c r="AZ484" s="1972" t="s">
        <v>6674</v>
      </c>
    </row>
    <row r="485" spans="1:52" s="1875" customFormat="1" ht="15.75" customHeight="1">
      <c r="A485" s="1856"/>
      <c r="B485" s="1856" t="s">
        <v>769</v>
      </c>
      <c r="C485" s="1856"/>
      <c r="D485" s="1856"/>
      <c r="E485" s="1863" t="str">
        <f>'Part III-Sources of Funds'!E51</f>
        <v>TBD - Synovus</v>
      </c>
      <c r="F485" s="1863"/>
      <c r="G485" s="1863"/>
      <c r="H485" s="1863"/>
      <c r="I485" s="1894">
        <f>'Part III-Sources of Funds'!I51</f>
        <v>7198560</v>
      </c>
      <c r="J485" s="1863"/>
      <c r="L485" s="1995">
        <f>'Part III-Sources of Funds'!L51</f>
        <v>7200000</v>
      </c>
      <c r="M485" s="1995"/>
      <c r="N485" s="1996">
        <f>I485-L485</f>
        <v>-1440</v>
      </c>
      <c r="O485" s="1996"/>
      <c r="P485" s="1997">
        <f>I485/I495</f>
        <v>0.61229275591875942</v>
      </c>
      <c r="Q485" s="1856"/>
      <c r="S485" s="1956"/>
      <c r="T485" s="1956"/>
      <c r="Y485" s="1972" t="s">
        <v>6674</v>
      </c>
      <c r="Z485" s="1868">
        <v>51</v>
      </c>
      <c r="AZ485" s="1972" t="s">
        <v>6675</v>
      </c>
    </row>
    <row r="486" spans="1:52" s="1875" customFormat="1" ht="15.75" customHeight="1">
      <c r="A486" s="1856"/>
      <c r="B486" s="1856" t="s">
        <v>770</v>
      </c>
      <c r="C486" s="1856"/>
      <c r="D486" s="1856"/>
      <c r="E486" s="1863" t="str">
        <f>'Part III-Sources of Funds'!E52</f>
        <v>TBD - Sugar Creek (incl'd 1% Fed.)</v>
      </c>
      <c r="F486" s="1863"/>
      <c r="G486" s="1863"/>
      <c r="H486" s="1863"/>
      <c r="I486" s="1894">
        <f>'Part III-Sources of Funds'!I52</f>
        <v>3756420</v>
      </c>
      <c r="J486" s="1863"/>
      <c r="L486" s="1995">
        <f>'Part III-Sources of Funds'!L52</f>
        <v>3755700</v>
      </c>
      <c r="M486" s="1995"/>
      <c r="N486" s="1996">
        <f>I486-L486</f>
        <v>720</v>
      </c>
      <c r="O486" s="1996"/>
      <c r="P486" s="1997">
        <f>I486/I495</f>
        <v>0.31951234054982469</v>
      </c>
      <c r="Q486" s="1856"/>
      <c r="S486" s="1956"/>
      <c r="T486" s="1956"/>
      <c r="Y486" s="1972" t="s">
        <v>6675</v>
      </c>
      <c r="Z486" s="1857">
        <v>52</v>
      </c>
      <c r="AZ486" s="1972" t="s">
        <v>6676</v>
      </c>
    </row>
    <row r="487" spans="1:52" s="1875" customFormat="1" ht="15.75" customHeight="1">
      <c r="A487" s="1856"/>
      <c r="B487" s="1856" t="s">
        <v>1360</v>
      </c>
      <c r="C487" s="1856"/>
      <c r="D487" s="1856"/>
      <c r="E487" s="1863">
        <f>'Part III-Sources of Funds'!E53</f>
        <v>0</v>
      </c>
      <c r="F487" s="1863"/>
      <c r="G487" s="1863"/>
      <c r="H487" s="1863"/>
      <c r="I487" s="1894">
        <f>'Part III-Sources of Funds'!I53</f>
        <v>0</v>
      </c>
      <c r="J487" s="1863"/>
      <c r="P487" s="1997">
        <f>SUM(P485:P486)</f>
        <v>0.93180509646858412</v>
      </c>
      <c r="Q487" s="1856"/>
      <c r="S487" s="1956"/>
      <c r="T487" s="1956"/>
      <c r="Y487" s="1972" t="s">
        <v>6676</v>
      </c>
      <c r="Z487" s="1857">
        <v>53</v>
      </c>
      <c r="AZ487" s="1972"/>
    </row>
    <row r="488" spans="1:52" s="1875" customFormat="1" ht="15.75" customHeight="1">
      <c r="A488" s="1856"/>
      <c r="B488" s="1856" t="s">
        <v>506</v>
      </c>
      <c r="C488" s="1856"/>
      <c r="D488" s="1856"/>
      <c r="E488" s="1863">
        <f>'Part III-Sources of Funds'!E54</f>
        <v>0</v>
      </c>
      <c r="F488" s="1863"/>
      <c r="G488" s="1863"/>
      <c r="H488" s="1863"/>
      <c r="I488" s="1894">
        <f>'Part III-Sources of Funds'!I54</f>
        <v>0</v>
      </c>
      <c r="J488" s="1863"/>
      <c r="K488" s="1856"/>
      <c r="Q488" s="1856"/>
      <c r="S488" s="1956"/>
      <c r="T488" s="1956"/>
      <c r="Y488" s="1972"/>
      <c r="Z488" s="1857">
        <v>54</v>
      </c>
      <c r="AZ488" s="1972"/>
    </row>
    <row r="489" spans="1:52" s="1875" customFormat="1" ht="15.75" customHeight="1">
      <c r="A489" s="1856"/>
      <c r="B489" s="1856" t="s">
        <v>1783</v>
      </c>
      <c r="C489" s="1856"/>
      <c r="D489" s="1856"/>
      <c r="E489" s="1863">
        <f>'Part III-Sources of Funds'!E55</f>
        <v>0</v>
      </c>
      <c r="F489" s="1863"/>
      <c r="G489" s="1863"/>
      <c r="H489" s="1863"/>
      <c r="I489" s="1894">
        <f>'Part III-Sources of Funds'!I55</f>
        <v>0</v>
      </c>
      <c r="J489" s="1863"/>
      <c r="N489" s="1856"/>
      <c r="O489" s="1856"/>
      <c r="P489" s="1856"/>
      <c r="Q489" s="1856"/>
      <c r="S489" s="1956"/>
      <c r="T489" s="1956"/>
      <c r="Y489" s="1972"/>
      <c r="Z489" s="1857">
        <v>55</v>
      </c>
      <c r="AZ489" s="1972"/>
    </row>
    <row r="490" spans="1:52" s="1875" customFormat="1" ht="15.75" customHeight="1">
      <c r="A490" s="1856"/>
      <c r="B490" s="1856" t="s">
        <v>1784</v>
      </c>
      <c r="C490" s="1856"/>
      <c r="D490" s="1856"/>
      <c r="E490" s="1863">
        <f>'Part III-Sources of Funds'!E56</f>
        <v>0</v>
      </c>
      <c r="F490" s="1863"/>
      <c r="G490" s="1863"/>
      <c r="H490" s="1863"/>
      <c r="I490" s="1894">
        <f>'Part III-Sources of Funds'!I56</f>
        <v>0</v>
      </c>
      <c r="J490" s="1863"/>
      <c r="M490" s="1856"/>
      <c r="N490" s="1856"/>
      <c r="O490" s="1856"/>
      <c r="P490" s="1856"/>
      <c r="Q490" s="1856"/>
      <c r="S490" s="1956"/>
      <c r="T490" s="1956"/>
      <c r="Y490" s="1972"/>
      <c r="Z490" s="1857">
        <v>56</v>
      </c>
      <c r="AZ490" s="1972" t="s">
        <v>6677</v>
      </c>
    </row>
    <row r="491" spans="1:52" s="1875" customFormat="1" ht="15.75" customHeight="1">
      <c r="A491" s="1856"/>
      <c r="B491" s="1856" t="s">
        <v>711</v>
      </c>
      <c r="C491" s="1863">
        <f>'Part III-Sources of Funds'!C57</f>
        <v>0</v>
      </c>
      <c r="D491" s="1863"/>
      <c r="E491" s="1863">
        <f>'Part III-Sources of Funds'!E57</f>
        <v>0</v>
      </c>
      <c r="F491" s="1863"/>
      <c r="G491" s="1863"/>
      <c r="H491" s="1863"/>
      <c r="I491" s="1894">
        <f>'Part III-Sources of Funds'!I57</f>
        <v>0</v>
      </c>
      <c r="J491" s="1863"/>
      <c r="M491" s="1856"/>
      <c r="N491" s="1856"/>
      <c r="O491" s="1856"/>
      <c r="P491" s="1856"/>
      <c r="Q491" s="1856"/>
      <c r="S491" s="1956"/>
      <c r="T491" s="1956"/>
      <c r="Y491" s="1972" t="s">
        <v>6677</v>
      </c>
      <c r="Z491" s="1857">
        <v>57</v>
      </c>
      <c r="AZ491" s="1972" t="s">
        <v>6678</v>
      </c>
    </row>
    <row r="492" spans="1:52" s="1875" customFormat="1" ht="15.75" customHeight="1">
      <c r="A492" s="1856"/>
      <c r="B492" s="1856" t="s">
        <v>711</v>
      </c>
      <c r="C492" s="1863">
        <f>'Part III-Sources of Funds'!C58</f>
        <v>0</v>
      </c>
      <c r="D492" s="1863"/>
      <c r="E492" s="1863">
        <f>'Part III-Sources of Funds'!E58</f>
        <v>0</v>
      </c>
      <c r="F492" s="1863"/>
      <c r="G492" s="1863"/>
      <c r="H492" s="1863"/>
      <c r="I492" s="1894">
        <f>'Part III-Sources of Funds'!I58</f>
        <v>0</v>
      </c>
      <c r="J492" s="1863"/>
      <c r="K492" s="1856"/>
      <c r="L492" s="1857"/>
      <c r="M492" s="1856"/>
      <c r="N492" s="1856"/>
      <c r="O492" s="1856"/>
      <c r="P492" s="1856"/>
      <c r="Q492" s="1856"/>
      <c r="S492" s="1956"/>
      <c r="T492" s="1956"/>
      <c r="Y492" s="1972" t="s">
        <v>6678</v>
      </c>
      <c r="Z492" s="1857">
        <v>58</v>
      </c>
      <c r="AZ492" s="1972" t="s">
        <v>6679</v>
      </c>
    </row>
    <row r="493" spans="1:52" s="1875" customFormat="1" ht="15.75" customHeight="1">
      <c r="A493" s="1856"/>
      <c r="B493" s="1856" t="s">
        <v>711</v>
      </c>
      <c r="C493" s="1863">
        <f>'Part III-Sources of Funds'!C59</f>
        <v>0</v>
      </c>
      <c r="D493" s="1863"/>
      <c r="E493" s="1863">
        <f>'Part III-Sources of Funds'!E59</f>
        <v>0</v>
      </c>
      <c r="F493" s="1863"/>
      <c r="G493" s="1863"/>
      <c r="H493" s="1863"/>
      <c r="I493" s="1894">
        <f>'Part III-Sources of Funds'!I59</f>
        <v>0</v>
      </c>
      <c r="J493" s="1863"/>
      <c r="K493" s="1856"/>
      <c r="L493" s="1857"/>
      <c r="M493" s="1856"/>
      <c r="N493" s="1856"/>
      <c r="O493" s="1856"/>
      <c r="P493" s="1856"/>
      <c r="Q493" s="1856"/>
      <c r="S493" s="1956"/>
      <c r="T493" s="1956"/>
      <c r="Y493" s="1972" t="s">
        <v>6679</v>
      </c>
      <c r="Z493" s="1857">
        <v>59</v>
      </c>
      <c r="AZ493" s="1972"/>
    </row>
    <row r="494" spans="1:52" s="1875" customFormat="1" ht="14.25" customHeight="1">
      <c r="A494" s="1856"/>
      <c r="B494" s="1858" t="s">
        <v>2116</v>
      </c>
      <c r="C494" s="1856"/>
      <c r="D494" s="1856"/>
      <c r="E494" s="1856"/>
      <c r="F494" s="1856"/>
      <c r="G494" s="1856"/>
      <c r="I494" s="1980">
        <f>SUM(I474:J479)+SUM(I483:J493)</f>
        <v>11756729</v>
      </c>
      <c r="J494" s="1980"/>
      <c r="K494" s="1856"/>
      <c r="L494" s="1857"/>
      <c r="M494" s="1856"/>
      <c r="N494" s="1856"/>
      <c r="O494" s="1856"/>
      <c r="P494" s="1856"/>
      <c r="Q494" s="1856"/>
      <c r="S494" s="1956"/>
      <c r="T494" s="1956"/>
      <c r="Y494" s="1972"/>
      <c r="Z494" s="1868">
        <v>60</v>
      </c>
      <c r="AZ494" s="1972"/>
    </row>
    <row r="495" spans="1:52" s="1875" customFormat="1" ht="14.25" customHeight="1">
      <c r="A495" s="1856"/>
      <c r="B495" s="1858" t="s">
        <v>2117</v>
      </c>
      <c r="C495" s="1856"/>
      <c r="D495" s="1856"/>
      <c r="E495" s="1856"/>
      <c r="F495" s="1856"/>
      <c r="G495" s="1856"/>
      <c r="I495" s="1980">
        <f>'Part IV-A-Uses of Funds'!$G$146</f>
        <v>11756729</v>
      </c>
      <c r="J495" s="1980"/>
      <c r="K495" s="1856"/>
      <c r="L495" s="1857"/>
      <c r="M495" s="1856"/>
      <c r="N495" s="1856"/>
      <c r="O495" s="1856"/>
      <c r="P495" s="1856"/>
      <c r="Q495" s="1856"/>
      <c r="S495" s="1956"/>
      <c r="T495" s="1956"/>
      <c r="Y495" s="1972"/>
      <c r="Z495" s="1857">
        <v>61</v>
      </c>
      <c r="AZ495" s="1972"/>
    </row>
    <row r="496" spans="1:52" s="1875" customFormat="1" ht="14.25" customHeight="1">
      <c r="A496" s="1856"/>
      <c r="B496" s="1858" t="s">
        <v>1464</v>
      </c>
      <c r="C496" s="1856"/>
      <c r="D496" s="1856"/>
      <c r="E496" s="1856"/>
      <c r="F496" s="1856"/>
      <c r="G496" s="1856"/>
      <c r="I496" s="1982">
        <f>I494-I495</f>
        <v>0</v>
      </c>
      <c r="J496" s="1982"/>
      <c r="K496" s="1856"/>
      <c r="L496" s="1857"/>
      <c r="M496" s="1856"/>
      <c r="N496" s="1856"/>
      <c r="O496" s="1856"/>
      <c r="P496" s="1856"/>
      <c r="Q496" s="1856"/>
      <c r="S496" s="1956"/>
      <c r="T496" s="1956"/>
      <c r="Y496" s="1972"/>
      <c r="Z496" s="1857">
        <v>62</v>
      </c>
      <c r="AZ496" s="1972"/>
    </row>
    <row r="497" spans="1:53" s="1875" customFormat="1" ht="13.35" customHeight="1">
      <c r="A497" s="1856" t="s">
        <v>4148</v>
      </c>
      <c r="B497" s="1858"/>
      <c r="C497" s="1856"/>
      <c r="D497" s="1856"/>
      <c r="E497" s="1856"/>
      <c r="F497" s="1856"/>
      <c r="G497" s="1856"/>
      <c r="H497" s="1998"/>
      <c r="I497" s="1998"/>
      <c r="J497" s="1865"/>
      <c r="K497" s="1856"/>
      <c r="L497" s="1857"/>
      <c r="M497" s="1856"/>
      <c r="N497" s="1856"/>
      <c r="O497" s="1856"/>
      <c r="P497" s="1856"/>
      <c r="Q497" s="1856"/>
      <c r="R497" s="1856"/>
      <c r="S497" s="1856"/>
      <c r="T497" s="1856"/>
      <c r="Y497" s="1972"/>
      <c r="Z497" s="1857">
        <v>63</v>
      </c>
      <c r="AZ497" s="1925"/>
    </row>
    <row r="498" spans="1:53" s="1973" customFormat="1" ht="6" customHeight="1">
      <c r="A498" s="1865"/>
      <c r="B498" s="1865"/>
      <c r="C498" s="1865"/>
      <c r="D498" s="1865"/>
      <c r="E498" s="1865"/>
      <c r="F498" s="1865"/>
      <c r="G498" s="1865"/>
      <c r="H498" s="1865"/>
      <c r="I498" s="1865"/>
      <c r="J498" s="1865"/>
      <c r="K498" s="1865"/>
      <c r="L498" s="1865"/>
      <c r="M498" s="1865"/>
      <c r="N498" s="1865"/>
      <c r="O498" s="1865"/>
      <c r="P498" s="1865"/>
      <c r="Q498" s="1865"/>
      <c r="Y498" s="1925"/>
      <c r="Z498" s="1857">
        <v>64</v>
      </c>
      <c r="AZ498" s="1925"/>
    </row>
    <row r="499" spans="1:53" s="1973" customFormat="1" ht="12" customHeight="1">
      <c r="A499" s="1856" t="s">
        <v>1711</v>
      </c>
      <c r="B499" s="1856" t="s">
        <v>543</v>
      </c>
      <c r="C499" s="1865"/>
      <c r="D499" s="1865"/>
      <c r="E499" s="1865"/>
      <c r="F499" s="1865"/>
      <c r="G499" s="1865"/>
      <c r="H499" s="1865"/>
      <c r="I499" s="1865"/>
      <c r="J499" s="1865"/>
      <c r="M499" s="1856" t="s">
        <v>1711</v>
      </c>
      <c r="N499" s="1856" t="s">
        <v>74</v>
      </c>
      <c r="O499" s="1865"/>
      <c r="P499" s="1865"/>
      <c r="Q499" s="1865"/>
      <c r="Y499" s="1925"/>
      <c r="Z499" s="1857">
        <v>65</v>
      </c>
      <c r="AZ499" s="1999"/>
    </row>
    <row r="500" spans="1:53" s="1973" customFormat="1" ht="111.75" customHeight="1">
      <c r="A500" s="1956" t="str">
        <f>'Part III-Sources of Funds'!A66</f>
        <v xml:space="preserve">All sources and uses are verifiable. Commitments for the above listed financing are located in Tab 01: Feasibility. Please note that there will be no shortfall of funding during construction.
Interst rates: adjusts with published 30-day LIBOR plus 325bps for the Construction Loan and Bridge Loan. 30-day LIBOR will have a floor of 75bps. Term loan will have a fixed rate of 5.25%. For the construction loan interest rate we are assuming a LIRBOR Alternative (as noted in Synovus’s letter) of 10 Yr Treasury + 325 bps spread, currently underwriting at 6% due to rising interest rate environment and floating rate nature of the loans. We have included a construction interst rate chart that justifies the amount used in our sources of funds. </v>
      </c>
      <c r="B500" s="1956"/>
      <c r="C500" s="1956"/>
      <c r="D500" s="1956"/>
      <c r="E500" s="1956"/>
      <c r="F500" s="1956"/>
      <c r="G500" s="1956"/>
      <c r="H500" s="1956"/>
      <c r="I500" s="1956"/>
      <c r="J500" s="1956"/>
      <c r="K500" s="1956"/>
      <c r="L500" s="1956"/>
      <c r="M500" s="1956"/>
      <c r="N500" s="1956"/>
      <c r="O500" s="1956"/>
      <c r="P500" s="1956"/>
      <c r="Q500" s="1956"/>
      <c r="S500" s="1855" t="s">
        <v>2543</v>
      </c>
      <c r="T500" s="1855"/>
      <c r="U500" s="1855"/>
      <c r="V500" s="1855"/>
      <c r="W500" s="1855"/>
      <c r="Y500" s="1999"/>
      <c r="Z500" s="1857">
        <v>66</v>
      </c>
      <c r="AZ500" s="1999"/>
    </row>
    <row r="505" spans="1:53" s="1856" customFormat="1" ht="13.5" customHeight="1">
      <c r="A505" s="1856" t="str">
        <f>CONCATENATE("PART FOUR (A):  USES OF FUNDS","  -  ",'Part I-Project Information'!$O$7," ",'Part I-Project Information'!$F$35,", ",'Part I-Project Information'!F542,", ",'Part I-Project Information'!J543," County")</f>
        <v>PART FOUR (A):  USES OF FUNDS  -  2021-015 The Peaks at Turnberry, ,  County</v>
      </c>
      <c r="W505" s="1856" t="str">
        <f>A505</f>
        <v>PART FOUR (A):  USES OF FUNDS  -  2021-015 The Peaks at Turnberry, ,  County</v>
      </c>
      <c r="AZ505" s="1937"/>
      <c r="BA505" s="1857">
        <v>2</v>
      </c>
    </row>
    <row r="506" spans="1:53" s="1865" customFormat="1" ht="2.25" customHeight="1">
      <c r="AZ506" s="1874"/>
      <c r="BA506" s="1857">
        <v>3</v>
      </c>
    </row>
    <row r="507" spans="1:53" s="1856" customFormat="1" ht="4.5" customHeight="1">
      <c r="AZ507" s="1937"/>
      <c r="BA507" s="1857">
        <v>4</v>
      </c>
    </row>
    <row r="508" spans="1:53" s="1856" customFormat="1" ht="2.1" customHeight="1">
      <c r="A508" s="1857"/>
      <c r="B508" s="1857"/>
      <c r="C508" s="1857"/>
      <c r="D508" s="2000"/>
      <c r="E508" s="2000"/>
      <c r="F508" s="2000"/>
      <c r="G508" s="2000"/>
      <c r="H508" s="2000"/>
      <c r="J508" s="1857"/>
      <c r="K508" s="1857"/>
      <c r="L508" s="1857"/>
      <c r="M508" s="1857"/>
      <c r="N508" s="1857"/>
      <c r="O508" s="1857"/>
      <c r="P508" s="1857"/>
      <c r="Q508" s="1857"/>
      <c r="R508" s="1857"/>
      <c r="S508" s="1857"/>
      <c r="T508" s="1857"/>
      <c r="AZ508" s="1937"/>
      <c r="BA508" s="1857">
        <v>5</v>
      </c>
    </row>
    <row r="509" spans="1:53" s="1856" customFormat="1" ht="19.5" customHeight="1">
      <c r="A509" s="2000" t="s">
        <v>586</v>
      </c>
      <c r="B509" s="2000" t="s">
        <v>866</v>
      </c>
      <c r="D509" s="2001" t="str">
        <f>'Part I-Project Information'!$B$7</f>
        <v>2021 Core App
May 10 Rev</v>
      </c>
      <c r="E509" s="2001"/>
      <c r="F509" s="2001"/>
      <c r="G509" s="2001"/>
      <c r="H509" s="2001"/>
      <c r="I509" s="2000"/>
      <c r="J509" s="1856" t="s">
        <v>260</v>
      </c>
      <c r="L509" s="2002"/>
      <c r="M509" s="2002" t="s">
        <v>468</v>
      </c>
      <c r="N509" s="2002"/>
      <c r="P509" s="1856" t="s">
        <v>261</v>
      </c>
      <c r="S509" s="1856" t="s">
        <v>262</v>
      </c>
      <c r="V509" s="2003" t="str">
        <f>B509</f>
        <v>DEVELOPMENT BUDGET</v>
      </c>
      <c r="AZ509" s="1937"/>
      <c r="BA509" s="1857">
        <v>6</v>
      </c>
    </row>
    <row r="510" spans="1:53" s="1856" customFormat="1" ht="19.5" customHeight="1">
      <c r="D510" s="2001"/>
      <c r="E510" s="2001"/>
      <c r="F510" s="2001"/>
      <c r="G510" s="1856" t="s">
        <v>94</v>
      </c>
      <c r="L510" s="2002"/>
      <c r="M510" s="2002"/>
      <c r="N510" s="2002"/>
      <c r="V510" s="1865" t="s">
        <v>2538</v>
      </c>
      <c r="X510" s="1865"/>
      <c r="AZ510" s="1937"/>
      <c r="BA510" s="1857">
        <v>7</v>
      </c>
    </row>
    <row r="511" spans="1:53" s="1856" customFormat="1" ht="12" customHeight="1">
      <c r="B511" s="1856" t="s">
        <v>95</v>
      </c>
      <c r="O511" s="1857" t="str">
        <f>B511</f>
        <v>PRE-DEVELOPMENT COSTS</v>
      </c>
      <c r="W511" s="1856" t="str">
        <f>B511</f>
        <v>PRE-DEVELOPMENT COSTS</v>
      </c>
      <c r="AZ511" s="1937"/>
      <c r="BA511" s="1857">
        <v>8</v>
      </c>
    </row>
    <row r="512" spans="1:53" s="1856" customFormat="1" ht="11.25" customHeight="1">
      <c r="B512" s="1856" t="s">
        <v>1911</v>
      </c>
      <c r="G512" s="1871">
        <f>'Part IV-A-Uses of Funds'!G9</f>
        <v>8500</v>
      </c>
      <c r="H512" s="1871"/>
      <c r="J512" s="1871">
        <f>'Part IV-A-Uses of Funds'!J9</f>
        <v>8500</v>
      </c>
      <c r="K512" s="1871"/>
      <c r="L512" s="1889"/>
      <c r="M512" s="1871">
        <f>'Part IV-A-Uses of Funds'!M9</f>
        <v>0</v>
      </c>
      <c r="N512" s="1871"/>
      <c r="P512" s="1871">
        <f>'Part IV-A-Uses of Funds'!P9</f>
        <v>0</v>
      </c>
      <c r="Q512" s="1871"/>
      <c r="S512" s="1871">
        <f>'Part IV-A-Uses of Funds'!S9</f>
        <v>0</v>
      </c>
      <c r="T512" s="1871"/>
      <c r="V512" s="2004"/>
      <c r="W512" s="2005"/>
      <c r="X512" s="2005"/>
      <c r="AZ512" s="1937"/>
      <c r="BA512" s="1857">
        <v>9</v>
      </c>
    </row>
    <row r="513" spans="1:53" s="1856" customFormat="1" ht="11.25" customHeight="1">
      <c r="B513" s="1856" t="s">
        <v>437</v>
      </c>
      <c r="G513" s="1871">
        <f>'Part IV-A-Uses of Funds'!G10</f>
        <v>10500</v>
      </c>
      <c r="H513" s="1871"/>
      <c r="J513" s="1871">
        <f>'Part IV-A-Uses of Funds'!J10</f>
        <v>10500</v>
      </c>
      <c r="K513" s="1871"/>
      <c r="L513" s="1889"/>
      <c r="M513" s="1871">
        <f>'Part IV-A-Uses of Funds'!M10</f>
        <v>0</v>
      </c>
      <c r="N513" s="1871"/>
      <c r="P513" s="1871">
        <f>'Part IV-A-Uses of Funds'!P10</f>
        <v>0</v>
      </c>
      <c r="Q513" s="1871"/>
      <c r="S513" s="1871">
        <f>'Part IV-A-Uses of Funds'!S10</f>
        <v>0</v>
      </c>
      <c r="T513" s="1871"/>
      <c r="V513" s="2004"/>
      <c r="W513" s="2005"/>
      <c r="X513" s="2005"/>
      <c r="AZ513" s="1937"/>
      <c r="BA513" s="1868">
        <v>10</v>
      </c>
    </row>
    <row r="514" spans="1:53" s="1856" customFormat="1" ht="11.25" customHeight="1">
      <c r="B514" s="1856" t="s">
        <v>466</v>
      </c>
      <c r="G514" s="1871">
        <f>'Part IV-A-Uses of Funds'!G11</f>
        <v>15000</v>
      </c>
      <c r="H514" s="1871"/>
      <c r="J514" s="1871">
        <f>'Part IV-A-Uses of Funds'!J11</f>
        <v>15000</v>
      </c>
      <c r="K514" s="1871"/>
      <c r="L514" s="1889"/>
      <c r="M514" s="1871">
        <f>'Part IV-A-Uses of Funds'!M11</f>
        <v>0</v>
      </c>
      <c r="N514" s="1871"/>
      <c r="P514" s="1871">
        <f>'Part IV-A-Uses of Funds'!P11</f>
        <v>0</v>
      </c>
      <c r="Q514" s="1871"/>
      <c r="S514" s="1871">
        <f>'Part IV-A-Uses of Funds'!S11</f>
        <v>0</v>
      </c>
      <c r="T514" s="1871"/>
      <c r="V514" s="2004"/>
      <c r="W514" s="2005"/>
      <c r="X514" s="2005"/>
      <c r="AZ514" s="1937"/>
      <c r="BA514" s="1857">
        <v>11</v>
      </c>
    </row>
    <row r="515" spans="1:53" s="1856" customFormat="1" ht="11.25" customHeight="1">
      <c r="B515" s="1856" t="s">
        <v>467</v>
      </c>
      <c r="G515" s="1871">
        <f>'Part IV-A-Uses of Funds'!G12</f>
        <v>10000</v>
      </c>
      <c r="H515" s="1871"/>
      <c r="J515" s="1871">
        <f>'Part IV-A-Uses of Funds'!J12</f>
        <v>10000</v>
      </c>
      <c r="K515" s="1871"/>
      <c r="L515" s="1889"/>
      <c r="M515" s="1871">
        <f>'Part IV-A-Uses of Funds'!M12</f>
        <v>0</v>
      </c>
      <c r="N515" s="1871"/>
      <c r="P515" s="1871">
        <f>'Part IV-A-Uses of Funds'!P12</f>
        <v>0</v>
      </c>
      <c r="Q515" s="1871"/>
      <c r="S515" s="1871">
        <f>'Part IV-A-Uses of Funds'!S12</f>
        <v>0</v>
      </c>
      <c r="T515" s="1871"/>
      <c r="V515" s="2004"/>
      <c r="W515" s="2005"/>
      <c r="X515" s="2005"/>
      <c r="AZ515" s="1937"/>
      <c r="BA515" s="1857">
        <v>12</v>
      </c>
    </row>
    <row r="516" spans="1:53" s="1856" customFormat="1" ht="11.25" customHeight="1">
      <c r="B516" s="1856" t="s">
        <v>2386</v>
      </c>
      <c r="G516" s="1871">
        <f>'Part IV-A-Uses of Funds'!G13</f>
        <v>14000</v>
      </c>
      <c r="H516" s="1871"/>
      <c r="J516" s="1871">
        <f>'Part IV-A-Uses of Funds'!J13</f>
        <v>14000</v>
      </c>
      <c r="K516" s="1871"/>
      <c r="L516" s="1889"/>
      <c r="M516" s="1871">
        <f>'Part IV-A-Uses of Funds'!M13</f>
        <v>0</v>
      </c>
      <c r="N516" s="1871"/>
      <c r="P516" s="1871">
        <f>'Part IV-A-Uses of Funds'!P13</f>
        <v>0</v>
      </c>
      <c r="Q516" s="1871"/>
      <c r="S516" s="1871">
        <f>'Part IV-A-Uses of Funds'!S13</f>
        <v>0</v>
      </c>
      <c r="T516" s="1871"/>
      <c r="V516" s="2004"/>
      <c r="W516" s="2005"/>
      <c r="X516" s="2005"/>
      <c r="AZ516" s="1937"/>
      <c r="BA516" s="1857">
        <v>13</v>
      </c>
    </row>
    <row r="517" spans="1:53" s="1856" customFormat="1" ht="11.25" customHeight="1">
      <c r="B517" s="1856" t="s">
        <v>182</v>
      </c>
      <c r="G517" s="1871">
        <f>'Part IV-A-Uses of Funds'!G14</f>
        <v>4700</v>
      </c>
      <c r="H517" s="1871"/>
      <c r="J517" s="1871">
        <f>'Part IV-A-Uses of Funds'!J14</f>
        <v>4700</v>
      </c>
      <c r="K517" s="1871"/>
      <c r="L517" s="1889"/>
      <c r="M517" s="1871">
        <f>'Part IV-A-Uses of Funds'!M14</f>
        <v>0</v>
      </c>
      <c r="N517" s="1871"/>
      <c r="P517" s="1871">
        <f>'Part IV-A-Uses of Funds'!P14</f>
        <v>0</v>
      </c>
      <c r="Q517" s="1871"/>
      <c r="S517" s="1871">
        <f>'Part IV-A-Uses of Funds'!S14</f>
        <v>0</v>
      </c>
      <c r="T517" s="1871"/>
      <c r="V517" s="2004"/>
      <c r="W517" s="2005"/>
      <c r="X517" s="2005"/>
      <c r="AZ517" s="1937"/>
      <c r="BA517" s="1857">
        <v>14</v>
      </c>
    </row>
    <row r="518" spans="1:53" s="1856" customFormat="1" ht="11.25" customHeight="1">
      <c r="A518" s="2006" t="str">
        <f>IF(AND(G518&gt;0,OR(C518="",C518="&lt;Enter detailed description here; use Comments section if needed&gt;")),"X","")</f>
        <v/>
      </c>
      <c r="B518" s="1864" t="s">
        <v>6579</v>
      </c>
      <c r="C518" s="1869" t="str">
        <f>'Part IV-A-Uses of Funds'!C15</f>
        <v>&lt;&lt; Enter description here; provide detail &amp; justification in tab Part IV-b &gt;&gt;</v>
      </c>
      <c r="D518" s="1869"/>
      <c r="E518" s="1869"/>
      <c r="F518" s="1869"/>
      <c r="G518" s="1871">
        <f>'Part IV-A-Uses of Funds'!G15</f>
        <v>0</v>
      </c>
      <c r="H518" s="1871"/>
      <c r="J518" s="1871">
        <f>'Part IV-A-Uses of Funds'!J15</f>
        <v>0</v>
      </c>
      <c r="K518" s="1871"/>
      <c r="L518" s="1889"/>
      <c r="M518" s="1871">
        <f>'Part IV-A-Uses of Funds'!M15</f>
        <v>0</v>
      </c>
      <c r="N518" s="1871"/>
      <c r="P518" s="1871">
        <f>'Part IV-A-Uses of Funds'!P15</f>
        <v>0</v>
      </c>
      <c r="Q518" s="1871"/>
      <c r="S518" s="1871">
        <f>'Part IV-A-Uses of Funds'!S15</f>
        <v>0</v>
      </c>
      <c r="T518" s="1871"/>
      <c r="U518" s="1858" t="str">
        <f>IF(AND(G518&gt;0,OR(C518="",C518="&lt;Enter detailed description here; use Comments section if needed&gt;")),"NO DESCRIPTION PROVIDED - please enter detailed description in Other box at left; use Comments section below if needed.","")</f>
        <v/>
      </c>
      <c r="V518" s="2004"/>
      <c r="W518" s="2005"/>
      <c r="X518" s="2005"/>
      <c r="AZ518" s="1937" t="s">
        <v>6680</v>
      </c>
      <c r="BA518" s="1857">
        <v>15</v>
      </c>
    </row>
    <row r="519" spans="1:53" s="1856" customFormat="1" ht="11.25" customHeight="1">
      <c r="A519" s="2006" t="str">
        <f>IF(AND(G519&gt;0,OR(C519="",C519="&lt;Enter detailed description here; use Comments section if needed&gt;")),"X","")</f>
        <v/>
      </c>
      <c r="B519" s="1864" t="s">
        <v>6580</v>
      </c>
      <c r="C519" s="1869" t="str">
        <f>'Part IV-A-Uses of Funds'!C16</f>
        <v>&lt;&lt; Enter description here; provide detail &amp; justification in tab Part IV-b &gt;&gt;</v>
      </c>
      <c r="D519" s="1869"/>
      <c r="E519" s="1869"/>
      <c r="F519" s="1869"/>
      <c r="G519" s="1871">
        <f>'Part IV-A-Uses of Funds'!G16</f>
        <v>0</v>
      </c>
      <c r="H519" s="1871"/>
      <c r="J519" s="1871">
        <f>'Part IV-A-Uses of Funds'!J16</f>
        <v>0</v>
      </c>
      <c r="K519" s="1871"/>
      <c r="L519" s="1889"/>
      <c r="M519" s="1871">
        <f>'Part IV-A-Uses of Funds'!M16</f>
        <v>0</v>
      </c>
      <c r="N519" s="1871"/>
      <c r="P519" s="1871">
        <f>'Part IV-A-Uses of Funds'!P16</f>
        <v>0</v>
      </c>
      <c r="Q519" s="1871"/>
      <c r="S519" s="1871">
        <f>'Part IV-A-Uses of Funds'!S16</f>
        <v>0</v>
      </c>
      <c r="T519" s="1871"/>
      <c r="U519" s="1858" t="str">
        <f>IF(AND(G519&gt;0,OR(C519="",C519="&lt;Enter detailed description here; use Comments section if needed&gt;")),"NO DESCRIPTION PROVIDED - please enter detailed description in Other box at left; use Comments section below if needed.","")</f>
        <v/>
      </c>
      <c r="V519" s="2004"/>
      <c r="W519" s="2005"/>
      <c r="X519" s="2005"/>
      <c r="AZ519" s="1937" t="s">
        <v>6681</v>
      </c>
      <c r="BA519" s="1857">
        <v>16</v>
      </c>
    </row>
    <row r="520" spans="1:53" s="1856" customFormat="1" ht="11.25" customHeight="1">
      <c r="A520" s="2006" t="str">
        <f>IF(AND(G520&gt;0,OR(C520="",C520="&lt;Enter detailed description here; use Comments section if needed&gt;")),"X","")</f>
        <v/>
      </c>
      <c r="B520" s="1864" t="s">
        <v>6581</v>
      </c>
      <c r="C520" s="1869" t="str">
        <f>'Part IV-A-Uses of Funds'!C17</f>
        <v>&lt;&lt; Enter description here; provide detail &amp; justification in tab Part IV-b &gt;&gt;</v>
      </c>
      <c r="D520" s="1869"/>
      <c r="E520" s="1869"/>
      <c r="F520" s="1869"/>
      <c r="G520" s="1871">
        <f>'Part IV-A-Uses of Funds'!G17</f>
        <v>0</v>
      </c>
      <c r="H520" s="1871"/>
      <c r="J520" s="1871">
        <f>'Part IV-A-Uses of Funds'!J17</f>
        <v>0</v>
      </c>
      <c r="K520" s="1871"/>
      <c r="L520" s="1889"/>
      <c r="M520" s="1871">
        <f>'Part IV-A-Uses of Funds'!M17</f>
        <v>0</v>
      </c>
      <c r="N520" s="1871"/>
      <c r="P520" s="1871">
        <f>'Part IV-A-Uses of Funds'!P17</f>
        <v>0</v>
      </c>
      <c r="Q520" s="1871"/>
      <c r="S520" s="1871">
        <f>'Part IV-A-Uses of Funds'!S17</f>
        <v>0</v>
      </c>
      <c r="T520" s="1871"/>
      <c r="U520" s="1858" t="str">
        <f>IF(AND(G520&gt;0,OR(C520="",C520="&lt;Enter detailed description here; use Comments section if needed&gt;")),"NO DESCRIPTION PROVIDED - please enter detailed description in Other box at left; use Comments section below if needed.","")</f>
        <v/>
      </c>
      <c r="V520" s="2004"/>
      <c r="W520" s="2005"/>
      <c r="X520" s="2005"/>
      <c r="AZ520" s="1937" t="s">
        <v>6682</v>
      </c>
      <c r="BA520" s="1857">
        <v>17</v>
      </c>
    </row>
    <row r="521" spans="1:53" s="1856" customFormat="1" ht="12.6" customHeight="1">
      <c r="F521" s="2007" t="s">
        <v>183</v>
      </c>
      <c r="G521" s="2002">
        <f>SUM(G512:G520)</f>
        <v>62700</v>
      </c>
      <c r="H521" s="2002"/>
      <c r="J521" s="2002">
        <f>SUM(J512:J520)</f>
        <v>62700</v>
      </c>
      <c r="K521" s="2002"/>
      <c r="L521" s="1889"/>
      <c r="M521" s="2002">
        <f>SUM(M512:M520)</f>
        <v>0</v>
      </c>
      <c r="N521" s="2002"/>
      <c r="P521" s="2002">
        <f>SUM(P512:P520)</f>
        <v>0</v>
      </c>
      <c r="Q521" s="2002"/>
      <c r="S521" s="2002">
        <f>SUM(S512:S520)</f>
        <v>0</v>
      </c>
      <c r="T521" s="2002"/>
      <c r="V521" s="2004">
        <f>SUM(V512:V520)</f>
        <v>0</v>
      </c>
      <c r="W521" s="2005"/>
      <c r="X521" s="2005"/>
      <c r="AZ521" s="1937" t="s">
        <v>6683</v>
      </c>
      <c r="BA521" s="1857">
        <v>18</v>
      </c>
    </row>
    <row r="522" spans="1:53" s="1856" customFormat="1" ht="12" customHeight="1">
      <c r="B522" s="1856" t="s">
        <v>2103</v>
      </c>
      <c r="J522" s="2002"/>
      <c r="K522" s="2002"/>
      <c r="M522" s="2002"/>
      <c r="N522" s="2002"/>
      <c r="O522" s="1889" t="str">
        <f>B522</f>
        <v>ACQUISITION</v>
      </c>
      <c r="P522" s="2002"/>
      <c r="Q522" s="2002"/>
      <c r="S522" s="2002"/>
      <c r="T522" s="2002"/>
      <c r="V522" s="2008"/>
      <c r="W522" s="1856" t="str">
        <f>B522</f>
        <v>ACQUISITION</v>
      </c>
      <c r="AZ522" s="1937"/>
      <c r="BA522" s="1868">
        <v>19</v>
      </c>
    </row>
    <row r="523" spans="1:53" s="1856" customFormat="1" ht="11.25" customHeight="1">
      <c r="B523" s="1856" t="s">
        <v>2104</v>
      </c>
      <c r="E523" s="2009" t="s">
        <v>3354</v>
      </c>
      <c r="F523" s="2010">
        <f>IF('Part I-Project Information'!$O$38="","",G523/'Part I-Project Information'!$O$38)</f>
        <v>36764.705882352944</v>
      </c>
      <c r="G523" s="1871">
        <f>'Part IV-A-Uses of Funds'!G20</f>
        <v>650000</v>
      </c>
      <c r="H523" s="1871"/>
      <c r="J523" s="1889"/>
      <c r="K523" s="2002"/>
      <c r="L523" s="1889"/>
      <c r="M523" s="1889"/>
      <c r="N523" s="2002"/>
      <c r="P523" s="1889"/>
      <c r="Q523" s="2002"/>
      <c r="S523" s="1871">
        <f>'Part IV-A-Uses of Funds'!S20</f>
        <v>650000</v>
      </c>
      <c r="T523" s="1871"/>
      <c r="V523" s="2004"/>
      <c r="W523" s="2005"/>
      <c r="X523" s="2005"/>
      <c r="AZ523" s="1937"/>
      <c r="BA523" s="1857">
        <v>20</v>
      </c>
    </row>
    <row r="524" spans="1:53" s="1856" customFormat="1" ht="11.25" customHeight="1">
      <c r="B524" s="1856" t="s">
        <v>1079</v>
      </c>
      <c r="G524" s="1871">
        <f>'Part IV-A-Uses of Funds'!G21</f>
        <v>0</v>
      </c>
      <c r="H524" s="1871"/>
      <c r="J524" s="1889"/>
      <c r="K524" s="2002"/>
      <c r="L524" s="1889"/>
      <c r="M524" s="1889"/>
      <c r="N524" s="2002"/>
      <c r="P524" s="1889"/>
      <c r="Q524" s="2002"/>
      <c r="S524" s="1871">
        <f>'Part IV-A-Uses of Funds'!S21</f>
        <v>0</v>
      </c>
      <c r="T524" s="1871"/>
      <c r="V524" s="2004"/>
      <c r="W524" s="2005"/>
      <c r="X524" s="2005"/>
      <c r="AZ524" s="1937"/>
      <c r="BA524" s="1857">
        <v>21</v>
      </c>
    </row>
    <row r="525" spans="1:53" s="1856" customFormat="1" ht="11.25" customHeight="1">
      <c r="B525" s="1856" t="s">
        <v>438</v>
      </c>
      <c r="G525" s="1871">
        <f>'Part IV-A-Uses of Funds'!G22</f>
        <v>0</v>
      </c>
      <c r="H525" s="1871"/>
      <c r="J525" s="1889"/>
      <c r="K525" s="2002"/>
      <c r="L525" s="1889"/>
      <c r="M525" s="1871">
        <f>'Part IV-A-Uses of Funds'!M22</f>
        <v>0</v>
      </c>
      <c r="N525" s="1871"/>
      <c r="P525" s="1889"/>
      <c r="Q525" s="2002"/>
      <c r="S525" s="1871">
        <f>'Part IV-A-Uses of Funds'!S22</f>
        <v>0</v>
      </c>
      <c r="T525" s="1871"/>
      <c r="V525" s="2004"/>
      <c r="W525" s="2005"/>
      <c r="X525" s="2005"/>
      <c r="AZ525" s="1937"/>
      <c r="BA525" s="1857">
        <v>22</v>
      </c>
    </row>
    <row r="526" spans="1:53" s="1856" customFormat="1" ht="11.25" customHeight="1">
      <c r="B526" s="1856" t="s">
        <v>411</v>
      </c>
      <c r="G526" s="1871">
        <f>'Part IV-A-Uses of Funds'!G23</f>
        <v>0</v>
      </c>
      <c r="H526" s="1871"/>
      <c r="J526" s="1889"/>
      <c r="K526" s="2002"/>
      <c r="L526" s="1889"/>
      <c r="M526" s="1871">
        <f>'Part IV-A-Uses of Funds'!M23</f>
        <v>0</v>
      </c>
      <c r="N526" s="1871"/>
      <c r="P526" s="1889"/>
      <c r="Q526" s="2002"/>
      <c r="S526" s="1871">
        <f>'Part IV-A-Uses of Funds'!S23</f>
        <v>0</v>
      </c>
      <c r="T526" s="1871"/>
      <c r="V526" s="2004"/>
      <c r="W526" s="2005"/>
      <c r="X526" s="2005"/>
      <c r="AZ526" s="1937"/>
      <c r="BA526" s="1857">
        <v>23</v>
      </c>
    </row>
    <row r="527" spans="1:53" s="1856" customFormat="1" ht="12.6" customHeight="1">
      <c r="F527" s="2007" t="s">
        <v>183</v>
      </c>
      <c r="G527" s="2002">
        <f>SUM(G523:G526)</f>
        <v>650000</v>
      </c>
      <c r="H527" s="2002"/>
      <c r="J527" s="1889"/>
      <c r="K527" s="2002"/>
      <c r="L527" s="1889"/>
      <c r="M527" s="2002">
        <f>SUM(M525:M526)</f>
        <v>0</v>
      </c>
      <c r="N527" s="2002"/>
      <c r="P527" s="1889"/>
      <c r="Q527" s="2002"/>
      <c r="S527" s="2002">
        <f>SUM(S523:S526)</f>
        <v>650000</v>
      </c>
      <c r="T527" s="2002"/>
      <c r="V527" s="2004">
        <f>SUM(V523:V526)</f>
        <v>0</v>
      </c>
      <c r="W527" s="2005"/>
      <c r="X527" s="2005"/>
      <c r="AZ527" s="1937" t="s">
        <v>6684</v>
      </c>
      <c r="BA527" s="1857">
        <v>24</v>
      </c>
    </row>
    <row r="528" spans="1:53" s="1856" customFormat="1" ht="12" customHeight="1">
      <c r="B528" s="1856" t="s">
        <v>1080</v>
      </c>
      <c r="J528" s="1889"/>
      <c r="K528" s="2002"/>
      <c r="M528" s="1889"/>
      <c r="N528" s="2002"/>
      <c r="O528" s="1889" t="str">
        <f>B528</f>
        <v>LAND IMPROVEMENTS</v>
      </c>
      <c r="P528" s="1889"/>
      <c r="Q528" s="2002"/>
      <c r="S528" s="1889"/>
      <c r="T528" s="2002"/>
      <c r="V528" s="2008"/>
      <c r="W528" s="1856" t="str">
        <f>B528</f>
        <v>LAND IMPROVEMENTS</v>
      </c>
      <c r="AZ528" s="1937"/>
      <c r="BA528" s="1857">
        <v>25</v>
      </c>
    </row>
    <row r="529" spans="2:53" s="1856" customFormat="1" ht="11.25" customHeight="1">
      <c r="B529" s="1856" t="s">
        <v>1081</v>
      </c>
      <c r="E529" s="2009" t="s">
        <v>3354</v>
      </c>
      <c r="F529" s="2010">
        <f>IF('Part I-Project Information'!$O$38="","",G529/'Part I-Project Information'!$O$38)</f>
        <v>117251.13122171946</v>
      </c>
      <c r="G529" s="1871">
        <f>'Part IV-A-Uses of Funds'!G26</f>
        <v>2073000</v>
      </c>
      <c r="H529" s="1871"/>
      <c r="J529" s="1871">
        <f>'Part IV-A-Uses of Funds'!J26</f>
        <v>2073000</v>
      </c>
      <c r="K529" s="1871"/>
      <c r="L529" s="1889"/>
      <c r="M529" s="1871">
        <f>'Part IV-A-Uses of Funds'!M26</f>
        <v>0</v>
      </c>
      <c r="N529" s="1871"/>
      <c r="P529" s="1871">
        <f>'Part IV-A-Uses of Funds'!P26</f>
        <v>0</v>
      </c>
      <c r="Q529" s="1871"/>
      <c r="S529" s="1871">
        <f>'Part IV-A-Uses of Funds'!S26</f>
        <v>0</v>
      </c>
      <c r="T529" s="1871"/>
      <c r="V529" s="2004"/>
      <c r="W529" s="2005"/>
      <c r="X529" s="2005"/>
      <c r="AZ529" s="1937"/>
      <c r="BA529" s="1868">
        <v>26</v>
      </c>
    </row>
    <row r="530" spans="2:53" s="1856" customFormat="1" ht="11.25" customHeight="1">
      <c r="B530" s="1856" t="s">
        <v>1082</v>
      </c>
      <c r="G530" s="1871">
        <f>'Part IV-A-Uses of Funds'!G27</f>
        <v>0</v>
      </c>
      <c r="H530" s="1871"/>
      <c r="J530" s="1871">
        <f>'Part IV-A-Uses of Funds'!J27</f>
        <v>0</v>
      </c>
      <c r="K530" s="1871"/>
      <c r="L530" s="2011"/>
      <c r="M530" s="2002"/>
      <c r="N530" s="2002"/>
      <c r="P530" s="2002"/>
      <c r="Q530" s="2002"/>
      <c r="S530" s="1871">
        <f>'Part IV-A-Uses of Funds'!S27</f>
        <v>0</v>
      </c>
      <c r="T530" s="1871"/>
      <c r="V530" s="2004"/>
      <c r="W530" s="2005"/>
      <c r="X530" s="2005"/>
      <c r="AZ530" s="1937"/>
      <c r="BA530" s="1857">
        <v>27</v>
      </c>
    </row>
    <row r="531" spans="2:53" s="1856" customFormat="1" ht="12.6" customHeight="1">
      <c r="F531" s="2007" t="s">
        <v>183</v>
      </c>
      <c r="G531" s="2002">
        <f>SUM(G529:G530)</f>
        <v>2073000</v>
      </c>
      <c r="H531" s="2002"/>
      <c r="J531" s="2002">
        <f>SUM(J529:J530)</f>
        <v>2073000</v>
      </c>
      <c r="K531" s="2002"/>
      <c r="L531" s="1889"/>
      <c r="M531" s="2002">
        <f>M529</f>
        <v>0</v>
      </c>
      <c r="N531" s="2002"/>
      <c r="P531" s="2002">
        <f>P529</f>
        <v>0</v>
      </c>
      <c r="Q531" s="2002"/>
      <c r="S531" s="2002">
        <f>SUM(S529:S530)</f>
        <v>0</v>
      </c>
      <c r="T531" s="2002"/>
      <c r="V531" s="2004">
        <f>SUM(V529:V530)</f>
        <v>0</v>
      </c>
      <c r="W531" s="2005"/>
      <c r="X531" s="2005"/>
      <c r="AZ531" s="1937" t="s">
        <v>6685</v>
      </c>
      <c r="BA531" s="1857">
        <v>28</v>
      </c>
    </row>
    <row r="532" spans="2:53" s="1856" customFormat="1" ht="12" customHeight="1">
      <c r="B532" s="1856" t="s">
        <v>1083</v>
      </c>
      <c r="J532" s="1889"/>
      <c r="K532" s="2002"/>
      <c r="M532" s="1889"/>
      <c r="N532" s="2002"/>
      <c r="O532" s="1889" t="str">
        <f>B532</f>
        <v>STRUCTURES</v>
      </c>
      <c r="P532" s="1889"/>
      <c r="Q532" s="2002"/>
      <c r="S532" s="1889"/>
      <c r="T532" s="2002"/>
      <c r="V532" s="2008"/>
      <c r="W532" s="1856" t="str">
        <f>B532</f>
        <v>STRUCTURES</v>
      </c>
      <c r="AZ532" s="1937"/>
      <c r="BA532" s="1857">
        <v>29</v>
      </c>
    </row>
    <row r="533" spans="2:53" s="1856" customFormat="1" ht="11.25" customHeight="1">
      <c r="B533" s="1856" t="s">
        <v>1084</v>
      </c>
      <c r="G533" s="1871">
        <f>'Part IV-A-Uses of Funds'!G30</f>
        <v>4650700</v>
      </c>
      <c r="H533" s="1871"/>
      <c r="J533" s="1871">
        <f>'Part IV-A-Uses of Funds'!J30</f>
        <v>4650700</v>
      </c>
      <c r="K533" s="1871"/>
      <c r="L533" s="1889"/>
      <c r="M533" s="1871">
        <f>'Part IV-A-Uses of Funds'!M30</f>
        <v>0</v>
      </c>
      <c r="N533" s="1871"/>
      <c r="P533" s="1871">
        <f>'Part IV-A-Uses of Funds'!P30</f>
        <v>0</v>
      </c>
      <c r="Q533" s="1871"/>
      <c r="S533" s="1871">
        <f>'Part IV-A-Uses of Funds'!S30</f>
        <v>0</v>
      </c>
      <c r="T533" s="1871"/>
      <c r="V533" s="2004"/>
      <c r="W533" s="2005"/>
      <c r="X533" s="2005"/>
      <c r="AZ533" s="1937"/>
      <c r="BA533" s="1857">
        <v>30</v>
      </c>
    </row>
    <row r="534" spans="2:53" s="1856" customFormat="1" ht="11.25" customHeight="1">
      <c r="B534" s="1856" t="s">
        <v>1085</v>
      </c>
      <c r="G534" s="1871">
        <f>'Part IV-A-Uses of Funds'!G31</f>
        <v>0</v>
      </c>
      <c r="H534" s="1871"/>
      <c r="J534" s="1871">
        <f>'Part IV-A-Uses of Funds'!J31</f>
        <v>0</v>
      </c>
      <c r="K534" s="1871"/>
      <c r="L534" s="1889"/>
      <c r="M534" s="1871">
        <f>'Part IV-A-Uses of Funds'!M31</f>
        <v>0</v>
      </c>
      <c r="N534" s="1871"/>
      <c r="P534" s="1871">
        <f>'Part IV-A-Uses of Funds'!P31</f>
        <v>0</v>
      </c>
      <c r="Q534" s="1871"/>
      <c r="S534" s="1871">
        <f>'Part IV-A-Uses of Funds'!S31</f>
        <v>0</v>
      </c>
      <c r="T534" s="1871"/>
      <c r="V534" s="2004"/>
      <c r="W534" s="2005"/>
      <c r="X534" s="2005"/>
      <c r="AZ534" s="1937"/>
      <c r="BA534" s="1857">
        <v>31</v>
      </c>
    </row>
    <row r="535" spans="2:53" s="1856" customFormat="1" ht="11.25" customHeight="1">
      <c r="B535" s="1856" t="s">
        <v>6303</v>
      </c>
      <c r="G535" s="1871">
        <f>'Part IV-A-Uses of Funds'!G32</f>
        <v>125000</v>
      </c>
      <c r="H535" s="1871"/>
      <c r="J535" s="1871">
        <f>'Part IV-A-Uses of Funds'!J32</f>
        <v>125000</v>
      </c>
      <c r="K535" s="1871"/>
      <c r="L535" s="1889"/>
      <c r="M535" s="1871">
        <f>'Part IV-A-Uses of Funds'!M32</f>
        <v>0</v>
      </c>
      <c r="N535" s="1871"/>
      <c r="P535" s="1871">
        <f>'Part IV-A-Uses of Funds'!P32</f>
        <v>0</v>
      </c>
      <c r="Q535" s="1871"/>
      <c r="S535" s="1871">
        <f>'Part IV-A-Uses of Funds'!S32</f>
        <v>0</v>
      </c>
      <c r="T535" s="1871"/>
      <c r="V535" s="2004"/>
      <c r="W535" s="2005"/>
      <c r="X535" s="2005"/>
      <c r="AZ535" s="1937"/>
      <c r="BA535" s="1857">
        <v>32</v>
      </c>
    </row>
    <row r="536" spans="2:53" s="1856" customFormat="1" ht="11.25" customHeight="1">
      <c r="B536" s="1856" t="s">
        <v>6301</v>
      </c>
      <c r="G536" s="1871">
        <f>'Part IV-A-Uses of Funds'!G33</f>
        <v>0</v>
      </c>
      <c r="H536" s="1871"/>
      <c r="J536" s="1871">
        <f>'Part IV-A-Uses of Funds'!J33</f>
        <v>0</v>
      </c>
      <c r="K536" s="1871"/>
      <c r="L536" s="1889"/>
      <c r="M536" s="1871">
        <f>'Part IV-A-Uses of Funds'!M33</f>
        <v>0</v>
      </c>
      <c r="N536" s="1871"/>
      <c r="P536" s="1871">
        <f>'Part IV-A-Uses of Funds'!P33</f>
        <v>0</v>
      </c>
      <c r="Q536" s="1871"/>
      <c r="S536" s="1871">
        <f>'Part IV-A-Uses of Funds'!S33</f>
        <v>0</v>
      </c>
      <c r="T536" s="1871"/>
      <c r="V536" s="2004"/>
      <c r="W536" s="2005"/>
      <c r="X536" s="2005"/>
      <c r="AZ536" s="1937"/>
      <c r="BA536" s="1857">
        <v>33</v>
      </c>
    </row>
    <row r="537" spans="2:53" s="1865" customFormat="1" ht="11.25" customHeight="1">
      <c r="B537" s="1856" t="s">
        <v>2605</v>
      </c>
      <c r="G537" s="1871">
        <f>'Part IV-A-Uses of Funds'!G34</f>
        <v>0</v>
      </c>
      <c r="H537" s="1871"/>
      <c r="I537" s="1856"/>
      <c r="J537" s="1871">
        <f>'Part IV-A-Uses of Funds'!J34</f>
        <v>0</v>
      </c>
      <c r="K537" s="1871"/>
      <c r="L537" s="1889"/>
      <c r="M537" s="1871">
        <f>'Part IV-A-Uses of Funds'!M34</f>
        <v>0</v>
      </c>
      <c r="N537" s="1871"/>
      <c r="O537" s="1856"/>
      <c r="P537" s="1871">
        <f>'Part IV-A-Uses of Funds'!P34</f>
        <v>0</v>
      </c>
      <c r="Q537" s="1871"/>
      <c r="R537" s="1856"/>
      <c r="S537" s="1871">
        <f>'Part IV-A-Uses of Funds'!S34</f>
        <v>0</v>
      </c>
      <c r="T537" s="1871"/>
      <c r="V537" s="2004"/>
      <c r="W537" s="2005"/>
      <c r="X537" s="2005"/>
      <c r="AZ537" s="1874"/>
      <c r="BA537" s="1857">
        <v>34</v>
      </c>
    </row>
    <row r="538" spans="2:53" s="1865" customFormat="1" ht="11.25" customHeight="1">
      <c r="B538" s="1856" t="s">
        <v>6302</v>
      </c>
      <c r="G538" s="1871">
        <f>'Part IV-A-Uses of Funds'!G35</f>
        <v>0</v>
      </c>
      <c r="H538" s="1871"/>
      <c r="I538" s="1856"/>
      <c r="J538" s="1871">
        <f>'Part IV-A-Uses of Funds'!J35</f>
        <v>0</v>
      </c>
      <c r="K538" s="1871"/>
      <c r="L538" s="1889"/>
      <c r="M538" s="1871">
        <f>'Part IV-A-Uses of Funds'!M35</f>
        <v>0</v>
      </c>
      <c r="N538" s="1871"/>
      <c r="O538" s="1856"/>
      <c r="P538" s="1871">
        <f>'Part IV-A-Uses of Funds'!P35</f>
        <v>0</v>
      </c>
      <c r="Q538" s="1871"/>
      <c r="R538" s="1856"/>
      <c r="S538" s="1871">
        <f>'Part IV-A-Uses of Funds'!S35</f>
        <v>0</v>
      </c>
      <c r="T538" s="1871"/>
      <c r="V538" s="2004"/>
      <c r="W538" s="2005"/>
      <c r="X538" s="2005"/>
      <c r="AZ538" s="1874"/>
      <c r="BA538" s="1868">
        <v>35</v>
      </c>
    </row>
    <row r="539" spans="2:53" s="1856" customFormat="1" ht="12.6" customHeight="1">
      <c r="C539" s="2012"/>
      <c r="D539" s="2012"/>
      <c r="E539" s="2013"/>
      <c r="F539" s="2007" t="s">
        <v>183</v>
      </c>
      <c r="G539" s="2002">
        <f>SUM(G533:G538)</f>
        <v>4775700</v>
      </c>
      <c r="H539" s="2002"/>
      <c r="J539" s="2002">
        <f>SUM(J533:J538)</f>
        <v>4775700</v>
      </c>
      <c r="K539" s="2002"/>
      <c r="L539" s="1889"/>
      <c r="M539" s="2002">
        <f>SUM(M533:M538)</f>
        <v>0</v>
      </c>
      <c r="N539" s="2002"/>
      <c r="P539" s="2002">
        <f>SUM(P533:P538)</f>
        <v>0</v>
      </c>
      <c r="Q539" s="2002"/>
      <c r="S539" s="2002">
        <f>SUM(S533:S538)</f>
        <v>0</v>
      </c>
      <c r="T539" s="2002"/>
      <c r="V539" s="2004">
        <f>SUM(V533:V538)</f>
        <v>0</v>
      </c>
      <c r="W539" s="2005"/>
      <c r="X539" s="2005"/>
      <c r="AZ539" s="1937" t="s">
        <v>6686</v>
      </c>
      <c r="BA539" s="1857">
        <v>36</v>
      </c>
    </row>
    <row r="540" spans="2:53" s="1856" customFormat="1" ht="12" customHeight="1">
      <c r="B540" s="1856" t="s">
        <v>2240</v>
      </c>
      <c r="D540" s="1875" t="s">
        <v>3358</v>
      </c>
      <c r="E540" s="1875"/>
      <c r="F540" s="2014">
        <f>SUM(F541:F543)</f>
        <v>0</v>
      </c>
      <c r="G540" s="1864" t="str">
        <f>IF(G541&gt;E541,"Proposed Builder Profit exceeds DCA Maximum!!!",IF(G542&gt;E542,"Proposed Builder Overhead exceeds DCA Maximum!!!",IF(G543&gt;E543,"Proposed General Requirements exceeds DCA Maximum!!!",IF(G544&gt;E544,"Proposed Contractor Services amount exceeds DCA Maximum!!!",""))))</f>
        <v/>
      </c>
      <c r="H540" s="1865"/>
      <c r="I540" s="1865"/>
      <c r="J540" s="1889"/>
      <c r="K540" s="2002"/>
      <c r="M540" s="1889"/>
      <c r="N540" s="2002"/>
      <c r="O540" s="1889" t="str">
        <f>B540</f>
        <v>CONTRACTOR SERVICES</v>
      </c>
      <c r="P540" s="1889"/>
      <c r="Q540" s="2002"/>
      <c r="S540" s="1889"/>
      <c r="T540" s="2002"/>
      <c r="V540" s="2008"/>
      <c r="W540" s="1856" t="str">
        <f>B540</f>
        <v>CONTRACTOR SERVICES</v>
      </c>
      <c r="AZ540" s="1937"/>
      <c r="BA540" s="1857">
        <v>37</v>
      </c>
    </row>
    <row r="541" spans="2:53" s="1856" customFormat="1" ht="11.25" customHeight="1">
      <c r="B541" s="1856" t="s">
        <v>2241</v>
      </c>
      <c r="D541" s="2015">
        <f>'DCA Underwriting Assumptions'!$R$78</f>
        <v>0.06</v>
      </c>
      <c r="E541" s="2016">
        <f>D541*(G531+G539)</f>
        <v>410922</v>
      </c>
      <c r="F541" s="2015">
        <f>IF(($G$28+$G$36)=0,0,G541/($G$28+$G$36))</f>
        <v>0</v>
      </c>
      <c r="G541" s="1871">
        <f>'Part IV-A-Uses of Funds'!G38</f>
        <v>410920</v>
      </c>
      <c r="H541" s="1871"/>
      <c r="I541" s="1865"/>
      <c r="J541" s="1871">
        <f>'Part IV-A-Uses of Funds'!J38</f>
        <v>410920</v>
      </c>
      <c r="K541" s="1871"/>
      <c r="L541" s="1889"/>
      <c r="M541" s="1871">
        <f>'Part IV-A-Uses of Funds'!M38</f>
        <v>0</v>
      </c>
      <c r="N541" s="1871"/>
      <c r="P541" s="1871">
        <f>'Part IV-A-Uses of Funds'!P38</f>
        <v>0</v>
      </c>
      <c r="Q541" s="1871"/>
      <c r="S541" s="1871">
        <f>'Part IV-A-Uses of Funds'!S38</f>
        <v>0</v>
      </c>
      <c r="T541" s="1871"/>
      <c r="V541" s="2004"/>
      <c r="W541" s="2005"/>
      <c r="X541" s="2005"/>
      <c r="AZ541" s="1937"/>
      <c r="BA541" s="1868">
        <v>38</v>
      </c>
    </row>
    <row r="542" spans="2:53" s="1856" customFormat="1" ht="11.25" customHeight="1">
      <c r="B542" s="1856" t="s">
        <v>2575</v>
      </c>
      <c r="D542" s="2015">
        <f>'DCA Underwriting Assumptions'!$R$79</f>
        <v>0.02</v>
      </c>
      <c r="E542" s="2016">
        <f>D542*(G531+G539)</f>
        <v>136974</v>
      </c>
      <c r="F542" s="2015">
        <f>IF(($G$28+$G$36)=0,0,G542/($G$28+$G$36))</f>
        <v>0</v>
      </c>
      <c r="G542" s="1871">
        <f>'Part IV-A-Uses of Funds'!G39</f>
        <v>136970</v>
      </c>
      <c r="H542" s="1871"/>
      <c r="I542" s="1865"/>
      <c r="J542" s="1871">
        <f>'Part IV-A-Uses of Funds'!J39</f>
        <v>136970</v>
      </c>
      <c r="K542" s="1871"/>
      <c r="L542" s="1889"/>
      <c r="M542" s="1871">
        <f>'Part IV-A-Uses of Funds'!M39</f>
        <v>0</v>
      </c>
      <c r="N542" s="1871"/>
      <c r="P542" s="1871">
        <f>'Part IV-A-Uses of Funds'!P39</f>
        <v>0</v>
      </c>
      <c r="Q542" s="1871"/>
      <c r="S542" s="1871">
        <f>'Part IV-A-Uses of Funds'!S39</f>
        <v>0</v>
      </c>
      <c r="T542" s="1871"/>
      <c r="V542" s="2004"/>
      <c r="W542" s="2005"/>
      <c r="X542" s="2005"/>
      <c r="AZ542" s="1937"/>
      <c r="BA542" s="1857">
        <v>39</v>
      </c>
    </row>
    <row r="543" spans="2:53" s="1856" customFormat="1" ht="11.25" customHeight="1">
      <c r="B543" s="1856" t="s">
        <v>2576</v>
      </c>
      <c r="D543" s="2015">
        <f>'DCA Underwriting Assumptions'!$R$80</f>
        <v>0.06</v>
      </c>
      <c r="E543" s="2016">
        <f>D543*(G531+G539)</f>
        <v>410922</v>
      </c>
      <c r="F543" s="2015">
        <f>IF(($G$28+$G$36)=0,0,G543/($G$28+$G$36))</f>
        <v>0</v>
      </c>
      <c r="G543" s="1871">
        <f>'Part IV-A-Uses of Funds'!G40</f>
        <v>410920</v>
      </c>
      <c r="H543" s="1871"/>
      <c r="I543" s="1865"/>
      <c r="J543" s="1871">
        <f>'Part IV-A-Uses of Funds'!J40</f>
        <v>410920</v>
      </c>
      <c r="K543" s="1871"/>
      <c r="L543" s="1889"/>
      <c r="M543" s="1871">
        <f>'Part IV-A-Uses of Funds'!M40</f>
        <v>0</v>
      </c>
      <c r="N543" s="1871"/>
      <c r="P543" s="1871">
        <f>'Part IV-A-Uses of Funds'!P40</f>
        <v>0</v>
      </c>
      <c r="Q543" s="1871"/>
      <c r="S543" s="1871">
        <f>'Part IV-A-Uses of Funds'!S40</f>
        <v>0</v>
      </c>
      <c r="T543" s="1871"/>
      <c r="V543" s="2004"/>
      <c r="W543" s="2005"/>
      <c r="X543" s="2005"/>
      <c r="AZ543" s="1937"/>
      <c r="BA543" s="1857">
        <v>40</v>
      </c>
    </row>
    <row r="544" spans="2:53" s="1856" customFormat="1" ht="12.6" customHeight="1">
      <c r="B544" s="1864" t="s">
        <v>3359</v>
      </c>
      <c r="D544" s="2014">
        <f>SUM(D541:D543)</f>
        <v>0.14000000000000001</v>
      </c>
      <c r="E544" s="2017">
        <f>SUM(E541:E543)</f>
        <v>958818</v>
      </c>
      <c r="F544" s="2007" t="s">
        <v>183</v>
      </c>
      <c r="G544" s="2002">
        <f>SUM(G541:G543)</f>
        <v>958810</v>
      </c>
      <c r="H544" s="2002"/>
      <c r="J544" s="2002">
        <f>SUM(J541:J543)</f>
        <v>958810</v>
      </c>
      <c r="K544" s="2002"/>
      <c r="L544" s="1889"/>
      <c r="M544" s="2002">
        <f>SUM(M541:M543)</f>
        <v>0</v>
      </c>
      <c r="N544" s="2002"/>
      <c r="P544" s="2002">
        <f>SUM(P541:P543)</f>
        <v>0</v>
      </c>
      <c r="Q544" s="2002"/>
      <c r="S544" s="2002">
        <f>SUM(S541:S543)</f>
        <v>0</v>
      </c>
      <c r="T544" s="2002"/>
      <c r="V544" s="2004">
        <f>SUM(V541:V543)</f>
        <v>0</v>
      </c>
      <c r="W544" s="2005"/>
      <c r="X544" s="2005"/>
      <c r="AZ544" s="1937" t="s">
        <v>6687</v>
      </c>
      <c r="BA544" s="1857">
        <v>41</v>
      </c>
    </row>
    <row r="545" spans="1:53" s="1856" customFormat="1" ht="3" customHeight="1">
      <c r="A545" s="1857"/>
      <c r="B545" s="1857"/>
      <c r="C545" s="1857"/>
      <c r="D545" s="1857"/>
      <c r="E545" s="1857"/>
      <c r="F545" s="1857"/>
      <c r="G545" s="1857"/>
      <c r="H545" s="1857"/>
      <c r="I545" s="1857"/>
      <c r="J545" s="1857"/>
      <c r="K545" s="1857"/>
      <c r="L545" s="1857"/>
      <c r="M545" s="1857"/>
      <c r="N545" s="1857"/>
      <c r="O545" s="1857"/>
      <c r="P545" s="1857"/>
      <c r="Q545" s="1857"/>
      <c r="R545" s="1857"/>
      <c r="S545" s="1857"/>
      <c r="T545" s="1857"/>
      <c r="V545" s="2008"/>
      <c r="AZ545" s="1937"/>
      <c r="BA545" s="1857">
        <v>42</v>
      </c>
    </row>
    <row r="546" spans="1:53" s="1856" customFormat="1">
      <c r="A546" s="1857"/>
      <c r="C546" s="2018" t="s">
        <v>6819</v>
      </c>
      <c r="E546" s="1857"/>
      <c r="F546" s="1857"/>
      <c r="G546" s="2019">
        <f>G531+G539+G544</f>
        <v>7807510</v>
      </c>
      <c r="H546" s="2019"/>
      <c r="I546" s="1857"/>
      <c r="J546" s="1857"/>
      <c r="K546" s="1857"/>
      <c r="L546" s="1857"/>
      <c r="M546" s="1857"/>
      <c r="N546" s="1857"/>
      <c r="O546" s="1857"/>
      <c r="P546" s="1857"/>
      <c r="Q546" s="1857"/>
      <c r="R546" s="1857"/>
      <c r="S546" s="1857"/>
      <c r="T546" s="1857"/>
      <c r="V546" s="2008"/>
      <c r="AZ546" s="1937"/>
      <c r="BA546" s="1857">
        <v>43</v>
      </c>
    </row>
    <row r="547" spans="1:53" s="1937" customFormat="1" ht="3" customHeight="1">
      <c r="AZ547" s="1874" t="s">
        <v>6688</v>
      </c>
      <c r="BA547" s="1857">
        <v>44</v>
      </c>
    </row>
    <row r="548" spans="1:53" s="1856" customFormat="1" ht="12" customHeight="1">
      <c r="B548" s="1856" t="s">
        <v>7118</v>
      </c>
      <c r="J548" s="1889"/>
      <c r="K548" s="2002"/>
      <c r="M548" s="1889"/>
      <c r="N548" s="2002"/>
      <c r="O548" s="1889" t="str">
        <f>B548</f>
        <v>OTHER CONSTRUCTION HARD COSTS (Non-GC work scope items done by Owner)</v>
      </c>
      <c r="P548" s="1889"/>
      <c r="Q548" s="2002"/>
      <c r="S548" s="1889"/>
      <c r="T548" s="2002"/>
      <c r="V548" s="2008"/>
      <c r="W548" s="1856" t="str">
        <f>B548</f>
        <v>OTHER CONSTRUCTION HARD COSTS (Non-GC work scope items done by Owner)</v>
      </c>
      <c r="AZ548" s="1937"/>
      <c r="BA548" s="1857">
        <v>45</v>
      </c>
    </row>
    <row r="549" spans="1:53" s="1865" customFormat="1" ht="11.25" customHeight="1">
      <c r="B549" s="1864" t="s">
        <v>6582</v>
      </c>
      <c r="C549" s="1869" t="str">
        <f>'Part IV-A-Uses of Funds'!C46</f>
        <v>&lt;&lt; Enter description here; provide detail &amp; justification in tab Part IV-b &gt;&gt;</v>
      </c>
      <c r="D549" s="1869"/>
      <c r="E549" s="1869"/>
      <c r="F549" s="1869"/>
      <c r="G549" s="1871">
        <f>'Part IV-A-Uses of Funds'!G46</f>
        <v>0</v>
      </c>
      <c r="H549" s="1871"/>
      <c r="I549" s="1856"/>
      <c r="J549" s="1871">
        <f>'Part IV-A-Uses of Funds'!J46</f>
        <v>0</v>
      </c>
      <c r="K549" s="1871"/>
      <c r="L549" s="1889"/>
      <c r="M549" s="1871">
        <f>'Part IV-A-Uses of Funds'!M46</f>
        <v>0</v>
      </c>
      <c r="N549" s="1871"/>
      <c r="O549" s="1856"/>
      <c r="P549" s="1871">
        <f>'Part IV-A-Uses of Funds'!P46</f>
        <v>0</v>
      </c>
      <c r="Q549" s="1871"/>
      <c r="R549" s="1856"/>
      <c r="S549" s="1871">
        <f>'Part IV-A-Uses of Funds'!S46</f>
        <v>0</v>
      </c>
      <c r="T549" s="1871"/>
      <c r="V549" s="2004"/>
      <c r="W549" s="2005"/>
      <c r="X549" s="2005"/>
      <c r="AZ549" s="1937"/>
      <c r="BA549" s="1857">
        <v>46</v>
      </c>
    </row>
    <row r="550" spans="1:53" s="1856" customFormat="1" ht="6" customHeight="1">
      <c r="A550" s="1857"/>
      <c r="B550" s="1857"/>
      <c r="C550" s="1857"/>
      <c r="D550" s="1857"/>
      <c r="E550" s="1857"/>
      <c r="F550" s="1857"/>
      <c r="G550" s="1857"/>
      <c r="H550" s="1857"/>
      <c r="I550" s="1857"/>
      <c r="J550" s="1857"/>
      <c r="K550" s="1857"/>
      <c r="L550" s="1857"/>
      <c r="M550" s="1857"/>
      <c r="N550" s="1857"/>
      <c r="O550" s="1857"/>
      <c r="P550" s="1857"/>
      <c r="Q550" s="1857"/>
      <c r="R550" s="1857"/>
      <c r="S550" s="1857"/>
      <c r="T550" s="1857"/>
      <c r="V550" s="2008"/>
      <c r="W550" s="2005"/>
      <c r="X550" s="2005"/>
      <c r="AZ550" s="1937" t="s">
        <v>6689</v>
      </c>
      <c r="BA550" s="1868">
        <v>47</v>
      </c>
    </row>
    <row r="551" spans="1:53" s="1856" customFormat="1" ht="12.6" customHeight="1">
      <c r="B551" s="2020" t="s">
        <v>7119</v>
      </c>
      <c r="C551" s="2021"/>
      <c r="E551" s="1856" t="s">
        <v>2580</v>
      </c>
      <c r="F551" s="2022">
        <f>C552/'Part VI-Revenues &amp; Expenses'!$P$65</f>
        <v>162656.45833333334</v>
      </c>
      <c r="G551" s="2023" t="s">
        <v>7120</v>
      </c>
      <c r="J551" s="2024">
        <f>C552/'Part VI-Revenues &amp; Expenses'!$P$67</f>
        <v>162656.45833333334</v>
      </c>
      <c r="K551" s="2024"/>
      <c r="M551" s="2025" t="s">
        <v>6799</v>
      </c>
      <c r="N551" s="2025"/>
      <c r="P551" s="2024">
        <f>C552/'Part I-Project Information'!$P$70</f>
        <v>147.13383838383839</v>
      </c>
      <c r="Q551" s="2024"/>
      <c r="S551" s="1896" t="s">
        <v>6801</v>
      </c>
      <c r="T551" s="1896"/>
      <c r="V551" s="2008"/>
      <c r="W551" s="2005"/>
      <c r="X551" s="2005"/>
      <c r="AZ551" s="1937"/>
      <c r="BA551" s="1857">
        <v>48</v>
      </c>
    </row>
    <row r="552" spans="1:53" s="1856" customFormat="1" ht="12.6" customHeight="1">
      <c r="B552" s="2026" t="s">
        <v>6818</v>
      </c>
      <c r="C552" s="2027">
        <f>G531+G539+G544+G549</f>
        <v>7807510</v>
      </c>
      <c r="F552" s="2022">
        <f>C552/'Part VI-Revenues &amp; Expenses'!$P$166</f>
        <v>151.41397098751068</v>
      </c>
      <c r="G552" s="1896" t="s">
        <v>7121</v>
      </c>
      <c r="J552" s="2024">
        <f>C552/'Part VI-Revenues &amp; Expenses'!$P$168</f>
        <v>151.41397098751068</v>
      </c>
      <c r="K552" s="2024"/>
      <c r="M552" s="1896" t="s">
        <v>6800</v>
      </c>
      <c r="N552" s="1896"/>
      <c r="V552" s="2008"/>
      <c r="W552" s="2005"/>
      <c r="X552" s="2005"/>
      <c r="AZ552" s="1937"/>
      <c r="BA552" s="1857">
        <v>49</v>
      </c>
    </row>
    <row r="553" spans="1:53" s="1856" customFormat="1" ht="3" customHeight="1">
      <c r="A553" s="1857"/>
      <c r="B553" s="1857"/>
      <c r="C553" s="1857"/>
      <c r="D553" s="1857"/>
      <c r="E553" s="1857"/>
      <c r="F553" s="1857"/>
      <c r="G553" s="1857"/>
      <c r="H553" s="1857"/>
      <c r="I553" s="1857"/>
      <c r="J553" s="1857"/>
      <c r="K553" s="1857"/>
      <c r="L553" s="1857"/>
      <c r="M553" s="1857"/>
      <c r="N553" s="1857"/>
      <c r="O553" s="1857"/>
      <c r="P553" s="1857"/>
      <c r="Q553" s="1857"/>
      <c r="R553" s="1857"/>
      <c r="S553" s="1857"/>
      <c r="T553" s="1857"/>
      <c r="V553" s="2008"/>
      <c r="AZ553" s="1937"/>
      <c r="BA553" s="1868">
        <v>56</v>
      </c>
    </row>
    <row r="554" spans="1:53" s="1856" customFormat="1" ht="18.75" customHeight="1">
      <c r="A554" s="2000" t="s">
        <v>586</v>
      </c>
      <c r="B554" s="2000" t="s">
        <v>7122</v>
      </c>
      <c r="J554" s="1856" t="s">
        <v>260</v>
      </c>
      <c r="L554" s="2002"/>
      <c r="M554" s="2002" t="s">
        <v>468</v>
      </c>
      <c r="N554" s="2002"/>
      <c r="P554" s="1856" t="s">
        <v>261</v>
      </c>
      <c r="S554" s="1856" t="s">
        <v>262</v>
      </c>
      <c r="V554" s="2008"/>
      <c r="W554" s="2003" t="str">
        <f>B554</f>
        <v>DEVELOPMENT BUDGET (cont'd)</v>
      </c>
      <c r="AZ554" s="1937"/>
      <c r="BA554" s="1857">
        <v>58</v>
      </c>
    </row>
    <row r="555" spans="1:53" s="1856" customFormat="1" ht="18.75" customHeight="1">
      <c r="G555" s="1856" t="s">
        <v>94</v>
      </c>
      <c r="L555" s="2002"/>
      <c r="M555" s="2002"/>
      <c r="N555" s="2002"/>
      <c r="V555" s="2008"/>
      <c r="W555" s="1865" t="s">
        <v>2538</v>
      </c>
      <c r="X555" s="1865"/>
      <c r="AZ555" s="1937"/>
      <c r="BA555" s="1857">
        <v>59</v>
      </c>
    </row>
    <row r="556" spans="1:53" s="1856" customFormat="1" ht="9" customHeight="1">
      <c r="A556" s="1857"/>
      <c r="B556" s="1857"/>
      <c r="C556" s="1857"/>
      <c r="D556" s="1857"/>
      <c r="E556" s="1857"/>
      <c r="F556" s="1857"/>
      <c r="G556" s="1857"/>
      <c r="H556" s="1857"/>
      <c r="I556" s="1857"/>
      <c r="J556" s="1857"/>
      <c r="K556" s="1857"/>
      <c r="L556" s="1857"/>
      <c r="M556" s="1857"/>
      <c r="N556" s="1857"/>
      <c r="O556" s="1857"/>
      <c r="P556" s="1857"/>
      <c r="Q556" s="1857"/>
      <c r="R556" s="1857"/>
      <c r="S556" s="1857"/>
      <c r="T556" s="1857"/>
      <c r="V556" s="2008"/>
      <c r="AZ556" s="1874"/>
      <c r="BA556" s="1857">
        <v>50</v>
      </c>
    </row>
    <row r="557" spans="1:53" s="1856" customFormat="1" ht="12" customHeight="1">
      <c r="B557" s="1856" t="s">
        <v>6610</v>
      </c>
      <c r="F557" s="2028" t="s">
        <v>3565</v>
      </c>
      <c r="G557" s="1856" t="str">
        <f>IF(G558&gt;E558,"Check Contingency Amount!!!!","")</f>
        <v/>
      </c>
      <c r="J557" s="1889"/>
      <c r="K557" s="2002"/>
      <c r="M557" s="1889"/>
      <c r="N557" s="2002"/>
      <c r="O557" s="1889" t="str">
        <f>B557</f>
        <v>CONSTRUCTION CONTINGENCY (CC)</v>
      </c>
      <c r="P557" s="1889"/>
      <c r="Q557" s="2002"/>
      <c r="S557" s="1889"/>
      <c r="T557" s="2002"/>
      <c r="V557" s="2008"/>
      <c r="W557" s="1856" t="str">
        <f>B557</f>
        <v>CONSTRUCTION CONTINGENCY (CC)</v>
      </c>
      <c r="AZ557" s="1937"/>
      <c r="BA557" s="1857">
        <v>51</v>
      </c>
    </row>
    <row r="558" spans="1:53" s="1865" customFormat="1" ht="11.25" customHeight="1">
      <c r="B558" s="1856" t="s">
        <v>1873</v>
      </c>
      <c r="D558" s="2029" t="s">
        <v>3564</v>
      </c>
      <c r="E558" s="2030">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390375.5</v>
      </c>
      <c r="F558" s="2031">
        <f>G558/C552</f>
        <v>4.9999295550053731E-2</v>
      </c>
      <c r="G558" s="1871">
        <f>'Part IV-A-Uses of Funds'!G55</f>
        <v>390370</v>
      </c>
      <c r="H558" s="1871"/>
      <c r="I558" s="1856"/>
      <c r="J558" s="1871">
        <f>'Part IV-A-Uses of Funds'!J55</f>
        <v>390370</v>
      </c>
      <c r="K558" s="1871"/>
      <c r="L558" s="1889"/>
      <c r="M558" s="1871">
        <f>'Part IV-A-Uses of Funds'!M55</f>
        <v>0</v>
      </c>
      <c r="N558" s="1871"/>
      <c r="O558" s="1856"/>
      <c r="P558" s="1871">
        <f>'Part IV-A-Uses of Funds'!P55</f>
        <v>0</v>
      </c>
      <c r="Q558" s="1871"/>
      <c r="R558" s="1856"/>
      <c r="S558" s="1871">
        <f>'Part IV-A-Uses of Funds'!S55</f>
        <v>0</v>
      </c>
      <c r="T558" s="1871"/>
      <c r="V558" s="2004"/>
      <c r="W558" s="2005"/>
      <c r="X558" s="2005"/>
      <c r="AZ558" s="1937"/>
      <c r="BA558" s="1857">
        <v>52</v>
      </c>
    </row>
    <row r="559" spans="1:53" s="1856" customFormat="1" ht="6" customHeight="1">
      <c r="A559" s="1857"/>
      <c r="B559" s="1857"/>
      <c r="C559" s="1857"/>
      <c r="D559" s="1857"/>
      <c r="E559" s="1857"/>
      <c r="F559" s="1857"/>
      <c r="G559" s="1857"/>
      <c r="H559" s="1857"/>
      <c r="I559" s="1857"/>
      <c r="J559" s="1857"/>
      <c r="K559" s="1857"/>
      <c r="L559" s="1857"/>
      <c r="M559" s="1857"/>
      <c r="N559" s="1857"/>
      <c r="O559" s="1857"/>
      <c r="P559" s="1857"/>
      <c r="Q559" s="1857"/>
      <c r="R559" s="1857"/>
      <c r="S559" s="1857"/>
      <c r="T559" s="1857"/>
      <c r="V559" s="2008"/>
      <c r="W559" s="2005"/>
      <c r="X559" s="2005"/>
      <c r="AZ559" s="1937"/>
      <c r="BA559" s="1857">
        <v>53</v>
      </c>
    </row>
    <row r="560" spans="1:53" s="1856" customFormat="1" ht="12.6" customHeight="1">
      <c r="B560" s="2032" t="s">
        <v>6611</v>
      </c>
      <c r="C560" s="2021"/>
      <c r="E560" s="1856" t="s">
        <v>6612</v>
      </c>
      <c r="F560" s="2022">
        <f>B561/'Part VI-Revenues &amp; Expenses'!$P$65</f>
        <v>170789.16666666666</v>
      </c>
      <c r="G560" s="2023" t="s">
        <v>7120</v>
      </c>
      <c r="J560" s="2024">
        <f>B561/'Part VI-Revenues &amp; Expenses'!$P$67</f>
        <v>170789.16666666666</v>
      </c>
      <c r="K560" s="2024"/>
      <c r="M560" s="2025" t="s">
        <v>6799</v>
      </c>
      <c r="N560" s="2025"/>
      <c r="P560" s="2024">
        <f>B561/'Part I-Project Information'!$P$70</f>
        <v>154.49042665460576</v>
      </c>
      <c r="Q560" s="2024"/>
      <c r="S560" s="1896" t="s">
        <v>6801</v>
      </c>
      <c r="T560" s="1896"/>
      <c r="V560" s="2008"/>
      <c r="W560" s="2005"/>
      <c r="X560" s="2005"/>
      <c r="AZ560" s="1937"/>
      <c r="BA560" s="1857">
        <v>54</v>
      </c>
    </row>
    <row r="561" spans="1:53" s="1856" customFormat="1" ht="12.6" customHeight="1">
      <c r="B561" s="2027">
        <f>C552+G558</f>
        <v>8197880</v>
      </c>
      <c r="C561" s="2027"/>
      <c r="F561" s="2022">
        <f>B561/'Part VI-Revenues &amp; Expenses'!$P$166</f>
        <v>158.98456287332246</v>
      </c>
      <c r="G561" s="1896" t="s">
        <v>7121</v>
      </c>
      <c r="J561" s="2024">
        <f>B561/'Part VI-Revenues &amp; Expenses'!$P$168</f>
        <v>158.98456287332246</v>
      </c>
      <c r="K561" s="2024"/>
      <c r="M561" s="1896" t="s">
        <v>6800</v>
      </c>
      <c r="N561" s="1896"/>
      <c r="V561" s="2008"/>
      <c r="W561" s="2005"/>
      <c r="X561" s="2005"/>
      <c r="AZ561" s="1937"/>
      <c r="BA561" s="1857">
        <v>55</v>
      </c>
    </row>
    <row r="562" spans="1:53" s="1856" customFormat="1" ht="6" customHeight="1">
      <c r="A562" s="1857"/>
      <c r="B562" s="1857"/>
      <c r="C562" s="1857"/>
      <c r="D562" s="1857"/>
      <c r="E562" s="1857"/>
      <c r="F562" s="1857"/>
      <c r="G562" s="1857"/>
      <c r="H562" s="1857"/>
      <c r="I562" s="1857"/>
      <c r="J562" s="1857"/>
      <c r="K562" s="1857"/>
      <c r="L562" s="1857"/>
      <c r="M562" s="1857"/>
      <c r="N562" s="1857"/>
      <c r="O562" s="1857"/>
      <c r="P562" s="1857"/>
      <c r="Q562" s="1857"/>
      <c r="R562" s="1857"/>
      <c r="S562" s="1857"/>
      <c r="T562" s="1857"/>
      <c r="V562" s="2008"/>
      <c r="W562" s="2005"/>
      <c r="X562" s="2005"/>
      <c r="AZ562" s="1937"/>
      <c r="BA562" s="1857">
        <v>53</v>
      </c>
    </row>
    <row r="563" spans="1:53" s="1856" customFormat="1" ht="12" customHeight="1">
      <c r="B563" s="1856" t="s">
        <v>692</v>
      </c>
      <c r="J563" s="1889"/>
      <c r="K563" s="2002"/>
      <c r="M563" s="1889"/>
      <c r="N563" s="2002"/>
      <c r="O563" s="1889" t="str">
        <f>B563</f>
        <v>CONSTRUCTION PERIOD FINANCING</v>
      </c>
      <c r="P563" s="1889"/>
      <c r="Q563" s="2002"/>
      <c r="S563" s="1889"/>
      <c r="T563" s="2002"/>
      <c r="V563" s="2008"/>
      <c r="W563" s="1856" t="str">
        <f>B563</f>
        <v>CONSTRUCTION PERIOD FINANCING</v>
      </c>
      <c r="AZ563" s="1937"/>
      <c r="BA563" s="1857">
        <v>60</v>
      </c>
    </row>
    <row r="564" spans="1:53" s="1856" customFormat="1" ht="12" customHeight="1">
      <c r="B564" s="1856" t="s">
        <v>3360</v>
      </c>
      <c r="G564" s="1871">
        <f>'Part IV-A-Uses of Funds'!G61</f>
        <v>0</v>
      </c>
      <c r="H564" s="1871"/>
      <c r="J564" s="1871">
        <f>'Part IV-A-Uses of Funds'!J61</f>
        <v>0</v>
      </c>
      <c r="K564" s="1871"/>
      <c r="L564" s="1889"/>
      <c r="M564" s="1871">
        <f>'Part IV-A-Uses of Funds'!M61</f>
        <v>0</v>
      </c>
      <c r="N564" s="1871"/>
      <c r="P564" s="1871">
        <f>'Part IV-A-Uses of Funds'!P61</f>
        <v>0</v>
      </c>
      <c r="Q564" s="1871"/>
      <c r="S564" s="1871">
        <f>'Part IV-A-Uses of Funds'!S61</f>
        <v>0</v>
      </c>
      <c r="T564" s="1871"/>
      <c r="V564" s="2004"/>
      <c r="W564" s="2005"/>
      <c r="X564" s="2005"/>
      <c r="AZ564" s="1937"/>
      <c r="BA564" s="1857">
        <v>61</v>
      </c>
    </row>
    <row r="565" spans="1:53" s="1856" customFormat="1" ht="12" customHeight="1">
      <c r="B565" s="1856" t="s">
        <v>3361</v>
      </c>
      <c r="G565" s="1871">
        <f>'Part IV-A-Uses of Funds'!G62</f>
        <v>0</v>
      </c>
      <c r="H565" s="1871"/>
      <c r="J565" s="1871">
        <f>'Part IV-A-Uses of Funds'!J62</f>
        <v>0</v>
      </c>
      <c r="K565" s="1871"/>
      <c r="L565" s="1889"/>
      <c r="M565" s="1871">
        <f>'Part IV-A-Uses of Funds'!M62</f>
        <v>0</v>
      </c>
      <c r="N565" s="1871"/>
      <c r="P565" s="1871">
        <f>'Part IV-A-Uses of Funds'!P62</f>
        <v>0</v>
      </c>
      <c r="Q565" s="1871"/>
      <c r="S565" s="1871">
        <f>'Part IV-A-Uses of Funds'!S62</f>
        <v>0</v>
      </c>
      <c r="T565" s="1871"/>
      <c r="V565" s="2004"/>
      <c r="W565" s="2005"/>
      <c r="X565" s="2005"/>
      <c r="AZ565" s="1937"/>
      <c r="BA565" s="1857">
        <v>62</v>
      </c>
    </row>
    <row r="566" spans="1:53" s="1856" customFormat="1" ht="12" customHeight="1">
      <c r="B566" s="1856" t="s">
        <v>2243</v>
      </c>
      <c r="G566" s="1871">
        <f>'Part IV-A-Uses of Funds'!G63</f>
        <v>86871</v>
      </c>
      <c r="H566" s="1871"/>
      <c r="J566" s="1871">
        <f>'Part IV-A-Uses of Funds'!J63</f>
        <v>86871</v>
      </c>
      <c r="K566" s="1871"/>
      <c r="L566" s="1889"/>
      <c r="M566" s="1871">
        <f>'Part IV-A-Uses of Funds'!M63</f>
        <v>0</v>
      </c>
      <c r="N566" s="1871"/>
      <c r="P566" s="1871">
        <f>'Part IV-A-Uses of Funds'!P63</f>
        <v>0</v>
      </c>
      <c r="Q566" s="1871"/>
      <c r="S566" s="1871">
        <f>'Part IV-A-Uses of Funds'!S63</f>
        <v>0</v>
      </c>
      <c r="T566" s="1871"/>
      <c r="V566" s="2004"/>
      <c r="W566" s="2005"/>
      <c r="X566" s="2005"/>
      <c r="AZ566" s="1937"/>
      <c r="BA566" s="1868">
        <v>63</v>
      </c>
    </row>
    <row r="567" spans="1:53" s="1856" customFormat="1" ht="12" customHeight="1">
      <c r="B567" s="1856" t="s">
        <v>2244</v>
      </c>
      <c r="G567" s="1871">
        <f>'Part IV-A-Uses of Funds'!G64</f>
        <v>268397</v>
      </c>
      <c r="H567" s="1871"/>
      <c r="J567" s="1871">
        <f>'Part IV-A-Uses of Funds'!J64</f>
        <v>268397</v>
      </c>
      <c r="K567" s="1871"/>
      <c r="L567" s="1889"/>
      <c r="M567" s="1871">
        <f>'Part IV-A-Uses of Funds'!M64</f>
        <v>0</v>
      </c>
      <c r="N567" s="1871"/>
      <c r="P567" s="1871">
        <f>'Part IV-A-Uses of Funds'!P64</f>
        <v>0</v>
      </c>
      <c r="Q567" s="1871"/>
      <c r="S567" s="1871">
        <f>'Part IV-A-Uses of Funds'!S64</f>
        <v>0</v>
      </c>
      <c r="T567" s="1871"/>
      <c r="V567" s="2004"/>
      <c r="W567" s="2005"/>
      <c r="X567" s="2005"/>
      <c r="AZ567" s="1937"/>
      <c r="BA567" s="1857">
        <v>64</v>
      </c>
    </row>
    <row r="568" spans="1:53" s="1856" customFormat="1" ht="12" customHeight="1">
      <c r="B568" s="1856" t="s">
        <v>2245</v>
      </c>
      <c r="G568" s="1871">
        <f>'Part IV-A-Uses of Funds'!G65</f>
        <v>25000</v>
      </c>
      <c r="H568" s="1871"/>
      <c r="J568" s="1871">
        <f>'Part IV-A-Uses of Funds'!J65</f>
        <v>25000</v>
      </c>
      <c r="K568" s="1871"/>
      <c r="L568" s="1889"/>
      <c r="M568" s="1871">
        <f>'Part IV-A-Uses of Funds'!M65</f>
        <v>0</v>
      </c>
      <c r="N568" s="1871"/>
      <c r="P568" s="1871">
        <f>'Part IV-A-Uses of Funds'!P65</f>
        <v>0</v>
      </c>
      <c r="Q568" s="1871"/>
      <c r="S568" s="1871">
        <f>'Part IV-A-Uses of Funds'!S65</f>
        <v>0</v>
      </c>
      <c r="T568" s="1871"/>
      <c r="V568" s="2004"/>
      <c r="W568" s="2005"/>
      <c r="X568" s="2005"/>
      <c r="AZ568" s="1937" t="s">
        <v>6690</v>
      </c>
      <c r="BA568" s="1857">
        <v>65</v>
      </c>
    </row>
    <row r="569" spans="1:53" s="1856" customFormat="1" ht="12" customHeight="1">
      <c r="B569" s="1856" t="s">
        <v>2540</v>
      </c>
      <c r="G569" s="1871">
        <f>'Part IV-A-Uses of Funds'!G66</f>
        <v>14500</v>
      </c>
      <c r="H569" s="1871"/>
      <c r="J569" s="1871">
        <f>'Part IV-A-Uses of Funds'!J66</f>
        <v>14500</v>
      </c>
      <c r="K569" s="1871"/>
      <c r="L569" s="1889"/>
      <c r="M569" s="1871">
        <f>'Part IV-A-Uses of Funds'!M66</f>
        <v>0</v>
      </c>
      <c r="N569" s="1871"/>
      <c r="P569" s="1871">
        <f>'Part IV-A-Uses of Funds'!P66</f>
        <v>0</v>
      </c>
      <c r="Q569" s="1871"/>
      <c r="S569" s="1871">
        <f>'Part IV-A-Uses of Funds'!S66</f>
        <v>0</v>
      </c>
      <c r="T569" s="1871"/>
      <c r="V569" s="2004"/>
      <c r="W569" s="2005"/>
      <c r="X569" s="2005"/>
      <c r="AZ569" s="1937" t="s">
        <v>6691</v>
      </c>
      <c r="BA569" s="1857">
        <v>66</v>
      </c>
    </row>
    <row r="570" spans="1:53" s="1856" customFormat="1" ht="12" customHeight="1">
      <c r="B570" s="1856" t="s">
        <v>693</v>
      </c>
      <c r="G570" s="1871">
        <f>'Part IV-A-Uses of Funds'!G67</f>
        <v>5000</v>
      </c>
      <c r="H570" s="1871"/>
      <c r="J570" s="1871">
        <f>'Part IV-A-Uses of Funds'!J67</f>
        <v>0</v>
      </c>
      <c r="K570" s="1871"/>
      <c r="L570" s="1889"/>
      <c r="M570" s="1871">
        <f>'Part IV-A-Uses of Funds'!M67</f>
        <v>0</v>
      </c>
      <c r="N570" s="1871"/>
      <c r="P570" s="1871">
        <f>'Part IV-A-Uses of Funds'!P67</f>
        <v>0</v>
      </c>
      <c r="Q570" s="1871"/>
      <c r="S570" s="1871">
        <f>'Part IV-A-Uses of Funds'!S67</f>
        <v>5000</v>
      </c>
      <c r="T570" s="1871"/>
      <c r="V570" s="2004"/>
      <c r="W570" s="2005"/>
      <c r="X570" s="2005"/>
      <c r="AZ570" s="1937" t="s">
        <v>6692</v>
      </c>
      <c r="BA570" s="1857">
        <v>67</v>
      </c>
    </row>
    <row r="571" spans="1:53" s="1856" customFormat="1" ht="12" customHeight="1">
      <c r="B571" s="1856" t="s">
        <v>2246</v>
      </c>
      <c r="G571" s="1871">
        <f>'Part IV-A-Uses of Funds'!G68</f>
        <v>60000</v>
      </c>
      <c r="H571" s="1871"/>
      <c r="J571" s="1871">
        <f>'Part IV-A-Uses of Funds'!J68</f>
        <v>60000</v>
      </c>
      <c r="K571" s="1871"/>
      <c r="L571" s="1889"/>
      <c r="M571" s="1871">
        <f>'Part IV-A-Uses of Funds'!M68</f>
        <v>0</v>
      </c>
      <c r="N571" s="1871"/>
      <c r="P571" s="1871">
        <f>'Part IV-A-Uses of Funds'!P68</f>
        <v>0</v>
      </c>
      <c r="Q571" s="1871"/>
      <c r="S571" s="1871">
        <f>'Part IV-A-Uses of Funds'!S68</f>
        <v>0</v>
      </c>
      <c r="T571" s="1871"/>
      <c r="V571" s="2004"/>
      <c r="W571" s="2005"/>
      <c r="X571" s="2005"/>
      <c r="AZ571" s="1937"/>
      <c r="BA571" s="1857">
        <v>68</v>
      </c>
    </row>
    <row r="572" spans="1:53" s="1856" customFormat="1" ht="12" customHeight="1">
      <c r="B572" s="1856" t="s">
        <v>1228</v>
      </c>
      <c r="G572" s="1871">
        <f>'Part IV-A-Uses of Funds'!G69</f>
        <v>50000</v>
      </c>
      <c r="H572" s="1871"/>
      <c r="J572" s="1871">
        <f>'Part IV-A-Uses of Funds'!J69</f>
        <v>50000</v>
      </c>
      <c r="K572" s="1871"/>
      <c r="L572" s="1889"/>
      <c r="M572" s="1871">
        <f>'Part IV-A-Uses of Funds'!M69</f>
        <v>0</v>
      </c>
      <c r="N572" s="1871"/>
      <c r="P572" s="1871">
        <f>'Part IV-A-Uses of Funds'!P69</f>
        <v>0</v>
      </c>
      <c r="Q572" s="1871"/>
      <c r="S572" s="1871">
        <f>'Part IV-A-Uses of Funds'!S69</f>
        <v>0</v>
      </c>
      <c r="T572" s="1871"/>
      <c r="V572" s="2004"/>
      <c r="W572" s="2005"/>
      <c r="X572" s="2005"/>
      <c r="AZ572" s="1937"/>
      <c r="BA572" s="1857">
        <v>69</v>
      </c>
    </row>
    <row r="573" spans="1:53" s="1856" customFormat="1" ht="12" customHeight="1">
      <c r="B573" s="1919" t="s">
        <v>1111</v>
      </c>
      <c r="D573" s="2031"/>
      <c r="E573" s="2031"/>
      <c r="F573" s="2033"/>
      <c r="G573" s="1871">
        <f>'Part IV-A-Uses of Funds'!G70</f>
        <v>0</v>
      </c>
      <c r="H573" s="1871"/>
      <c r="I573" s="1865"/>
      <c r="J573" s="1871">
        <f>'Part IV-A-Uses of Funds'!J70</f>
        <v>0</v>
      </c>
      <c r="K573" s="1871"/>
      <c r="L573" s="1889"/>
      <c r="M573" s="1871">
        <f>'Part IV-A-Uses of Funds'!M70</f>
        <v>0</v>
      </c>
      <c r="N573" s="1871"/>
      <c r="P573" s="1871">
        <f>'Part IV-A-Uses of Funds'!P70</f>
        <v>0</v>
      </c>
      <c r="Q573" s="1871"/>
      <c r="S573" s="1871">
        <f>'Part IV-A-Uses of Funds'!S70</f>
        <v>0</v>
      </c>
      <c r="T573" s="1871"/>
      <c r="V573" s="2004"/>
      <c r="W573" s="2005"/>
      <c r="X573" s="2005"/>
      <c r="AZ573" s="1937"/>
      <c r="BA573" s="1857">
        <v>70</v>
      </c>
    </row>
    <row r="574" spans="1:53" s="1856" customFormat="1" ht="12" customHeight="1">
      <c r="A574" s="2006" t="str">
        <f>IF(AND(G574&gt;0,OR(C574="",C574="&lt;Enter detailed description here; use Comments section if needed&gt;")),"X","")</f>
        <v/>
      </c>
      <c r="B574" s="1864" t="s">
        <v>6584</v>
      </c>
      <c r="C574" s="1869" t="str">
        <f>'Part IV-A-Uses of Funds'!C71</f>
        <v>&lt;&lt; Enter description here; provide detail &amp; justification in tab Part IV-b &gt;&gt;</v>
      </c>
      <c r="D574" s="1869"/>
      <c r="E574" s="1869"/>
      <c r="F574" s="1869"/>
      <c r="G574" s="1871">
        <f>'Part IV-A-Uses of Funds'!G71</f>
        <v>0</v>
      </c>
      <c r="H574" s="1871"/>
      <c r="J574" s="1871">
        <f>'Part IV-A-Uses of Funds'!J71</f>
        <v>0</v>
      </c>
      <c r="K574" s="1871"/>
      <c r="L574" s="1889"/>
      <c r="M574" s="1871">
        <f>'Part IV-A-Uses of Funds'!M71</f>
        <v>0</v>
      </c>
      <c r="N574" s="1871"/>
      <c r="P574" s="1871">
        <f>'Part IV-A-Uses of Funds'!P71</f>
        <v>0</v>
      </c>
      <c r="Q574" s="1871"/>
      <c r="S574" s="1871">
        <f>'Part IV-A-Uses of Funds'!S71</f>
        <v>0</v>
      </c>
      <c r="T574" s="1871"/>
      <c r="U574" s="1858" t="str">
        <f>IF(AND(G574&gt;0,OR(C574="",C574="&lt;Enter detailed description here; use Comments section if needed&gt;")),"NO DESCRIPTION PROVIDED - please enter detailed description in Other box at left; use Comments section below if needed.","")</f>
        <v/>
      </c>
      <c r="V574" s="2004"/>
      <c r="W574" s="2005"/>
      <c r="X574" s="2005"/>
      <c r="AZ574" s="1937"/>
      <c r="BA574" s="1857">
        <v>71</v>
      </c>
    </row>
    <row r="575" spans="1:53" s="1856" customFormat="1" ht="12" customHeight="1">
      <c r="A575" s="2006" t="str">
        <f>IF(AND(G575&gt;0,OR(C575="",C575="&lt;Enter detailed description here; use Comments section if needed&gt;")),"X","")</f>
        <v/>
      </c>
      <c r="B575" s="1864" t="s">
        <v>6585</v>
      </c>
      <c r="C575" s="1869" t="str">
        <f>'Part IV-A-Uses of Funds'!C72</f>
        <v>&lt;&lt; Enter description here; provide detail &amp; justification in tab Part IV-b &gt;&gt;</v>
      </c>
      <c r="D575" s="1869"/>
      <c r="E575" s="1869"/>
      <c r="F575" s="1869"/>
      <c r="G575" s="1871">
        <f>'Part IV-A-Uses of Funds'!G72</f>
        <v>0</v>
      </c>
      <c r="H575" s="1871"/>
      <c r="J575" s="1871">
        <f>'Part IV-A-Uses of Funds'!J72</f>
        <v>0</v>
      </c>
      <c r="K575" s="1871"/>
      <c r="L575" s="1889"/>
      <c r="M575" s="1871">
        <f>'Part IV-A-Uses of Funds'!M72</f>
        <v>0</v>
      </c>
      <c r="N575" s="1871"/>
      <c r="P575" s="1871">
        <f>'Part IV-A-Uses of Funds'!P72</f>
        <v>0</v>
      </c>
      <c r="Q575" s="1871"/>
      <c r="S575" s="1871">
        <f>'Part IV-A-Uses of Funds'!S72</f>
        <v>0</v>
      </c>
      <c r="T575" s="1871"/>
      <c r="U575" s="1858" t="str">
        <f>IF(AND(G575&gt;0,OR(C575="",C575="&lt;Enter detailed description here; use Comments section if needed&gt;")),"NO DESCRIPTION PROVIDED - please enter detailed description in Other box at left; use Comments section below if needed.","")</f>
        <v/>
      </c>
      <c r="V575" s="2004"/>
      <c r="W575" s="2005"/>
      <c r="X575" s="2005"/>
      <c r="AZ575" s="1937"/>
      <c r="BA575" s="1868">
        <v>72</v>
      </c>
    </row>
    <row r="576" spans="1:53" s="1856" customFormat="1" ht="12" customHeight="1">
      <c r="F576" s="2007" t="s">
        <v>183</v>
      </c>
      <c r="G576" s="2002">
        <f>SUM(G564:G575)</f>
        <v>509768</v>
      </c>
      <c r="H576" s="2002"/>
      <c r="J576" s="2002">
        <f>SUM(J564:J575)</f>
        <v>504768</v>
      </c>
      <c r="K576" s="2002"/>
      <c r="L576" s="1889"/>
      <c r="M576" s="2002">
        <f>SUM(M564:M575)</f>
        <v>0</v>
      </c>
      <c r="N576" s="2002"/>
      <c r="P576" s="2002">
        <f>SUM(P564:P575)</f>
        <v>0</v>
      </c>
      <c r="Q576" s="2002"/>
      <c r="S576" s="2002">
        <f>SUM(S564:S575)</f>
        <v>5000</v>
      </c>
      <c r="T576" s="2002"/>
      <c r="V576" s="2004">
        <f>SUM(V564:V575)</f>
        <v>0</v>
      </c>
      <c r="W576" s="2005"/>
      <c r="X576" s="2005"/>
      <c r="AZ576" s="1937"/>
      <c r="BA576" s="1857">
        <v>73</v>
      </c>
    </row>
    <row r="577" spans="1:53" s="1856" customFormat="1" ht="12" customHeight="1">
      <c r="B577" s="1856" t="s">
        <v>456</v>
      </c>
      <c r="G577" s="2002"/>
      <c r="H577" s="2002"/>
      <c r="J577" s="2002"/>
      <c r="K577" s="2002"/>
      <c r="M577" s="2002"/>
      <c r="N577" s="2002"/>
      <c r="O577" s="1889" t="str">
        <f>B577</f>
        <v>PROFESSIONAL SERVICES</v>
      </c>
      <c r="P577" s="2002"/>
      <c r="Q577" s="2002"/>
      <c r="S577" s="2002"/>
      <c r="T577" s="2002"/>
      <c r="V577" s="2008"/>
      <c r="W577" s="1856" t="str">
        <f>B577</f>
        <v>PROFESSIONAL SERVICES</v>
      </c>
      <c r="AZ577" s="1937"/>
      <c r="BA577" s="1857">
        <v>74</v>
      </c>
    </row>
    <row r="578" spans="1:53" s="1856" customFormat="1" ht="12" customHeight="1">
      <c r="B578" s="1856" t="s">
        <v>457</v>
      </c>
      <c r="G578" s="1871">
        <f>'Part IV-A-Uses of Funds'!G75</f>
        <v>100800</v>
      </c>
      <c r="H578" s="1871"/>
      <c r="J578" s="1871">
        <f>'Part IV-A-Uses of Funds'!J75</f>
        <v>100800</v>
      </c>
      <c r="K578" s="1871"/>
      <c r="L578" s="1889"/>
      <c r="M578" s="1871">
        <f>'Part IV-A-Uses of Funds'!M75</f>
        <v>0</v>
      </c>
      <c r="N578" s="1871"/>
      <c r="P578" s="1871">
        <f>'Part IV-A-Uses of Funds'!P75</f>
        <v>0</v>
      </c>
      <c r="Q578" s="1871"/>
      <c r="S578" s="1871">
        <f>'Part IV-A-Uses of Funds'!S75</f>
        <v>0</v>
      </c>
      <c r="T578" s="1871"/>
      <c r="V578" s="2004"/>
      <c r="W578" s="2005"/>
      <c r="X578" s="2005"/>
      <c r="AZ578" s="1937"/>
      <c r="BA578" s="1868">
        <v>75</v>
      </c>
    </row>
    <row r="579" spans="1:53" s="1856" customFormat="1" ht="12" customHeight="1">
      <c r="B579" s="1856" t="s">
        <v>458</v>
      </c>
      <c r="G579" s="1871">
        <f>'Part IV-A-Uses of Funds'!G76</f>
        <v>12000</v>
      </c>
      <c r="H579" s="1871"/>
      <c r="J579" s="1871">
        <f>'Part IV-A-Uses of Funds'!J76</f>
        <v>12000</v>
      </c>
      <c r="K579" s="1871"/>
      <c r="L579" s="1889"/>
      <c r="M579" s="1871">
        <f>'Part IV-A-Uses of Funds'!M76</f>
        <v>0</v>
      </c>
      <c r="N579" s="1871"/>
      <c r="P579" s="1871">
        <f>'Part IV-A-Uses of Funds'!P76</f>
        <v>0</v>
      </c>
      <c r="Q579" s="1871"/>
      <c r="S579" s="1871">
        <f>'Part IV-A-Uses of Funds'!S76</f>
        <v>0</v>
      </c>
      <c r="T579" s="1871"/>
      <c r="V579" s="2004"/>
      <c r="W579" s="2005"/>
      <c r="X579" s="2005"/>
      <c r="AZ579" s="1937"/>
      <c r="BA579" s="1857">
        <v>76</v>
      </c>
    </row>
    <row r="580" spans="1:53" s="1856" customFormat="1" ht="12" customHeight="1">
      <c r="B580" s="1856" t="s">
        <v>1086</v>
      </c>
      <c r="D580" s="1860"/>
      <c r="E580" s="2034"/>
      <c r="G580" s="1871">
        <f>'Part IV-A-Uses of Funds'!G77</f>
        <v>35000</v>
      </c>
      <c r="H580" s="1871"/>
      <c r="J580" s="1871">
        <f>'Part IV-A-Uses of Funds'!J77</f>
        <v>35000</v>
      </c>
      <c r="K580" s="1871"/>
      <c r="L580" s="1889"/>
      <c r="M580" s="1871">
        <f>'Part IV-A-Uses of Funds'!M77</f>
        <v>0</v>
      </c>
      <c r="N580" s="1871"/>
      <c r="P580" s="1871">
        <f>'Part IV-A-Uses of Funds'!P77</f>
        <v>0</v>
      </c>
      <c r="Q580" s="1871"/>
      <c r="S580" s="1871">
        <f>'Part IV-A-Uses of Funds'!S77</f>
        <v>0</v>
      </c>
      <c r="T580" s="1871"/>
      <c r="V580" s="2004"/>
      <c r="W580" s="2005"/>
      <c r="X580" s="2005"/>
      <c r="AZ580" s="1937"/>
      <c r="BA580" s="1857">
        <v>77</v>
      </c>
    </row>
    <row r="581" spans="1:53" s="1856" customFormat="1" ht="12" customHeight="1">
      <c r="B581" s="1856" t="s">
        <v>1087</v>
      </c>
      <c r="G581" s="1871">
        <f>'Part IV-A-Uses of Funds'!G78</f>
        <v>2600</v>
      </c>
      <c r="H581" s="1871"/>
      <c r="J581" s="1871">
        <f>'Part IV-A-Uses of Funds'!J78</f>
        <v>2600</v>
      </c>
      <c r="K581" s="1871"/>
      <c r="L581" s="1889"/>
      <c r="M581" s="1871">
        <f>'Part IV-A-Uses of Funds'!M78</f>
        <v>0</v>
      </c>
      <c r="N581" s="1871"/>
      <c r="P581" s="1871">
        <f>'Part IV-A-Uses of Funds'!P78</f>
        <v>0</v>
      </c>
      <c r="Q581" s="1871"/>
      <c r="S581" s="1871">
        <f>'Part IV-A-Uses of Funds'!S78</f>
        <v>0</v>
      </c>
      <c r="T581" s="1871"/>
      <c r="V581" s="2004"/>
      <c r="W581" s="2005"/>
      <c r="X581" s="2005"/>
      <c r="AZ581" s="1937"/>
      <c r="BA581" s="1857">
        <v>78</v>
      </c>
    </row>
    <row r="582" spans="1:53" s="1856" customFormat="1" ht="12" customHeight="1">
      <c r="B582" s="1856" t="s">
        <v>1088</v>
      </c>
      <c r="G582" s="1871">
        <f>'Part IV-A-Uses of Funds'!G79</f>
        <v>20000</v>
      </c>
      <c r="H582" s="1871"/>
      <c r="J582" s="1871">
        <f>'Part IV-A-Uses of Funds'!J79</f>
        <v>20000</v>
      </c>
      <c r="K582" s="1871"/>
      <c r="L582" s="1889"/>
      <c r="M582" s="1871">
        <f>'Part IV-A-Uses of Funds'!M79</f>
        <v>0</v>
      </c>
      <c r="N582" s="1871"/>
      <c r="P582" s="1871">
        <f>'Part IV-A-Uses of Funds'!P79</f>
        <v>0</v>
      </c>
      <c r="Q582" s="1871"/>
      <c r="S582" s="1871">
        <f>'Part IV-A-Uses of Funds'!S79</f>
        <v>0</v>
      </c>
      <c r="T582" s="1871"/>
      <c r="V582" s="2004"/>
      <c r="W582" s="2005"/>
      <c r="X582" s="2005"/>
      <c r="AZ582" s="1937" t="s">
        <v>6693</v>
      </c>
      <c r="BA582" s="1857">
        <v>79</v>
      </c>
    </row>
    <row r="583" spans="1:53" s="1856" customFormat="1" ht="12" customHeight="1">
      <c r="B583" s="1856" t="s">
        <v>1089</v>
      </c>
      <c r="G583" s="1871">
        <f>'Part IV-A-Uses of Funds'!G80</f>
        <v>0</v>
      </c>
      <c r="H583" s="1871"/>
      <c r="J583" s="1871">
        <f>'Part IV-A-Uses of Funds'!J80</f>
        <v>0</v>
      </c>
      <c r="K583" s="1871"/>
      <c r="L583" s="1889"/>
      <c r="M583" s="1871">
        <f>'Part IV-A-Uses of Funds'!M80</f>
        <v>0</v>
      </c>
      <c r="N583" s="1871"/>
      <c r="P583" s="1871">
        <f>'Part IV-A-Uses of Funds'!P80</f>
        <v>0</v>
      </c>
      <c r="Q583" s="1871"/>
      <c r="S583" s="1871">
        <f>'Part IV-A-Uses of Funds'!S80</f>
        <v>0</v>
      </c>
      <c r="T583" s="1871"/>
      <c r="V583" s="2004"/>
      <c r="W583" s="2005"/>
      <c r="X583" s="2005"/>
      <c r="AZ583" s="1937" t="s">
        <v>6694</v>
      </c>
      <c r="BA583" s="1857">
        <v>80</v>
      </c>
    </row>
    <row r="584" spans="1:53" s="1856" customFormat="1" ht="12" customHeight="1">
      <c r="B584" s="1856" t="s">
        <v>459</v>
      </c>
      <c r="G584" s="1871">
        <f>'Part IV-A-Uses of Funds'!G81</f>
        <v>45000</v>
      </c>
      <c r="H584" s="1871"/>
      <c r="J584" s="1871">
        <f>'Part IV-A-Uses of Funds'!J81</f>
        <v>45000</v>
      </c>
      <c r="K584" s="1871"/>
      <c r="L584" s="1889"/>
      <c r="M584" s="1871">
        <f>'Part IV-A-Uses of Funds'!M81</f>
        <v>0</v>
      </c>
      <c r="N584" s="1871"/>
      <c r="P584" s="1871">
        <f>'Part IV-A-Uses of Funds'!P81</f>
        <v>0</v>
      </c>
      <c r="Q584" s="1871"/>
      <c r="S584" s="1871">
        <f>'Part IV-A-Uses of Funds'!S81</f>
        <v>0</v>
      </c>
      <c r="T584" s="1871"/>
      <c r="V584" s="2004"/>
      <c r="W584" s="2005"/>
      <c r="X584" s="2005"/>
      <c r="AZ584" s="1874"/>
      <c r="BA584" s="1857">
        <v>81</v>
      </c>
    </row>
    <row r="585" spans="1:53" s="1856" customFormat="1" ht="12" customHeight="1">
      <c r="B585" s="1856" t="s">
        <v>460</v>
      </c>
      <c r="G585" s="1871">
        <f>'Part IV-A-Uses of Funds'!G82</f>
        <v>70000</v>
      </c>
      <c r="H585" s="1871"/>
      <c r="J585" s="1871">
        <f>'Part IV-A-Uses of Funds'!J82</f>
        <v>63000</v>
      </c>
      <c r="K585" s="1871"/>
      <c r="L585" s="1889"/>
      <c r="M585" s="1871">
        <f>'Part IV-A-Uses of Funds'!M82</f>
        <v>0</v>
      </c>
      <c r="N585" s="1871"/>
      <c r="P585" s="1871">
        <f>'Part IV-A-Uses of Funds'!P82</f>
        <v>0</v>
      </c>
      <c r="Q585" s="1871"/>
      <c r="S585" s="1871">
        <f>'Part IV-A-Uses of Funds'!S82</f>
        <v>7000</v>
      </c>
      <c r="T585" s="1871"/>
      <c r="V585" s="2004"/>
      <c r="W585" s="2005"/>
      <c r="X585" s="2005"/>
      <c r="AZ585" s="1937"/>
      <c r="BA585" s="1857">
        <v>82</v>
      </c>
    </row>
    <row r="586" spans="1:53" s="1856" customFormat="1" ht="12" customHeight="1">
      <c r="B586" s="1856" t="s">
        <v>1958</v>
      </c>
      <c r="G586" s="1871">
        <f>'Part IV-A-Uses of Funds'!G83</f>
        <v>25000</v>
      </c>
      <c r="H586" s="1871"/>
      <c r="J586" s="1871">
        <f>'Part IV-A-Uses of Funds'!J83</f>
        <v>22500</v>
      </c>
      <c r="K586" s="1871"/>
      <c r="L586" s="1889"/>
      <c r="M586" s="1871">
        <f>'Part IV-A-Uses of Funds'!M83</f>
        <v>0</v>
      </c>
      <c r="N586" s="1871"/>
      <c r="P586" s="1871">
        <f>'Part IV-A-Uses of Funds'!P83</f>
        <v>0</v>
      </c>
      <c r="Q586" s="1871"/>
      <c r="S586" s="1871">
        <f>'Part IV-A-Uses of Funds'!S83</f>
        <v>2500</v>
      </c>
      <c r="T586" s="1871"/>
      <c r="V586" s="2004"/>
      <c r="W586" s="2005"/>
      <c r="X586" s="2005"/>
      <c r="AZ586" s="1937"/>
      <c r="BA586" s="1857">
        <v>83</v>
      </c>
    </row>
    <row r="587" spans="1:53" s="1856" customFormat="1" ht="12" customHeight="1">
      <c r="B587" s="1856" t="s">
        <v>1229</v>
      </c>
      <c r="G587" s="1871">
        <f>'Part IV-A-Uses of Funds'!G84</f>
        <v>8000</v>
      </c>
      <c r="H587" s="1871"/>
      <c r="J587" s="1871">
        <f>'Part IV-A-Uses of Funds'!J84</f>
        <v>8000</v>
      </c>
      <c r="K587" s="1871"/>
      <c r="L587" s="1889"/>
      <c r="M587" s="1871">
        <f>'Part IV-A-Uses of Funds'!M84</f>
        <v>0</v>
      </c>
      <c r="N587" s="1871"/>
      <c r="P587" s="1871">
        <f>'Part IV-A-Uses of Funds'!P84</f>
        <v>0</v>
      </c>
      <c r="Q587" s="1871"/>
      <c r="S587" s="1871">
        <f>'Part IV-A-Uses of Funds'!S84</f>
        <v>0</v>
      </c>
      <c r="T587" s="1871"/>
      <c r="V587" s="2004"/>
      <c r="W587" s="2005"/>
      <c r="X587" s="2005"/>
      <c r="AZ587" s="1937"/>
      <c r="BA587" s="1868">
        <v>84</v>
      </c>
    </row>
    <row r="588" spans="1:53" s="1856" customFormat="1" ht="12" customHeight="1">
      <c r="A588" s="2006" t="str">
        <f>IF(AND(G588&gt;0,OR(C588="",C588="&lt;Enter detailed description here; use Comments section if needed&gt;")),"X","")</f>
        <v/>
      </c>
      <c r="B588" s="1864" t="s">
        <v>6586</v>
      </c>
      <c r="C588" s="1869" t="str">
        <f>'Part IV-A-Uses of Funds'!C85</f>
        <v>&lt;&lt; Enter description here; provide detail &amp; justification in tab Part IV-b &gt;&gt;</v>
      </c>
      <c r="D588" s="1869"/>
      <c r="E588" s="1869"/>
      <c r="F588" s="1869"/>
      <c r="G588" s="1871">
        <f>'Part IV-A-Uses of Funds'!G85</f>
        <v>0</v>
      </c>
      <c r="H588" s="1871"/>
      <c r="J588" s="1871">
        <f>'Part IV-A-Uses of Funds'!J85</f>
        <v>0</v>
      </c>
      <c r="K588" s="1871"/>
      <c r="L588" s="1889"/>
      <c r="M588" s="1871">
        <f>'Part IV-A-Uses of Funds'!M85</f>
        <v>0</v>
      </c>
      <c r="N588" s="1871"/>
      <c r="P588" s="1871">
        <f>'Part IV-A-Uses of Funds'!P85</f>
        <v>0</v>
      </c>
      <c r="Q588" s="1871"/>
      <c r="S588" s="1871">
        <f>'Part IV-A-Uses of Funds'!S85</f>
        <v>0</v>
      </c>
      <c r="T588" s="1871"/>
      <c r="U588" s="1858" t="str">
        <f>IF(AND(G588&gt;0,OR(C588="",C588="&lt;Enter detailed description here; use Comments section if needed&gt;")),"NO DESCRIPTION PROVIDED - please enter detailed description in Other box at left; use Comments section below if needed.","")</f>
        <v/>
      </c>
      <c r="V588" s="2004"/>
      <c r="W588" s="2005"/>
      <c r="X588" s="2005"/>
      <c r="AZ588" s="1937"/>
      <c r="BA588" s="1857">
        <v>85</v>
      </c>
    </row>
    <row r="589" spans="1:53" s="1856" customFormat="1" ht="12" customHeight="1">
      <c r="F589" s="2007" t="s">
        <v>183</v>
      </c>
      <c r="G589" s="2002">
        <f>SUM(G578:G588)</f>
        <v>318400</v>
      </c>
      <c r="H589" s="2002"/>
      <c r="J589" s="2002">
        <f>SUM(J578:J588)</f>
        <v>308900</v>
      </c>
      <c r="K589" s="2002"/>
      <c r="L589" s="1889"/>
      <c r="M589" s="2002">
        <f>SUM(M578:M588)</f>
        <v>0</v>
      </c>
      <c r="N589" s="2002"/>
      <c r="P589" s="2002">
        <f>SUM(P578:P588)</f>
        <v>0</v>
      </c>
      <c r="Q589" s="2002"/>
      <c r="S589" s="2002">
        <f>SUM(S578:S588)</f>
        <v>9500</v>
      </c>
      <c r="T589" s="2002"/>
      <c r="V589" s="2004">
        <f>SUM(V578:V588)</f>
        <v>0</v>
      </c>
      <c r="W589" s="2005"/>
      <c r="X589" s="2005"/>
      <c r="AZ589" s="1937" t="s">
        <v>6695</v>
      </c>
      <c r="BA589" s="1857">
        <v>86</v>
      </c>
    </row>
    <row r="590" spans="1:53" s="1865" customFormat="1" ht="12" customHeight="1">
      <c r="A590" s="1856"/>
      <c r="B590" s="1856" t="s">
        <v>1221</v>
      </c>
      <c r="C590" s="1856"/>
      <c r="D590" s="2035" t="s">
        <v>3362</v>
      </c>
      <c r="E590" s="2036">
        <f>G595/'Part VI-Revenues &amp; Expenses'!$P$67</f>
        <v>7739.375</v>
      </c>
      <c r="F590" s="1856"/>
      <c r="G590" s="1856"/>
      <c r="H590" s="1856"/>
      <c r="I590" s="1856"/>
      <c r="J590" s="1889"/>
      <c r="K590" s="1889"/>
      <c r="M590" s="1889"/>
      <c r="N590" s="1889"/>
      <c r="O590" s="1889" t="str">
        <f>B590</f>
        <v>LOCAL GOVERNMENT FEES</v>
      </c>
      <c r="P590" s="1889"/>
      <c r="Q590" s="1889"/>
      <c r="S590" s="1889"/>
      <c r="T590" s="1889"/>
      <c r="V590" s="2008"/>
      <c r="W590" s="1856" t="str">
        <f>B590</f>
        <v>LOCAL GOVERNMENT FEES</v>
      </c>
      <c r="AZ590" s="1937"/>
      <c r="BA590" s="1857">
        <v>87</v>
      </c>
    </row>
    <row r="591" spans="1:53" s="1856" customFormat="1" ht="12" customHeight="1">
      <c r="B591" s="1856" t="s">
        <v>1222</v>
      </c>
      <c r="G591" s="1871">
        <f>'Part IV-A-Uses of Funds'!G88</f>
        <v>48090</v>
      </c>
      <c r="H591" s="1871"/>
      <c r="J591" s="1871">
        <f>'Part IV-A-Uses of Funds'!J88</f>
        <v>48090</v>
      </c>
      <c r="K591" s="1871"/>
      <c r="L591" s="1889"/>
      <c r="M591" s="1871">
        <f>'Part IV-A-Uses of Funds'!M88</f>
        <v>0</v>
      </c>
      <c r="N591" s="1871"/>
      <c r="P591" s="1871">
        <f>'Part IV-A-Uses of Funds'!P88</f>
        <v>0</v>
      </c>
      <c r="Q591" s="1871"/>
      <c r="S591" s="1871">
        <f>'Part IV-A-Uses of Funds'!S88</f>
        <v>0</v>
      </c>
      <c r="T591" s="1871"/>
      <c r="V591" s="2004"/>
      <c r="W591" s="2005"/>
      <c r="X591" s="2005"/>
      <c r="AZ591" s="1937"/>
      <c r="BA591" s="1857">
        <v>88</v>
      </c>
    </row>
    <row r="592" spans="1:53" s="1856" customFormat="1" ht="12" customHeight="1">
      <c r="B592" s="1856" t="s">
        <v>1223</v>
      </c>
      <c r="G592" s="1871">
        <f>'Part IV-A-Uses of Funds'!G89</f>
        <v>63700</v>
      </c>
      <c r="H592" s="1871"/>
      <c r="J592" s="1871">
        <f>'Part IV-A-Uses of Funds'!J89</f>
        <v>63700</v>
      </c>
      <c r="K592" s="1871"/>
      <c r="L592" s="1889"/>
      <c r="M592" s="1871">
        <f>'Part IV-A-Uses of Funds'!M89</f>
        <v>0</v>
      </c>
      <c r="N592" s="1871"/>
      <c r="P592" s="1871">
        <f>'Part IV-A-Uses of Funds'!P89</f>
        <v>0</v>
      </c>
      <c r="Q592" s="1871"/>
      <c r="S592" s="1871">
        <f>'Part IV-A-Uses of Funds'!S89</f>
        <v>0</v>
      </c>
      <c r="T592" s="1871"/>
      <c r="V592" s="2004"/>
      <c r="W592" s="2005"/>
      <c r="X592" s="2005"/>
      <c r="AZ592" s="1937"/>
      <c r="BA592" s="1857">
        <v>89</v>
      </c>
    </row>
    <row r="593" spans="1:53" s="1856" customFormat="1" ht="12" customHeight="1">
      <c r="B593" s="1856" t="s">
        <v>1224</v>
      </c>
      <c r="D593" s="2007" t="s">
        <v>1353</v>
      </c>
      <c r="E593" s="2037" t="str">
        <f>'Part IV-A-Uses of Funds'!E90</f>
        <v>No</v>
      </c>
      <c r="G593" s="1871">
        <f>'Part IV-A-Uses of Funds'!G90</f>
        <v>98000</v>
      </c>
      <c r="H593" s="1871"/>
      <c r="I593" s="1865"/>
      <c r="J593" s="1871">
        <f>'Part IV-A-Uses of Funds'!J90</f>
        <v>98000</v>
      </c>
      <c r="K593" s="1871"/>
      <c r="L593" s="1889"/>
      <c r="M593" s="1871">
        <f>'Part IV-A-Uses of Funds'!M90</f>
        <v>0</v>
      </c>
      <c r="N593" s="1871"/>
      <c r="P593" s="1871">
        <f>'Part IV-A-Uses of Funds'!P90</f>
        <v>0</v>
      </c>
      <c r="Q593" s="1871"/>
      <c r="S593" s="1871">
        <f>'Part IV-A-Uses of Funds'!S90</f>
        <v>0</v>
      </c>
      <c r="T593" s="1871"/>
      <c r="V593" s="2004"/>
      <c r="W593" s="2005"/>
      <c r="X593" s="2005"/>
      <c r="AZ593" s="1937"/>
      <c r="BA593" s="1857">
        <v>90</v>
      </c>
    </row>
    <row r="594" spans="1:53" s="1856" customFormat="1" ht="12" customHeight="1">
      <c r="B594" s="1856" t="s">
        <v>1225</v>
      </c>
      <c r="D594" s="2007" t="s">
        <v>1353</v>
      </c>
      <c r="E594" s="2037" t="str">
        <f>'Part IV-A-Uses of Funds'!E91</f>
        <v>No</v>
      </c>
      <c r="G594" s="1871">
        <f>'Part IV-A-Uses of Funds'!G91</f>
        <v>161700</v>
      </c>
      <c r="H594" s="1871"/>
      <c r="I594" s="1865"/>
      <c r="J594" s="1871">
        <f>'Part IV-A-Uses of Funds'!J91</f>
        <v>161700</v>
      </c>
      <c r="K594" s="1871"/>
      <c r="L594" s="1889"/>
      <c r="M594" s="1871">
        <f>'Part IV-A-Uses of Funds'!M91</f>
        <v>0</v>
      </c>
      <c r="N594" s="1871"/>
      <c r="P594" s="1871">
        <f>'Part IV-A-Uses of Funds'!P91</f>
        <v>0</v>
      </c>
      <c r="Q594" s="1871"/>
      <c r="S594" s="1871">
        <f>'Part IV-A-Uses of Funds'!S91</f>
        <v>0</v>
      </c>
      <c r="T594" s="1871"/>
      <c r="V594" s="2004"/>
      <c r="W594" s="2005"/>
      <c r="X594" s="2005"/>
      <c r="AZ594" s="1937"/>
      <c r="BA594" s="1857">
        <v>91</v>
      </c>
    </row>
    <row r="595" spans="1:53" s="1856" customFormat="1" ht="12" customHeight="1">
      <c r="F595" s="2007" t="s">
        <v>183</v>
      </c>
      <c r="G595" s="2002">
        <f>SUM(G591:G594)</f>
        <v>371490</v>
      </c>
      <c r="H595" s="2002"/>
      <c r="J595" s="2002">
        <f>SUM(J591:J594)</f>
        <v>371490</v>
      </c>
      <c r="K595" s="2002"/>
      <c r="L595" s="1889"/>
      <c r="M595" s="2002">
        <f>SUM(M591:M594)</f>
        <v>0</v>
      </c>
      <c r="N595" s="2002"/>
      <c r="P595" s="2002">
        <f>SUM(P591:P594)</f>
        <v>0</v>
      </c>
      <c r="Q595" s="2002"/>
      <c r="S595" s="2002">
        <f>SUM(S591:S594)</f>
        <v>0</v>
      </c>
      <c r="T595" s="2002"/>
      <c r="V595" s="2004">
        <f>SUM(V591:V594)</f>
        <v>0</v>
      </c>
      <c r="W595" s="2005"/>
      <c r="X595" s="2005"/>
      <c r="AZ595" s="1937"/>
      <c r="BA595" s="1857">
        <v>92</v>
      </c>
    </row>
    <row r="596" spans="1:53" s="1856" customFormat="1" ht="6" customHeight="1">
      <c r="A596" s="1857"/>
      <c r="B596" s="1857"/>
      <c r="C596" s="1857"/>
      <c r="D596" s="1857"/>
      <c r="E596" s="1857"/>
      <c r="F596" s="1857"/>
      <c r="G596" s="1857"/>
      <c r="H596" s="1857"/>
      <c r="I596" s="1857"/>
      <c r="J596" s="1857"/>
      <c r="K596" s="1857"/>
      <c r="L596" s="1857"/>
      <c r="M596" s="1857"/>
      <c r="N596" s="1857"/>
      <c r="O596" s="1857"/>
      <c r="P596" s="1857"/>
      <c r="Q596" s="1857"/>
      <c r="R596" s="1857"/>
      <c r="S596" s="1857"/>
      <c r="T596" s="1857"/>
      <c r="V596" s="2008"/>
      <c r="AZ596" s="1937"/>
      <c r="BA596" s="1857">
        <v>101</v>
      </c>
    </row>
    <row r="597" spans="1:53" s="1856" customFormat="1" ht="18" customHeight="1">
      <c r="A597" s="2000" t="s">
        <v>586</v>
      </c>
      <c r="B597" s="2000" t="s">
        <v>7123</v>
      </c>
      <c r="J597" s="1856" t="s">
        <v>260</v>
      </c>
      <c r="L597" s="2002"/>
      <c r="M597" s="2002" t="s">
        <v>468</v>
      </c>
      <c r="N597" s="2002"/>
      <c r="P597" s="1856" t="s">
        <v>261</v>
      </c>
      <c r="S597" s="1856" t="s">
        <v>262</v>
      </c>
      <c r="V597" s="2003" t="str">
        <f>B597</f>
        <v>DEVELOPMENT BUDGET  (cont'd)</v>
      </c>
      <c r="AZ597" s="1937"/>
      <c r="BA597" s="1857">
        <v>102</v>
      </c>
    </row>
    <row r="598" spans="1:53" s="1856" customFormat="1" ht="18" customHeight="1">
      <c r="G598" s="1856" t="s">
        <v>94</v>
      </c>
      <c r="L598" s="2002"/>
      <c r="M598" s="2002"/>
      <c r="N598" s="2002"/>
      <c r="V598" s="1865" t="s">
        <v>2538</v>
      </c>
      <c r="X598" s="1865"/>
      <c r="AZ598" s="1937"/>
      <c r="BA598" s="1857">
        <v>103</v>
      </c>
    </row>
    <row r="599" spans="1:53" s="1856" customFormat="1" ht="12" customHeight="1">
      <c r="B599" s="1856" t="s">
        <v>694</v>
      </c>
      <c r="J599" s="1889"/>
      <c r="K599" s="1889"/>
      <c r="M599" s="1889"/>
      <c r="N599" s="1889"/>
      <c r="O599" s="1889" t="str">
        <f>B599</f>
        <v>PERMANENT FINANCING FEES</v>
      </c>
      <c r="P599" s="1889"/>
      <c r="Q599" s="1889"/>
      <c r="S599" s="1889"/>
      <c r="T599" s="1889"/>
      <c r="V599" s="2008"/>
      <c r="W599" s="1856" t="str">
        <f>B599</f>
        <v>PERMANENT FINANCING FEES</v>
      </c>
      <c r="AZ599" s="1937" t="s">
        <v>6696</v>
      </c>
      <c r="BA599" s="1868">
        <v>93</v>
      </c>
    </row>
    <row r="600" spans="1:53" s="1856" customFormat="1" ht="12" customHeight="1">
      <c r="B600" s="1856" t="s">
        <v>1226</v>
      </c>
      <c r="G600" s="1871">
        <f>'Part IV-A-Uses of Funds'!G97</f>
        <v>7979</v>
      </c>
      <c r="H600" s="1871"/>
      <c r="J600" s="2002"/>
      <c r="K600" s="2002"/>
      <c r="L600" s="1889"/>
      <c r="M600" s="2002"/>
      <c r="N600" s="2002"/>
      <c r="P600" s="2002"/>
      <c r="Q600" s="2002"/>
      <c r="S600" s="1871">
        <f>'Part IV-A-Uses of Funds'!S97</f>
        <v>7979</v>
      </c>
      <c r="T600" s="1871"/>
      <c r="V600" s="2004"/>
      <c r="W600" s="2005"/>
      <c r="X600" s="2005"/>
      <c r="AZ600" s="1937" t="s">
        <v>6697</v>
      </c>
      <c r="BA600" s="1857">
        <v>94</v>
      </c>
    </row>
    <row r="601" spans="1:53" s="1856" customFormat="1" ht="12" customHeight="1">
      <c r="B601" s="1856" t="s">
        <v>1227</v>
      </c>
      <c r="G601" s="1871">
        <f>'Part IV-A-Uses of Funds'!G98</f>
        <v>15000</v>
      </c>
      <c r="H601" s="1871"/>
      <c r="J601" s="2002"/>
      <c r="K601" s="2002"/>
      <c r="L601" s="1889"/>
      <c r="M601" s="2002"/>
      <c r="N601" s="2002"/>
      <c r="P601" s="2002"/>
      <c r="Q601" s="2002"/>
      <c r="S601" s="1871">
        <f>'Part IV-A-Uses of Funds'!S98</f>
        <v>15000</v>
      </c>
      <c r="T601" s="1871"/>
      <c r="V601" s="2004"/>
      <c r="W601" s="2005"/>
      <c r="X601" s="2005"/>
      <c r="AZ601" s="1937"/>
      <c r="BA601" s="1857">
        <v>95</v>
      </c>
    </row>
    <row r="602" spans="1:53" s="1856" customFormat="1" ht="12" customHeight="1">
      <c r="B602" s="1856" t="s">
        <v>1228</v>
      </c>
      <c r="G602" s="1871">
        <f>'Part IV-A-Uses of Funds'!G99</f>
        <v>5000</v>
      </c>
      <c r="H602" s="1871"/>
      <c r="J602" s="2002"/>
      <c r="K602" s="2002"/>
      <c r="L602" s="1889"/>
      <c r="M602" s="2002"/>
      <c r="N602" s="2002"/>
      <c r="P602" s="2002"/>
      <c r="Q602" s="2002"/>
      <c r="S602" s="1871">
        <f>'Part IV-A-Uses of Funds'!S99</f>
        <v>5000</v>
      </c>
      <c r="T602" s="1871"/>
      <c r="V602" s="2004"/>
      <c r="W602" s="2005"/>
      <c r="X602" s="2005"/>
      <c r="AZ602" s="1937"/>
      <c r="BA602" s="1857">
        <v>96</v>
      </c>
    </row>
    <row r="603" spans="1:53" s="1856" customFormat="1" ht="12" customHeight="1">
      <c r="B603" s="1856" t="s">
        <v>1230</v>
      </c>
      <c r="G603" s="1871">
        <f>'Part IV-A-Uses of Funds'!G100</f>
        <v>0</v>
      </c>
      <c r="H603" s="1871"/>
      <c r="J603" s="2002"/>
      <c r="K603" s="2002"/>
      <c r="L603" s="1889"/>
      <c r="M603" s="2002"/>
      <c r="N603" s="2002"/>
      <c r="P603" s="2002"/>
      <c r="Q603" s="2002"/>
      <c r="S603" s="1871">
        <f>'Part IV-A-Uses of Funds'!S100</f>
        <v>0</v>
      </c>
      <c r="T603" s="1871"/>
      <c r="V603" s="2004"/>
      <c r="W603" s="2005"/>
      <c r="X603" s="2005"/>
      <c r="AZ603" s="1937"/>
      <c r="BA603" s="1857">
        <v>97</v>
      </c>
    </row>
    <row r="604" spans="1:53" s="1856" customFormat="1" ht="12" customHeight="1">
      <c r="B604" s="1856" t="s">
        <v>2196</v>
      </c>
      <c r="G604" s="1871">
        <f>'Part IV-A-Uses of Funds'!G101</f>
        <v>0</v>
      </c>
      <c r="H604" s="1871"/>
      <c r="J604" s="2002"/>
      <c r="K604" s="2002"/>
      <c r="L604" s="1889"/>
      <c r="M604" s="2002"/>
      <c r="N604" s="2002"/>
      <c r="P604" s="2002"/>
      <c r="Q604" s="2002"/>
      <c r="S604" s="1871">
        <f>'Part IV-A-Uses of Funds'!S101</f>
        <v>0</v>
      </c>
      <c r="T604" s="1871"/>
      <c r="V604" s="2004"/>
      <c r="W604" s="2005"/>
      <c r="X604" s="2005"/>
      <c r="AZ604" s="1937"/>
      <c r="BA604" s="1857">
        <v>98</v>
      </c>
    </row>
    <row r="605" spans="1:53" s="1856" customFormat="1" ht="12" customHeight="1">
      <c r="A605" s="2006" t="str">
        <f>IF(AND(G605&gt;0,OR(C605="",C605="&lt;Enter detailed description here; use Comments section if needed&gt;")),"X","")</f>
        <v/>
      </c>
      <c r="B605" s="1864" t="s">
        <v>6587</v>
      </c>
      <c r="C605" s="1869" t="str">
        <f>'Part IV-A-Uses of Funds'!C102</f>
        <v>1st year perm insurance</v>
      </c>
      <c r="D605" s="1869"/>
      <c r="E605" s="1869"/>
      <c r="F605" s="1869"/>
      <c r="G605" s="1871">
        <f>'Part IV-A-Uses of Funds'!G102</f>
        <v>19500</v>
      </c>
      <c r="H605" s="1871"/>
      <c r="J605" s="2002"/>
      <c r="K605" s="2002"/>
      <c r="L605" s="1889"/>
      <c r="M605" s="2002"/>
      <c r="N605" s="2002"/>
      <c r="P605" s="2002"/>
      <c r="Q605" s="2002"/>
      <c r="S605" s="1871">
        <f>'Part IV-A-Uses of Funds'!S102</f>
        <v>19500</v>
      </c>
      <c r="T605" s="1871"/>
      <c r="U605" s="1858" t="str">
        <f>IF(AND(G605&gt;0,OR(C605="",C605="&lt;Enter detailed description here; use Comments section if needed&gt;")),"NO DESCRIPTION PROVIDED - please enter detailed description in Other box at left; use Comments section below if needed.","")</f>
        <v/>
      </c>
      <c r="V605" s="2004"/>
      <c r="W605" s="2005"/>
      <c r="X605" s="2005"/>
      <c r="AZ605" s="1937"/>
      <c r="BA605" s="1857">
        <v>99</v>
      </c>
    </row>
    <row r="606" spans="1:53" s="1856" customFormat="1" ht="12" customHeight="1">
      <c r="F606" s="2007" t="s">
        <v>183</v>
      </c>
      <c r="G606" s="2002">
        <f>SUM(G600:G605)</f>
        <v>47479</v>
      </c>
      <c r="H606" s="2002"/>
      <c r="J606" s="2002"/>
      <c r="K606" s="2002"/>
      <c r="L606" s="1889"/>
      <c r="M606" s="2002"/>
      <c r="N606" s="2002"/>
      <c r="P606" s="2002"/>
      <c r="Q606" s="2002"/>
      <c r="S606" s="2002">
        <f>SUM(S600:S605)</f>
        <v>47479</v>
      </c>
      <c r="T606" s="2002"/>
      <c r="V606" s="2004">
        <f>SUM(V600:V605)</f>
        <v>0</v>
      </c>
      <c r="W606" s="2005"/>
      <c r="X606" s="2005"/>
      <c r="AZ606" s="1937"/>
      <c r="BA606" s="1868">
        <v>100</v>
      </c>
    </row>
    <row r="607" spans="1:53" s="1856" customFormat="1" ht="13.35" customHeight="1">
      <c r="B607" s="1856" t="s">
        <v>695</v>
      </c>
      <c r="J607" s="1889"/>
      <c r="K607" s="1889"/>
      <c r="M607" s="1889"/>
      <c r="N607" s="1889"/>
      <c r="O607" s="1889" t="str">
        <f>B607</f>
        <v>DCA-RELATED COSTS</v>
      </c>
      <c r="P607" s="1889"/>
      <c r="Q607" s="1889"/>
      <c r="S607" s="1889"/>
      <c r="T607" s="1889"/>
      <c r="V607" s="2008"/>
      <c r="W607" s="1856" t="str">
        <f>B607</f>
        <v>DCA-RELATED COSTS</v>
      </c>
      <c r="AZ607" s="1937"/>
      <c r="BA607" s="1857">
        <v>104</v>
      </c>
    </row>
    <row r="608" spans="1:53" s="1856" customFormat="1" ht="12.6" customHeight="1">
      <c r="B608" s="1856" t="str">
        <f>CONCATENATE("DCA HOME Loan Consent Pre-Application Fee ($",'DCA Underwriting Assumptions'!$Q$82, " FP/JV, $",'DCA Underwriting Assumptions'!$Q$83, " NP)")</f>
        <v>DCA HOME Loan Consent Pre-Application Fee ($1000 FP/JV, $500 NP)</v>
      </c>
      <c r="G608" s="1871">
        <f>'Part IV-A-Uses of Funds'!G105</f>
        <v>0</v>
      </c>
      <c r="H608" s="1871"/>
      <c r="J608" s="1889"/>
      <c r="K608" s="1889"/>
      <c r="L608" s="1889"/>
      <c r="M608" s="1889"/>
      <c r="N608" s="1889"/>
      <c r="P608" s="1889"/>
      <c r="Q608" s="1889"/>
      <c r="S608" s="1871">
        <f>'Part IV-A-Uses of Funds'!S105</f>
        <v>0</v>
      </c>
      <c r="T608" s="1871"/>
      <c r="V608" s="2004"/>
      <c r="W608" s="2005"/>
      <c r="X608" s="2005"/>
      <c r="AZ608" s="1937"/>
      <c r="BA608" s="1857">
        <v>105</v>
      </c>
    </row>
    <row r="609" spans="1:53" s="1856" customFormat="1" ht="12.6" customHeight="1">
      <c r="B609" s="1856" t="str">
        <f>CONCATENATE("Tax Credit Application Fee ($",'DCA Underwriting Assumptions'!$Q$88, " ForProf/JntVent, $",'DCA Underwriting Assumptions'!$Q$89, " NonProf)")</f>
        <v>Tax Credit Application Fee ($6500 ForProf/JntVent, $5500 NonProf)</v>
      </c>
      <c r="G609" s="1871">
        <f>'Part IV-A-Uses of Funds'!G106</f>
        <v>5500</v>
      </c>
      <c r="H609" s="1871"/>
      <c r="J609" s="1889"/>
      <c r="K609" s="1889"/>
      <c r="L609" s="2038"/>
      <c r="M609" s="1889"/>
      <c r="N609" s="1889"/>
      <c r="P609" s="1889"/>
      <c r="Q609" s="1889"/>
      <c r="S609" s="1871">
        <f>'Part IV-A-Uses of Funds'!S106</f>
        <v>5500</v>
      </c>
      <c r="T609" s="1871"/>
      <c r="V609" s="2004"/>
      <c r="W609" s="2005"/>
      <c r="X609" s="2005"/>
      <c r="AZ609" s="1937" t="s">
        <v>6698</v>
      </c>
      <c r="BA609" s="1857">
        <v>106</v>
      </c>
    </row>
    <row r="610" spans="1:53" s="1856" customFormat="1" ht="12.6" customHeight="1">
      <c r="B610" s="1856" t="s">
        <v>3464</v>
      </c>
      <c r="G610" s="1871">
        <f>'Part IV-A-Uses of Funds'!G107</f>
        <v>1000</v>
      </c>
      <c r="H610" s="1871"/>
      <c r="J610" s="1889"/>
      <c r="K610" s="1889"/>
      <c r="L610" s="2038"/>
      <c r="M610" s="1889"/>
      <c r="N610" s="1889"/>
      <c r="P610" s="1889"/>
      <c r="Q610" s="1889"/>
      <c r="S610" s="1871">
        <f>'Part IV-A-Uses of Funds'!S107</f>
        <v>1000</v>
      </c>
      <c r="T610" s="1871"/>
      <c r="V610" s="2004"/>
      <c r="W610" s="2005"/>
      <c r="X610" s="2005"/>
      <c r="AZ610" s="1937" t="s">
        <v>6699</v>
      </c>
      <c r="BA610" s="1857">
        <v>107</v>
      </c>
    </row>
    <row r="611" spans="1:53" s="1856" customFormat="1" ht="12.6" customHeight="1">
      <c r="B611" s="1856" t="s">
        <v>494</v>
      </c>
      <c r="E611" s="2039">
        <f>ROUNDUP('DCA Underwriting Assumptions'!$Q$93*J700,0)</f>
        <v>72000</v>
      </c>
      <c r="F611" s="2039"/>
      <c r="G611" s="1871">
        <f>'Part IV-A-Uses of Funds'!G108</f>
        <v>72000</v>
      </c>
      <c r="H611" s="1871"/>
      <c r="J611" s="2040" t="str">
        <f>IF(E611&gt;G611,"WARNING!  LIHTC Allocation Fee proposed is below minimum required.","")</f>
        <v/>
      </c>
      <c r="K611" s="1889"/>
      <c r="L611" s="1889"/>
      <c r="M611" s="1889"/>
      <c r="N611" s="1889"/>
      <c r="P611" s="1889"/>
      <c r="Q611" s="1889"/>
      <c r="S611" s="1871">
        <f>'Part IV-A-Uses of Funds'!S108</f>
        <v>72000</v>
      </c>
      <c r="T611" s="1871"/>
      <c r="V611" s="2004"/>
      <c r="W611" s="2005"/>
      <c r="X611" s="2005"/>
      <c r="AZ611" s="1937" t="s">
        <v>6700</v>
      </c>
      <c r="BA611" s="1857">
        <v>108</v>
      </c>
    </row>
    <row r="612" spans="1:53" s="1856" customFormat="1" ht="12.6" customHeight="1">
      <c r="B612" s="1856" t="s">
        <v>723</v>
      </c>
      <c r="E612" s="203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48000</v>
      </c>
      <c r="F612" s="2039"/>
      <c r="G612" s="1871">
        <f>'Part IV-A-Uses of Funds'!G109</f>
        <v>48000</v>
      </c>
      <c r="H612" s="1871"/>
      <c r="I612" s="2041" t="str">
        <f>IF(E612&gt;G612,"WARNING!  LIHTC Compliance Fee proposed is below minimum required.","")</f>
        <v/>
      </c>
      <c r="J612" s="2041"/>
      <c r="K612" s="2041"/>
      <c r="L612" s="2041"/>
      <c r="M612" s="2041"/>
      <c r="N612" s="2041"/>
      <c r="O612" s="2041"/>
      <c r="P612" s="2041"/>
      <c r="Q612" s="2041"/>
      <c r="R612" s="2041"/>
      <c r="S612" s="1871">
        <f>'Part IV-A-Uses of Funds'!S109</f>
        <v>48000</v>
      </c>
      <c r="T612" s="1871"/>
      <c r="V612" s="2004"/>
      <c r="W612" s="2005"/>
      <c r="X612" s="2005"/>
      <c r="AZ612" s="1937"/>
      <c r="BA612" s="1868">
        <v>109</v>
      </c>
    </row>
    <row r="613" spans="1:53" s="1856" customFormat="1" ht="12.6" customHeight="1">
      <c r="B613" s="1856" t="s">
        <v>3604</v>
      </c>
      <c r="F613" s="2042">
        <f>ROUNDUP('DCA Underwriting Assumptions'!$Q$95,0)</f>
        <v>0</v>
      </c>
      <c r="G613" s="1871">
        <f>'Part IV-A-Uses of Funds'!G110</f>
        <v>0</v>
      </c>
      <c r="H613" s="1871"/>
      <c r="I613" s="2041"/>
      <c r="J613" s="2041"/>
      <c r="K613" s="2041"/>
      <c r="L613" s="2041"/>
      <c r="M613" s="2041"/>
      <c r="N613" s="2041"/>
      <c r="O613" s="2041"/>
      <c r="P613" s="2041"/>
      <c r="Q613" s="2041"/>
      <c r="R613" s="2041"/>
      <c r="S613" s="1871">
        <f>'Part IV-A-Uses of Funds'!S110</f>
        <v>0</v>
      </c>
      <c r="T613" s="1871"/>
      <c r="V613" s="2004"/>
      <c r="W613" s="2005"/>
      <c r="X613" s="2005"/>
      <c r="AZ613" s="1937"/>
      <c r="BA613" s="1857">
        <v>110</v>
      </c>
    </row>
    <row r="614" spans="1:53" s="1856" customFormat="1" ht="12.6" customHeight="1">
      <c r="B614" s="1856" t="s">
        <v>3605</v>
      </c>
      <c r="F614" s="2042">
        <f>ROUNDUP('DCA Underwriting Assumptions'!$Q$128,0)</f>
        <v>3000</v>
      </c>
      <c r="G614" s="1871">
        <f>'Part IV-A-Uses of Funds'!G111</f>
        <v>0</v>
      </c>
      <c r="H614" s="1871"/>
      <c r="J614" s="1874"/>
      <c r="K614" s="1874"/>
      <c r="L614" s="1874"/>
      <c r="M614" s="1874"/>
      <c r="N614" s="1874"/>
      <c r="O614" s="1874"/>
      <c r="P614" s="1874"/>
      <c r="Q614" s="1874"/>
      <c r="S614" s="1871">
        <f>'Part IV-A-Uses of Funds'!S111</f>
        <v>0</v>
      </c>
      <c r="T614" s="1871"/>
      <c r="V614" s="2004"/>
      <c r="W614" s="2005"/>
      <c r="X614" s="2005"/>
      <c r="AZ614" s="1937"/>
      <c r="BA614" s="1857">
        <v>111</v>
      </c>
    </row>
    <row r="615" spans="1:53" s="1856" customFormat="1" ht="12.6" customHeight="1">
      <c r="A615" s="2006" t="str">
        <f>IF(AND(G615&gt;0,OR(C615="",C615="&lt;Enter detailed description here; use Comments section if needed&gt;")),"X","")</f>
        <v/>
      </c>
      <c r="B615" s="1864" t="s">
        <v>6583</v>
      </c>
      <c r="C615" s="1869" t="str">
        <f>'Part IV-A-Uses of Funds'!C112</f>
        <v>&lt;&lt; Enter description here; provide detail &amp; justification in tab Part IV-b &gt;&gt;</v>
      </c>
      <c r="D615" s="1869"/>
      <c r="E615" s="1869"/>
      <c r="F615" s="1869"/>
      <c r="G615" s="1871">
        <f>'Part IV-A-Uses of Funds'!G112</f>
        <v>0</v>
      </c>
      <c r="H615" s="1871"/>
      <c r="J615" s="1874"/>
      <c r="K615" s="1874"/>
      <c r="L615" s="1874"/>
      <c r="M615" s="1874"/>
      <c r="N615" s="1874"/>
      <c r="O615" s="1874"/>
      <c r="P615" s="1874"/>
      <c r="Q615" s="1874"/>
      <c r="S615" s="1871">
        <f>'Part IV-A-Uses of Funds'!S112</f>
        <v>0</v>
      </c>
      <c r="T615" s="1871"/>
      <c r="U615" s="1858" t="str">
        <f>IF(AND(G615&gt;0,OR(C615="",C615="&lt;Enter detailed description here; use Comments section if needed&gt;")),"NO DESCRIPTION PROVIDED - please enter detailed description in Other box at left; use Comments section below if needed.","")</f>
        <v/>
      </c>
      <c r="V615" s="2004"/>
      <c r="W615" s="2005"/>
      <c r="X615" s="2005"/>
      <c r="AZ615" s="1937"/>
      <c r="BA615" s="1868">
        <v>112</v>
      </c>
    </row>
    <row r="616" spans="1:53" s="1856" customFormat="1" ht="12.6" customHeight="1">
      <c r="A616" s="2006" t="str">
        <f>IF(AND(G616&gt;0,OR(C616="",C616="&lt;Enter detailed description here; use Comments section if needed&gt;")),"X","")</f>
        <v/>
      </c>
      <c r="B616" s="1864" t="s">
        <v>6583</v>
      </c>
      <c r="C616" s="1869" t="str">
        <f>'Part IV-A-Uses of Funds'!C113</f>
        <v>&lt;&lt; Enter description here; provide detail &amp; justification in tab Part IV-b &gt;&gt;</v>
      </c>
      <c r="D616" s="1869"/>
      <c r="E616" s="1869"/>
      <c r="F616" s="1869"/>
      <c r="G616" s="1871">
        <f>'Part IV-A-Uses of Funds'!G113</f>
        <v>0</v>
      </c>
      <c r="H616" s="1871"/>
      <c r="J616" s="1874"/>
      <c r="K616" s="1874"/>
      <c r="L616" s="1874"/>
      <c r="M616" s="1874"/>
      <c r="N616" s="1874"/>
      <c r="O616" s="1874"/>
      <c r="P616" s="1874"/>
      <c r="Q616" s="1874"/>
      <c r="S616" s="1871">
        <f>'Part IV-A-Uses of Funds'!S113</f>
        <v>0</v>
      </c>
      <c r="T616" s="1871"/>
      <c r="U616" s="1858" t="str">
        <f>IF(AND(G616&gt;0,OR(C616="",C616="&lt;Enter detailed description here; use Comments section if needed&gt;")),"NO DESCRIPTION PROVIDED - please enter detailed description in Other box at left; use Comments section below if needed.","")</f>
        <v/>
      </c>
      <c r="V616" s="2004"/>
      <c r="W616" s="2005"/>
      <c r="X616" s="2005"/>
      <c r="AZ616" s="1937" t="s">
        <v>6701</v>
      </c>
      <c r="BA616" s="1857">
        <v>113</v>
      </c>
    </row>
    <row r="617" spans="1:53" s="1856" customFormat="1" ht="12.6" customHeight="1">
      <c r="F617" s="2007" t="s">
        <v>183</v>
      </c>
      <c r="G617" s="2002">
        <f>SUM(G608:G616)</f>
        <v>126500</v>
      </c>
      <c r="H617" s="2002"/>
      <c r="J617" s="1889"/>
      <c r="K617" s="1889"/>
      <c r="L617" s="1889"/>
      <c r="M617" s="1889"/>
      <c r="N617" s="1889"/>
      <c r="P617" s="1889"/>
      <c r="Q617" s="1889"/>
      <c r="S617" s="2002">
        <f>SUM(S608:S616)</f>
        <v>126500</v>
      </c>
      <c r="T617" s="2002"/>
      <c r="V617" s="2004">
        <f>SUM(V608:V616)</f>
        <v>0</v>
      </c>
      <c r="W617" s="2043"/>
      <c r="X617" s="2043"/>
      <c r="AZ617" s="1937" t="s">
        <v>6702</v>
      </c>
      <c r="BA617" s="1857">
        <v>114</v>
      </c>
    </row>
    <row r="618" spans="1:53" s="1856" customFormat="1" ht="13.35" customHeight="1">
      <c r="B618" s="1856" t="s">
        <v>2197</v>
      </c>
      <c r="J618" s="1889"/>
      <c r="K618" s="1889"/>
      <c r="M618" s="1889"/>
      <c r="N618" s="1889"/>
      <c r="O618" s="1889" t="str">
        <f>B618</f>
        <v>EQUITY COSTS</v>
      </c>
      <c r="P618" s="1889"/>
      <c r="Q618" s="1889"/>
      <c r="S618" s="1889"/>
      <c r="T618" s="1889"/>
      <c r="V618" s="2008"/>
      <c r="W618" s="1856" t="str">
        <f>B618</f>
        <v>EQUITY COSTS</v>
      </c>
      <c r="AZ618" s="1924"/>
      <c r="BA618" s="1857">
        <v>115</v>
      </c>
    </row>
    <row r="619" spans="1:53" s="1856" customFormat="1" ht="12.6" customHeight="1">
      <c r="B619" s="1856" t="s">
        <v>268</v>
      </c>
      <c r="G619" s="1871">
        <f>'Part IV-A-Uses of Funds'!G116</f>
        <v>4457</v>
      </c>
      <c r="H619" s="1871"/>
      <c r="J619" s="2002"/>
      <c r="K619" s="2002"/>
      <c r="L619" s="1889"/>
      <c r="M619" s="2002"/>
      <c r="N619" s="2002"/>
      <c r="P619" s="2002"/>
      <c r="Q619" s="2002"/>
      <c r="S619" s="1871">
        <f>'Part IV-A-Uses of Funds'!S116</f>
        <v>4457</v>
      </c>
      <c r="T619" s="1871"/>
      <c r="V619" s="2004"/>
      <c r="W619" s="2005"/>
      <c r="X619" s="2005"/>
      <c r="AZ619" s="1924"/>
      <c r="BA619" s="1857">
        <v>116</v>
      </c>
    </row>
    <row r="620" spans="1:53" s="1856" customFormat="1" ht="12.6" customHeight="1">
      <c r="B620" s="1856" t="s">
        <v>269</v>
      </c>
      <c r="G620" s="1871">
        <f>'Part IV-A-Uses of Funds'!G117</f>
        <v>2500</v>
      </c>
      <c r="H620" s="1871"/>
      <c r="J620" s="2002"/>
      <c r="K620" s="2002"/>
      <c r="L620" s="1889"/>
      <c r="M620" s="2002"/>
      <c r="N620" s="2002"/>
      <c r="P620" s="2002"/>
      <c r="Q620" s="2002"/>
      <c r="S620" s="1871">
        <f>'Part IV-A-Uses of Funds'!S117</f>
        <v>2500</v>
      </c>
      <c r="T620" s="1871"/>
      <c r="V620" s="2004"/>
      <c r="W620" s="2005"/>
      <c r="X620" s="2005"/>
      <c r="AZ620" s="1924"/>
      <c r="BA620" s="1857">
        <v>117</v>
      </c>
    </row>
    <row r="621" spans="1:53" s="1856" customFormat="1" ht="12.6" customHeight="1">
      <c r="B621" s="1856" t="s">
        <v>2280</v>
      </c>
      <c r="G621" s="1871">
        <f>'Part IV-A-Uses of Funds'!G118</f>
        <v>15000</v>
      </c>
      <c r="H621" s="1871"/>
      <c r="J621" s="2002"/>
      <c r="K621" s="2002"/>
      <c r="L621" s="1889"/>
      <c r="M621" s="2002"/>
      <c r="N621" s="2002"/>
      <c r="P621" s="2002"/>
      <c r="Q621" s="2002"/>
      <c r="S621" s="1871">
        <f>'Part IV-A-Uses of Funds'!S118</f>
        <v>15000</v>
      </c>
      <c r="T621" s="1871"/>
      <c r="V621" s="2004"/>
      <c r="W621" s="2005"/>
      <c r="X621" s="2005"/>
      <c r="AZ621" s="1924"/>
      <c r="BA621" s="1857">
        <v>118</v>
      </c>
    </row>
    <row r="622" spans="1:53" s="1856" customFormat="1" ht="12.6" customHeight="1">
      <c r="A622" s="2006" t="str">
        <f>IF(AND(G622&gt;0,OR(C622="",C622="&lt;Enter detailed description here; use Comments section if needed&gt;")),"X","")</f>
        <v/>
      </c>
      <c r="B622" s="1864" t="s">
        <v>6583</v>
      </c>
      <c r="C622" s="1869" t="str">
        <f>'Part IV-A-Uses of Funds'!C119</f>
        <v>&lt;&lt; Enter description here; provide detail &amp; justification in tab Part IV-b &gt;&gt;</v>
      </c>
      <c r="D622" s="1869"/>
      <c r="E622" s="1869"/>
      <c r="F622" s="1869"/>
      <c r="G622" s="1871">
        <f>'Part IV-A-Uses of Funds'!G119</f>
        <v>0</v>
      </c>
      <c r="H622" s="1871"/>
      <c r="J622" s="2002"/>
      <c r="K622" s="2002"/>
      <c r="L622" s="1889"/>
      <c r="M622" s="2002"/>
      <c r="N622" s="2002"/>
      <c r="P622" s="2002"/>
      <c r="Q622" s="2002"/>
      <c r="S622" s="1871">
        <f>'Part IV-A-Uses of Funds'!S119</f>
        <v>0</v>
      </c>
      <c r="T622" s="1871"/>
      <c r="U622" s="1858" t="str">
        <f>IF(AND(G622&gt;0,OR(C622="",C622="&lt;Enter detailed description here; use Comments section if needed&gt;")),"NO DESCRIPTION PROVIDED - please enter detailed description in Other box at left; use Comments section below if needed.","")</f>
        <v/>
      </c>
      <c r="V622" s="2004"/>
      <c r="W622" s="2005"/>
      <c r="X622" s="2005"/>
      <c r="AZ622" s="1924"/>
      <c r="BA622" s="1857">
        <v>119</v>
      </c>
    </row>
    <row r="623" spans="1:53" s="1856" customFormat="1" ht="12.6" customHeight="1">
      <c r="F623" s="2007" t="s">
        <v>183</v>
      </c>
      <c r="G623" s="2002">
        <f>SUM(G619:G622)</f>
        <v>21957</v>
      </c>
      <c r="H623" s="2002"/>
      <c r="J623" s="2002"/>
      <c r="K623" s="2002"/>
      <c r="L623" s="1889"/>
      <c r="M623" s="2002"/>
      <c r="N623" s="2002"/>
      <c r="P623" s="2002"/>
      <c r="Q623" s="2002"/>
      <c r="S623" s="2002">
        <f>SUM(S619:S622)</f>
        <v>21957</v>
      </c>
      <c r="T623" s="2002"/>
      <c r="V623" s="2004">
        <f>SUM(V619:V622)</f>
        <v>0</v>
      </c>
      <c r="W623" s="2005"/>
      <c r="X623" s="2005"/>
      <c r="AC623" s="1950" t="s">
        <v>4116</v>
      </c>
      <c r="AD623" s="1950" t="s">
        <v>4117</v>
      </c>
      <c r="AE623" s="1950" t="s">
        <v>4122</v>
      </c>
      <c r="AF623" s="1864" t="s">
        <v>4118</v>
      </c>
      <c r="AZ623" s="1924"/>
      <c r="BA623" s="1857">
        <v>120</v>
      </c>
    </row>
    <row r="624" spans="1:53" s="1856" customFormat="1" ht="13.35" customHeight="1">
      <c r="B624" s="1856" t="s">
        <v>270</v>
      </c>
      <c r="D624" s="1989" t="s">
        <v>4119</v>
      </c>
      <c r="E624" s="1859"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4"/>
      <c r="J624" s="1889"/>
      <c r="K624" s="2002"/>
      <c r="M624" s="1889"/>
      <c r="N624" s="2002"/>
      <c r="O624" s="1889" t="str">
        <f>B624</f>
        <v>DEVELOPER'S FEE</v>
      </c>
      <c r="P624" s="1889"/>
      <c r="Q624" s="2002"/>
      <c r="S624" s="1889"/>
      <c r="T624" s="2002"/>
      <c r="V624" s="2008"/>
      <c r="W624" s="1856" t="str">
        <f>B624</f>
        <v>DEVELOPER'S FEE</v>
      </c>
      <c r="Y624" s="1950" t="s">
        <v>4107</v>
      </c>
      <c r="Z624" s="1967"/>
      <c r="AA624" s="2044" t="s">
        <v>4113</v>
      </c>
      <c r="AB624" s="2044" t="s">
        <v>4114</v>
      </c>
      <c r="AC624" s="1950"/>
      <c r="AD624" s="1950"/>
      <c r="AE624" s="1950"/>
      <c r="AF624" s="1864"/>
      <c r="AI624" s="1924"/>
      <c r="AK624" s="2045"/>
      <c r="AZ624" s="1924" t="s">
        <v>6703</v>
      </c>
      <c r="BA624" s="1868">
        <v>121</v>
      </c>
    </row>
    <row r="625" spans="1:53" s="1856" customFormat="1" ht="12.6" customHeight="1">
      <c r="B625" s="1856" t="s">
        <v>1775</v>
      </c>
      <c r="F625" s="1984">
        <f>IF($G$127=0,0,G625/$G$127)</f>
        <v>0</v>
      </c>
      <c r="G625" s="1871">
        <f>'Part IV-A-Uses of Funds'!G122</f>
        <v>0</v>
      </c>
      <c r="H625" s="1871"/>
      <c r="J625" s="1871">
        <f>'Part IV-A-Uses of Funds'!J122</f>
        <v>0</v>
      </c>
      <c r="K625" s="1871"/>
      <c r="L625" s="1889"/>
      <c r="M625" s="1871">
        <f>'Part IV-A-Uses of Funds'!M122</f>
        <v>0</v>
      </c>
      <c r="N625" s="1871"/>
      <c r="P625" s="1871">
        <f>'Part IV-A-Uses of Funds'!P122</f>
        <v>0</v>
      </c>
      <c r="Q625" s="1871"/>
      <c r="S625" s="1871">
        <f>'Part IV-A-Uses of Funds'!S122</f>
        <v>0</v>
      </c>
      <c r="T625" s="1871"/>
      <c r="V625" s="2004"/>
      <c r="W625" s="2005"/>
      <c r="X625" s="2005"/>
      <c r="Y625" s="1852"/>
      <c r="Z625" s="2046">
        <v>0.09</v>
      </c>
      <c r="AA625" s="2047">
        <f>'DCA Underwriting Assumptions'!$J$105</f>
        <v>1</v>
      </c>
      <c r="AB625" s="2047">
        <f>'DCA Underwriting Assumptions'!$K$105</f>
        <v>50</v>
      </c>
      <c r="AC625" s="2048">
        <f>'DCA Underwriting Assumptions'!$Q$105</f>
        <v>25000</v>
      </c>
      <c r="AD625" s="2048">
        <f>AB625*AC625</f>
        <v>1250000</v>
      </c>
      <c r="AE625" s="2048">
        <f>IF('Part VI-Revenues &amp; Expenses'!$P$67&lt;AA626,'Part VI-Revenues &amp; Expenses'!$P$67*'Part IV-A-Uses of Funds'!AC625,AB625*AC625)</f>
        <v>0</v>
      </c>
      <c r="AF625" s="2049">
        <f>SUM(AE625:AE627)</f>
        <v>0</v>
      </c>
      <c r="AI625" s="1924"/>
      <c r="AZ625" s="1924"/>
      <c r="BA625" s="1857">
        <v>122</v>
      </c>
    </row>
    <row r="626" spans="1:53" s="1856" customFormat="1" ht="12.6" customHeight="1">
      <c r="B626" s="1856" t="s">
        <v>3566</v>
      </c>
      <c r="F626" s="2050">
        <f>'Part IV-A-Uses of Funds'!F123</f>
        <v>0</v>
      </c>
      <c r="V626" s="2004"/>
      <c r="W626" s="2005"/>
      <c r="X626" s="2005"/>
      <c r="Y626" s="1852"/>
      <c r="Z626" s="2051"/>
      <c r="AA626" s="2047">
        <f>'DCA Underwriting Assumptions'!$J$106</f>
        <v>51</v>
      </c>
      <c r="AB626" s="2047">
        <f>'DCA Underwriting Assumptions'!$K$106</f>
        <v>70</v>
      </c>
      <c r="AC626" s="2048">
        <f>'DCA Underwriting Assumptions'!$Q$106</f>
        <v>20000</v>
      </c>
      <c r="AD626" s="2048">
        <f>(AB626-AB625)*AC626</f>
        <v>400000</v>
      </c>
      <c r="AE626" s="2048">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9"/>
      <c r="AI626" s="1924"/>
      <c r="AZ626" s="1924"/>
      <c r="BA626" s="1857">
        <v>123</v>
      </c>
    </row>
    <row r="627" spans="1:53" s="1856" customFormat="1" ht="12.6" customHeight="1">
      <c r="B627" s="1856" t="s">
        <v>1776</v>
      </c>
      <c r="F627" s="1984">
        <f>IF($G$127=0,0,G627/$G$127)</f>
        <v>0</v>
      </c>
      <c r="G627" s="1871">
        <f>'Part IV-A-Uses of Funds'!G124</f>
        <v>0</v>
      </c>
      <c r="H627" s="1871"/>
      <c r="J627" s="1871">
        <f>'Part IV-A-Uses of Funds'!J124</f>
        <v>0</v>
      </c>
      <c r="K627" s="1871"/>
      <c r="L627" s="1889"/>
      <c r="M627" s="1871">
        <f>'Part IV-A-Uses of Funds'!M124</f>
        <v>0</v>
      </c>
      <c r="N627" s="1871"/>
      <c r="P627" s="1871">
        <f>'Part IV-A-Uses of Funds'!P124</f>
        <v>0</v>
      </c>
      <c r="Q627" s="1871"/>
      <c r="S627" s="1871">
        <f>'Part IV-A-Uses of Funds'!S124</f>
        <v>0</v>
      </c>
      <c r="T627" s="1871"/>
      <c r="V627" s="2004"/>
      <c r="W627" s="2005"/>
      <c r="X627" s="2005"/>
      <c r="Y627" s="1852"/>
      <c r="Z627" s="2051"/>
      <c r="AA627" s="2047">
        <f>'DCA Underwriting Assumptions'!$J$107</f>
        <v>71</v>
      </c>
      <c r="AB627" s="1929"/>
      <c r="AC627" s="2048">
        <f>'DCA Underwriting Assumptions'!$Q$107</f>
        <v>15000</v>
      </c>
      <c r="AD627" s="2048">
        <f>AF633-AD626-AD625</f>
        <v>350000</v>
      </c>
      <c r="AE627" s="2048">
        <f>MIN(AD627,IF('Part VI-Revenues &amp; Expenses'!$P$67&gt;AB626,('Part VI-Revenues &amp; Expenses'!$P$67-AB626)*AC627,0))</f>
        <v>0</v>
      </c>
      <c r="AF627" s="2049"/>
      <c r="AI627" s="1924"/>
      <c r="AZ627" s="1924"/>
      <c r="BA627" s="1857">
        <v>124</v>
      </c>
    </row>
    <row r="628" spans="1:53" s="1856" customFormat="1" ht="12.6" customHeight="1">
      <c r="B628" s="1856" t="s">
        <v>3286</v>
      </c>
      <c r="F628" s="1984">
        <f>IF($G$127=0,0,G628/$G$127)</f>
        <v>0</v>
      </c>
      <c r="G628" s="1871">
        <f>'Part IV-A-Uses of Funds'!G125</f>
        <v>0</v>
      </c>
      <c r="H628" s="1871"/>
      <c r="J628" s="1871">
        <f>'Part IV-A-Uses of Funds'!J125</f>
        <v>0</v>
      </c>
      <c r="K628" s="1871"/>
      <c r="L628" s="1889"/>
      <c r="M628" s="1871">
        <f>'Part IV-A-Uses of Funds'!M125</f>
        <v>0</v>
      </c>
      <c r="N628" s="1871"/>
      <c r="P628" s="1871">
        <f>'Part IV-A-Uses of Funds'!P125</f>
        <v>0</v>
      </c>
      <c r="Q628" s="1871"/>
      <c r="S628" s="1871">
        <f>'Part IV-A-Uses of Funds'!S125</f>
        <v>0</v>
      </c>
      <c r="T628" s="1871"/>
      <c r="V628" s="2004"/>
      <c r="W628" s="2005"/>
      <c r="X628" s="2005"/>
      <c r="Y628" s="1852"/>
      <c r="Z628" s="2046">
        <v>0.04</v>
      </c>
      <c r="AA628" s="2047">
        <f>'DCA Underwriting Assumptions'!$J$108</f>
        <v>1</v>
      </c>
      <c r="AB628" s="2047">
        <f>'DCA Underwriting Assumptions'!$K$108</f>
        <v>100</v>
      </c>
      <c r="AC628" s="2048">
        <f>'DCA Underwriting Assumptions'!$Q$108</f>
        <v>20500</v>
      </c>
      <c r="AD628" s="2048">
        <f>AB628*AC628</f>
        <v>2050000</v>
      </c>
      <c r="AE628" s="2048">
        <f>IF('Part VI-Revenues &amp; Expenses'!$P$67&lt;AA629,'Part VI-Revenues &amp; Expenses'!$P$67*'Part IV-A-Uses of Funds'!AC628,AB628*AC628)</f>
        <v>0</v>
      </c>
      <c r="AF628" s="2049">
        <f>SUM(AE628:AE630)</f>
        <v>0</v>
      </c>
      <c r="AG628" s="2052">
        <f>51*AC628</f>
        <v>1045500</v>
      </c>
      <c r="AI628" s="1924"/>
      <c r="AZ628" s="1924"/>
      <c r="BA628" s="1857">
        <v>125</v>
      </c>
    </row>
    <row r="629" spans="1:53" s="1856" customFormat="1" ht="12.6" customHeight="1">
      <c r="B629" s="1856" t="s">
        <v>1768</v>
      </c>
      <c r="F629" s="1984">
        <f>IF($G$127=0,0,G629/$G$127)</f>
        <v>0</v>
      </c>
      <c r="G629" s="1871">
        <f>'Part IV-A-Uses of Funds'!G126</f>
        <v>1200000</v>
      </c>
      <c r="H629" s="1871"/>
      <c r="J629" s="1871">
        <f>'Part IV-A-Uses of Funds'!J126</f>
        <v>1200000</v>
      </c>
      <c r="K629" s="1871"/>
      <c r="L629" s="1889"/>
      <c r="M629" s="1871">
        <f>'Part IV-A-Uses of Funds'!M126</f>
        <v>0</v>
      </c>
      <c r="N629" s="1871"/>
      <c r="P629" s="1871">
        <f>'Part IV-A-Uses of Funds'!P126</f>
        <v>0</v>
      </c>
      <c r="Q629" s="1871"/>
      <c r="S629" s="1871">
        <f>'Part IV-A-Uses of Funds'!S126</f>
        <v>0</v>
      </c>
      <c r="T629" s="1871"/>
      <c r="V629" s="2004"/>
      <c r="W629" s="2005"/>
      <c r="X629" s="2005"/>
      <c r="Y629" s="1852"/>
      <c r="Z629" s="2051"/>
      <c r="AA629" s="2047">
        <f>'DCA Underwriting Assumptions'!$J$109</f>
        <v>101</v>
      </c>
      <c r="AB629" s="2047">
        <f>'DCA Underwriting Assumptions'!$K$109</f>
        <v>130</v>
      </c>
      <c r="AC629" s="2048">
        <f>'DCA Underwriting Assumptions'!$Q$109</f>
        <v>18500</v>
      </c>
      <c r="AD629" s="2048">
        <f>(AB629-AB628)*AC629</f>
        <v>555000</v>
      </c>
      <c r="AE629" s="2048">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9"/>
      <c r="AG629" s="2052"/>
      <c r="AI629" s="1924"/>
      <c r="AZ629" s="1937"/>
      <c r="BA629" s="1857">
        <v>126</v>
      </c>
    </row>
    <row r="630" spans="1:53" s="1856" customFormat="1" ht="12.6" customHeight="1">
      <c r="A630" s="1859" t="str">
        <f>IF(G630&gt;E630,"DF over limit!  Round down/Enter nbr.","")</f>
        <v/>
      </c>
      <c r="B630" s="2053"/>
      <c r="D630" s="1989" t="s">
        <v>4115</v>
      </c>
      <c r="E630" s="2054" t="str">
        <f>IF(E624="9%",AF625,IF(E624="4%",AF628,"Enter app type!"))</f>
        <v>Enter app type!</v>
      </c>
      <c r="F630" s="2007" t="s">
        <v>183</v>
      </c>
      <c r="G630" s="2002">
        <f>SUM(G625:G629)</f>
        <v>1200000</v>
      </c>
      <c r="H630" s="2002"/>
      <c r="J630" s="2002">
        <f>SUM(J625:J629)</f>
        <v>1200000</v>
      </c>
      <c r="K630" s="2002"/>
      <c r="L630" s="1889"/>
      <c r="M630" s="2002">
        <f>SUM(M625:M629)</f>
        <v>0</v>
      </c>
      <c r="N630" s="2002"/>
      <c r="P630" s="2002">
        <f>SUM(P625:P629)</f>
        <v>0</v>
      </c>
      <c r="Q630" s="2002"/>
      <c r="S630" s="2002">
        <f>SUM(S625:S629)</f>
        <v>0</v>
      </c>
      <c r="T630" s="2002"/>
      <c r="V630" s="2004">
        <f>SUM(V625:V629)</f>
        <v>0</v>
      </c>
      <c r="W630" s="2005"/>
      <c r="X630" s="2005"/>
      <c r="Y630" s="1852"/>
      <c r="Z630" s="2051"/>
      <c r="AA630" s="2047">
        <f>'DCA Underwriting Assumptions'!$J$110</f>
        <v>131</v>
      </c>
      <c r="AB630" s="1929"/>
      <c r="AC630" s="2048">
        <f>'DCA Underwriting Assumptions'!$Q$110</f>
        <v>14000</v>
      </c>
      <c r="AD630" s="2048">
        <f>AF634-AD629-AD628</f>
        <v>895000</v>
      </c>
      <c r="AE630" s="2048">
        <f>MIN(AD630,IF('Part VI-Revenues &amp; Expenses'!$P$67&gt;AB629,('Part VI-Revenues &amp; Expenses'!$P$67-AB629)*AC630,0))</f>
        <v>0</v>
      </c>
      <c r="AF630" s="2049"/>
      <c r="AG630" s="2052"/>
      <c r="AI630" s="1924"/>
      <c r="AZ630" s="1937"/>
      <c r="BA630" s="1857">
        <v>127</v>
      </c>
    </row>
    <row r="631" spans="1:53" s="1856" customFormat="1" ht="13.35" customHeight="1">
      <c r="B631" s="1856" t="s">
        <v>1260</v>
      </c>
      <c r="J631" s="2002"/>
      <c r="K631" s="2002"/>
      <c r="M631" s="2002"/>
      <c r="N631" s="2002"/>
      <c r="O631" s="1889" t="str">
        <f>B631</f>
        <v>START-UP AND RESERVES</v>
      </c>
      <c r="P631" s="2002"/>
      <c r="Q631" s="2002"/>
      <c r="S631" s="2002"/>
      <c r="T631" s="2002"/>
      <c r="V631" s="2008"/>
      <c r="W631" s="1856" t="str">
        <f>B631</f>
        <v>START-UP AND RESERVES</v>
      </c>
      <c r="Y631" s="2045"/>
      <c r="Z631" s="2055"/>
      <c r="AB631" s="2045"/>
      <c r="AC631" s="1924"/>
      <c r="AD631" s="1924"/>
      <c r="AF631" s="1924"/>
      <c r="AG631" s="1924"/>
      <c r="AH631" s="1924"/>
      <c r="AI631" s="1924"/>
      <c r="AJ631" s="1924"/>
      <c r="AK631" s="1924"/>
      <c r="AZ631" s="1937" t="s">
        <v>6704</v>
      </c>
      <c r="BA631" s="1857">
        <v>128</v>
      </c>
    </row>
    <row r="632" spans="1:53" s="1856" customFormat="1" ht="12.6" customHeight="1">
      <c r="B632" s="1856" t="s">
        <v>240</v>
      </c>
      <c r="G632" s="1871">
        <f>'Part IV-A-Uses of Funds'!G129</f>
        <v>36000</v>
      </c>
      <c r="H632" s="1871"/>
      <c r="J632" s="2038"/>
      <c r="K632" s="2038"/>
      <c r="L632" s="2038"/>
      <c r="M632" s="2038"/>
      <c r="N632" s="2038"/>
      <c r="P632" s="2038"/>
      <c r="Q632" s="2038"/>
      <c r="S632" s="1871">
        <f>'Part IV-A-Uses of Funds'!S129</f>
        <v>36000</v>
      </c>
      <c r="T632" s="1871"/>
      <c r="V632" s="2004"/>
      <c r="W632" s="2005"/>
      <c r="X632" s="2005"/>
      <c r="Y632" s="1950" t="s">
        <v>4109</v>
      </c>
      <c r="Z632" s="2055"/>
      <c r="AB632" s="2045"/>
      <c r="AC632" s="1924"/>
      <c r="AD632" s="1924"/>
      <c r="AF632" s="1924"/>
      <c r="AG632" s="1924"/>
      <c r="AH632" s="1924"/>
      <c r="AI632" s="1924"/>
      <c r="AJ632" s="1924"/>
      <c r="AK632" s="1924"/>
      <c r="AZ632" s="1937" t="s">
        <v>6705</v>
      </c>
      <c r="BA632" s="1857">
        <v>129</v>
      </c>
    </row>
    <row r="633" spans="1:53" s="1856" customFormat="1" ht="12.6" customHeight="1">
      <c r="B633" s="1856" t="s">
        <v>1474</v>
      </c>
      <c r="F633" s="2010">
        <f>+'Part VI-Revenues &amp; Expenses'!$Q$225*('DCA Underwriting Assumptions'!$Q$127/12)</f>
        <v>47730.5</v>
      </c>
      <c r="G633" s="1871">
        <f>'Part IV-A-Uses of Funds'!G130</f>
        <v>47731</v>
      </c>
      <c r="H633" s="1871"/>
      <c r="J633" s="2056" t="str">
        <f>IF(E633&gt;G633,"WARNING! Rent-Up Reserves proposed is below minimum - add comment.","")</f>
        <v/>
      </c>
      <c r="K633" s="2056"/>
      <c r="L633" s="1889"/>
      <c r="M633" s="2002"/>
      <c r="N633" s="2002"/>
      <c r="P633" s="2002"/>
      <c r="Q633" s="2002"/>
      <c r="S633" s="1871">
        <f>'Part IV-A-Uses of Funds'!S130</f>
        <v>47731</v>
      </c>
      <c r="T633" s="1871"/>
      <c r="V633" s="2004"/>
      <c r="W633" s="2005"/>
      <c r="X633" s="2005"/>
      <c r="Y633" s="1852"/>
      <c r="Z633" s="2046">
        <v>0.09</v>
      </c>
      <c r="AB633" s="1950"/>
      <c r="AD633" s="1924"/>
      <c r="AF633" s="2048">
        <f>'DCA Underwriting Assumptions'!$Q$112</f>
        <v>2000000</v>
      </c>
      <c r="AG633" s="1924"/>
      <c r="AH633" s="1924"/>
      <c r="AI633" s="1924"/>
      <c r="AZ633" s="1937"/>
      <c r="BA633" s="1868">
        <v>130</v>
      </c>
    </row>
    <row r="634" spans="1:53" s="1856" customFormat="1" ht="12.6" customHeight="1">
      <c r="B634" s="1856" t="s">
        <v>648</v>
      </c>
      <c r="F634" s="2010">
        <f>'Part VI-Revenues &amp; Expenses'!$Q$225*('DCA Underwriting Assumptions'!$Q$126/12)+('Part VII-Pro Forma'!$B$26+'Part VII-Pro Forma'!$B$27+'Part VII-Pro Forma'!$B$28+'Part VII-Pro Forma'!$B$29)*'DCA Underwriting Assumptions'!$Q$125/(-12)</f>
        <v>146823.51162784596</v>
      </c>
      <c r="G634" s="1871">
        <f>'Part IV-A-Uses of Funds'!G131</f>
        <v>146824</v>
      </c>
      <c r="H634" s="1871"/>
      <c r="J634" s="2056" t="str">
        <f>IF(E634&gt;G634,"WARNING! ODR proposed is below minimum - add comment.","")</f>
        <v/>
      </c>
      <c r="K634" s="2038"/>
      <c r="L634" s="2038"/>
      <c r="M634" s="2038"/>
      <c r="N634" s="2038"/>
      <c r="P634" s="2038"/>
      <c r="Q634" s="2038"/>
      <c r="S634" s="1871">
        <f>'Part IV-A-Uses of Funds'!S131</f>
        <v>146824</v>
      </c>
      <c r="T634" s="1871"/>
      <c r="V634" s="2004"/>
      <c r="W634" s="2005"/>
      <c r="X634" s="2005"/>
      <c r="Y634" s="1852"/>
      <c r="Z634" s="2046">
        <v>0.04</v>
      </c>
      <c r="AB634" s="1950"/>
      <c r="AD634" s="1924"/>
      <c r="AF634" s="2048">
        <f>'DCA Underwriting Assumptions'!$Q$113</f>
        <v>3500000</v>
      </c>
      <c r="AG634" s="1924"/>
      <c r="AH634" s="1924"/>
      <c r="AI634" s="1924"/>
      <c r="AZ634" s="1937"/>
      <c r="BA634" s="1857">
        <v>131</v>
      </c>
    </row>
    <row r="635" spans="1:53" s="1856" customFormat="1" ht="12.6" customHeight="1">
      <c r="B635" s="1856" t="s">
        <v>1198</v>
      </c>
      <c r="G635" s="1871">
        <f>'Part IV-A-Uses of Funds'!G132</f>
        <v>0</v>
      </c>
      <c r="H635" s="1871"/>
      <c r="J635" s="2038"/>
      <c r="K635" s="2038"/>
      <c r="L635" s="2038"/>
      <c r="M635" s="2038"/>
      <c r="N635" s="2038"/>
      <c r="P635" s="2038"/>
      <c r="Q635" s="2038"/>
      <c r="S635" s="1871">
        <f>'Part IV-A-Uses of Funds'!S132</f>
        <v>0</v>
      </c>
      <c r="T635" s="1871"/>
      <c r="V635" s="2004"/>
      <c r="W635" s="2005"/>
      <c r="X635" s="2005"/>
      <c r="AZ635" s="1937" t="s">
        <v>6706</v>
      </c>
      <c r="BA635" s="1857">
        <v>132</v>
      </c>
    </row>
    <row r="636" spans="1:53" s="1856" customFormat="1" ht="12.6" customHeight="1">
      <c r="B636" s="1856" t="s">
        <v>1199</v>
      </c>
      <c r="E636" s="2009" t="s">
        <v>3259</v>
      </c>
      <c r="F636" s="2010">
        <f>IF('Part VI-Revenues &amp; Expenses'!$P$67=0,0,G636/'Part VI-Revenues &amp; Expenses'!$P$67)</f>
        <v>416.66666666666669</v>
      </c>
      <c r="G636" s="1871">
        <f>'Part IV-A-Uses of Funds'!G133</f>
        <v>20000</v>
      </c>
      <c r="H636" s="1871"/>
      <c r="J636" s="1871">
        <f>'Part IV-A-Uses of Funds'!J133</f>
        <v>20000</v>
      </c>
      <c r="K636" s="1871"/>
      <c r="L636" s="1889"/>
      <c r="M636" s="1871">
        <f>'Part IV-A-Uses of Funds'!M133</f>
        <v>0</v>
      </c>
      <c r="N636" s="1871"/>
      <c r="P636" s="1871">
        <f>'Part IV-A-Uses of Funds'!P133</f>
        <v>0</v>
      </c>
      <c r="Q636" s="1871"/>
      <c r="S636" s="1871">
        <f>'Part IV-A-Uses of Funds'!S133</f>
        <v>0</v>
      </c>
      <c r="T636" s="1871"/>
      <c r="V636" s="2004"/>
      <c r="W636" s="2005"/>
      <c r="X636" s="2005"/>
      <c r="AZ636" s="1937" t="s">
        <v>6707</v>
      </c>
      <c r="BA636" s="1857">
        <v>133</v>
      </c>
    </row>
    <row r="637" spans="1:53" s="1856" customFormat="1" ht="12.6" customHeight="1">
      <c r="A637" s="2006" t="str">
        <f>IF(AND(G637&gt;0,OR(C637="",C637="&lt;Enter detailed description here; use Comments section if needed&gt;")),"X","")</f>
        <v/>
      </c>
      <c r="B637" s="1864" t="s">
        <v>6583</v>
      </c>
      <c r="C637" s="1869" t="str">
        <f>'Part IV-A-Uses of Funds'!C134</f>
        <v>&lt;&lt; Enter description here; provide detail &amp; justification in tab Part IV-b &gt;&gt;</v>
      </c>
      <c r="D637" s="1869"/>
      <c r="E637" s="1869"/>
      <c r="F637" s="1869"/>
      <c r="G637" s="1871">
        <f>'Part IV-A-Uses of Funds'!G134</f>
        <v>0</v>
      </c>
      <c r="H637" s="1871"/>
      <c r="J637" s="1871">
        <f>'Part IV-A-Uses of Funds'!J134</f>
        <v>0</v>
      </c>
      <c r="K637" s="1871"/>
      <c r="L637" s="1889"/>
      <c r="M637" s="1871">
        <f>'Part IV-A-Uses of Funds'!M134</f>
        <v>0</v>
      </c>
      <c r="N637" s="1871"/>
      <c r="P637" s="1871">
        <f>'Part IV-A-Uses of Funds'!P134</f>
        <v>0</v>
      </c>
      <c r="Q637" s="1871"/>
      <c r="S637" s="1871">
        <f>'Part IV-A-Uses of Funds'!S134</f>
        <v>0</v>
      </c>
      <c r="T637" s="1871"/>
      <c r="U637" s="1858" t="str">
        <f>IF(AND(G637&gt;0,OR(C637="",C637="&lt;Enter detailed description here; use Comments section if needed&gt;")),"NO DESCRIPTION PROVIDED - please enter detailed description in Other box at left; use Comments section below if needed.","")</f>
        <v/>
      </c>
      <c r="V637" s="2004"/>
      <c r="W637" s="2005"/>
      <c r="X637" s="2005"/>
      <c r="AZ637" s="1937"/>
      <c r="BA637" s="1857">
        <v>134</v>
      </c>
    </row>
    <row r="638" spans="1:53" s="1856" customFormat="1" ht="12.6" customHeight="1">
      <c r="B638" s="2057"/>
      <c r="F638" s="2007" t="s">
        <v>183</v>
      </c>
      <c r="G638" s="2002">
        <f>SUM(G632:G637)</f>
        <v>250555</v>
      </c>
      <c r="H638" s="2002"/>
      <c r="J638" s="2002">
        <f>SUM(J636:J637)</f>
        <v>20000</v>
      </c>
      <c r="K638" s="2002"/>
      <c r="L638" s="1889"/>
      <c r="M638" s="2002">
        <f>SUM(M636:M637)</f>
        <v>0</v>
      </c>
      <c r="N638" s="2002"/>
      <c r="P638" s="2002">
        <f>SUM(P636:P637)</f>
        <v>0</v>
      </c>
      <c r="Q638" s="2002"/>
      <c r="S638" s="2002">
        <f>SUM(S632:S637)</f>
        <v>230555</v>
      </c>
      <c r="T638" s="2002"/>
      <c r="V638" s="2004">
        <f>SUM(V632:V637)</f>
        <v>0</v>
      </c>
      <c r="W638" s="2005"/>
      <c r="X638" s="2005"/>
      <c r="AZ638" s="1937"/>
      <c r="BA638" s="1857">
        <v>135</v>
      </c>
    </row>
    <row r="639" spans="1:53" s="1856" customFormat="1" ht="3" customHeight="1">
      <c r="I639" s="2058"/>
      <c r="L639" s="2058"/>
      <c r="V639" s="2008"/>
      <c r="AZ639" s="1937"/>
    </row>
    <row r="640" spans="1:53" s="1856" customFormat="1" ht="3.6" customHeight="1">
      <c r="D640" s="1858"/>
      <c r="E640" s="1858"/>
      <c r="I640" s="2059"/>
      <c r="J640" s="2059"/>
      <c r="K640" s="2060"/>
      <c r="L640" s="1858"/>
      <c r="V640" s="2008"/>
      <c r="AZ640" s="1937"/>
    </row>
    <row r="641" spans="1:53" s="1856" customFormat="1" ht="6" customHeight="1">
      <c r="A641" s="1857"/>
      <c r="B641" s="1857"/>
      <c r="C641" s="1857"/>
      <c r="D641" s="1857"/>
      <c r="E641" s="1857"/>
      <c r="F641" s="1857"/>
      <c r="G641" s="1857"/>
      <c r="H641" s="1857"/>
      <c r="I641" s="1857"/>
      <c r="J641" s="1857"/>
      <c r="K641" s="1857"/>
      <c r="L641" s="1857"/>
      <c r="M641" s="1857"/>
      <c r="N641" s="1857"/>
      <c r="O641" s="1857"/>
      <c r="P641" s="1857"/>
      <c r="Q641" s="1857"/>
      <c r="R641" s="1857"/>
      <c r="S641" s="1857"/>
      <c r="T641" s="1857"/>
      <c r="V641" s="2008"/>
      <c r="AZ641" s="1937"/>
      <c r="BA641" s="1857">
        <v>101</v>
      </c>
    </row>
    <row r="642" spans="1:53" s="1856" customFormat="1" ht="18" customHeight="1">
      <c r="A642" s="2000" t="s">
        <v>586</v>
      </c>
      <c r="B642" s="2000" t="s">
        <v>7123</v>
      </c>
      <c r="J642" s="1856" t="s">
        <v>260</v>
      </c>
      <c r="L642" s="2002"/>
      <c r="M642" s="2002" t="s">
        <v>468</v>
      </c>
      <c r="N642" s="2002"/>
      <c r="P642" s="1856" t="s">
        <v>261</v>
      </c>
      <c r="S642" s="1856" t="s">
        <v>262</v>
      </c>
      <c r="V642" s="2003" t="str">
        <f>B642</f>
        <v>DEVELOPMENT BUDGET  (cont'd)</v>
      </c>
      <c r="AZ642" s="1937"/>
      <c r="BA642" s="1857">
        <v>102</v>
      </c>
    </row>
    <row r="643" spans="1:53" s="1856" customFormat="1" ht="18" customHeight="1">
      <c r="G643" s="1856" t="s">
        <v>94</v>
      </c>
      <c r="L643" s="2002"/>
      <c r="M643" s="2002"/>
      <c r="N643" s="2002"/>
      <c r="V643" s="1865" t="s">
        <v>2538</v>
      </c>
      <c r="X643" s="1865"/>
      <c r="AZ643" s="1937"/>
      <c r="BA643" s="1857">
        <v>103</v>
      </c>
    </row>
    <row r="644" spans="1:53" s="1856" customFormat="1" ht="13.35" customHeight="1">
      <c r="B644" s="1856" t="s">
        <v>581</v>
      </c>
      <c r="C644" s="1858"/>
      <c r="H644" s="2059"/>
      <c r="I644" s="2059"/>
      <c r="J644" s="2002"/>
      <c r="K644" s="2002"/>
      <c r="M644" s="2002"/>
      <c r="N644" s="2002"/>
      <c r="O644" s="1889" t="str">
        <f>B644</f>
        <v>OTHER COSTS</v>
      </c>
      <c r="P644" s="2002"/>
      <c r="Q644" s="2002"/>
      <c r="S644" s="2002"/>
      <c r="T644" s="2002"/>
      <c r="V644" s="2008"/>
      <c r="W644" s="1856" t="str">
        <f>B644</f>
        <v>OTHER COSTS</v>
      </c>
      <c r="AZ644" s="1937"/>
      <c r="BA644" s="1857">
        <v>136</v>
      </c>
    </row>
    <row r="645" spans="1:53" s="1856" customFormat="1" ht="12.6" customHeight="1">
      <c r="B645" s="1856" t="s">
        <v>582</v>
      </c>
      <c r="C645" s="1858"/>
      <c r="G645" s="1871">
        <f>'Part IV-A-Uses of Funds'!G142</f>
        <v>0</v>
      </c>
      <c r="H645" s="1871"/>
      <c r="J645" s="1871">
        <f>'Part IV-A-Uses of Funds'!J142</f>
        <v>0</v>
      </c>
      <c r="K645" s="1871"/>
      <c r="L645" s="1889"/>
      <c r="M645" s="1871">
        <f>'Part IV-A-Uses of Funds'!M142</f>
        <v>0</v>
      </c>
      <c r="N645" s="1871"/>
      <c r="P645" s="1871">
        <f>'Part IV-A-Uses of Funds'!P142</f>
        <v>0</v>
      </c>
      <c r="Q645" s="1871"/>
      <c r="S645" s="1871">
        <f>'Part IV-A-Uses of Funds'!S142</f>
        <v>0</v>
      </c>
      <c r="T645" s="1871"/>
      <c r="V645" s="2004"/>
      <c r="W645" s="2005"/>
      <c r="X645" s="2005"/>
      <c r="AZ645" s="1937"/>
      <c r="BA645" s="1868">
        <v>137</v>
      </c>
    </row>
    <row r="646" spans="1:53" s="1856" customFormat="1" ht="12.6" customHeight="1">
      <c r="A646" s="2006" t="str">
        <f>IF(AND(G646&gt;0,OR(C646="",C646="&lt;Enter detailed description here; use Comments section if needed&gt;")),"X","")</f>
        <v/>
      </c>
      <c r="B646" s="1864" t="s">
        <v>6583</v>
      </c>
      <c r="C646" s="1869" t="str">
        <f>'Part IV-A-Uses of Funds'!C143</f>
        <v>&lt;&lt; Enter description here; provide detail &amp; justification in tab Part IV-b &gt;&gt;</v>
      </c>
      <c r="D646" s="1869"/>
      <c r="E646" s="1869"/>
      <c r="F646" s="1869"/>
      <c r="G646" s="1871">
        <f>'Part IV-A-Uses of Funds'!G143</f>
        <v>0</v>
      </c>
      <c r="H646" s="1871"/>
      <c r="J646" s="1871">
        <f>'Part IV-A-Uses of Funds'!J143</f>
        <v>0</v>
      </c>
      <c r="K646" s="1871"/>
      <c r="L646" s="1889"/>
      <c r="M646" s="1871">
        <f>'Part IV-A-Uses of Funds'!M143</f>
        <v>0</v>
      </c>
      <c r="N646" s="1871"/>
      <c r="P646" s="1871">
        <f>'Part IV-A-Uses of Funds'!P143</f>
        <v>0</v>
      </c>
      <c r="Q646" s="1871"/>
      <c r="S646" s="1871">
        <f>'Part IV-A-Uses of Funds'!S143</f>
        <v>0</v>
      </c>
      <c r="T646" s="1871"/>
      <c r="U646" s="1858" t="str">
        <f>IF(AND(G646&gt;0,OR(C646="",C646="&lt;Enter detailed description here; use Comments section if needed&gt;")),"NO DESCRIPTION PROVIDED - please enter detailed description in Other box at left; use Comments section below if needed.","")</f>
        <v/>
      </c>
      <c r="V646" s="2004"/>
      <c r="W646" s="2005"/>
      <c r="X646" s="2005"/>
      <c r="AZ646" s="1937"/>
      <c r="BA646" s="1857">
        <v>138</v>
      </c>
    </row>
    <row r="647" spans="1:53" s="1856" customFormat="1" ht="12.6" customHeight="1">
      <c r="C647" s="1858"/>
      <c r="F647" s="2007" t="s">
        <v>183</v>
      </c>
      <c r="G647" s="2002">
        <f>SUM(G645:G646)</f>
        <v>0</v>
      </c>
      <c r="H647" s="2002"/>
      <c r="J647" s="2002">
        <f>SUM(J645:J646)</f>
        <v>0</v>
      </c>
      <c r="K647" s="2002"/>
      <c r="L647" s="1889"/>
      <c r="M647" s="2002">
        <f>SUM(M645:M646)</f>
        <v>0</v>
      </c>
      <c r="N647" s="2002"/>
      <c r="P647" s="2002">
        <f>SUM(P645:P646)</f>
        <v>0</v>
      </c>
      <c r="Q647" s="2002"/>
      <c r="S647" s="2002">
        <f>SUM(S645:S646)</f>
        <v>0</v>
      </c>
      <c r="T647" s="2002"/>
      <c r="V647" s="2004">
        <f>SUM(V645:V646)</f>
        <v>0</v>
      </c>
      <c r="W647" s="2005"/>
      <c r="X647" s="2005"/>
      <c r="AZ647" s="1937"/>
      <c r="BA647" s="1857">
        <v>139</v>
      </c>
    </row>
    <row r="648" spans="1:53" s="1856" customFormat="1" ht="15" customHeight="1">
      <c r="C648" s="1858"/>
      <c r="H648" s="2059"/>
      <c r="I648" s="2059"/>
      <c r="V648" s="2008"/>
      <c r="W648" s="2043"/>
      <c r="X648" s="2043"/>
      <c r="AZ648" s="1937"/>
      <c r="BA648" s="1857">
        <v>140</v>
      </c>
    </row>
    <row r="649" spans="1:53" s="1856" customFormat="1" ht="18.75" customHeight="1">
      <c r="B649" s="2061" t="s">
        <v>7124</v>
      </c>
      <c r="E649" s="2009"/>
      <c r="F649" s="2062"/>
      <c r="G649" s="2002">
        <f>G521+G527+G531+G539+G544+G549+G558+G576+G589+G595+G606+G617+G623+G630+G638+G647</f>
        <v>11756729</v>
      </c>
      <c r="H649" s="2002"/>
      <c r="J649" s="2002">
        <f>J521+J527+J531+J539+J544+J549+J558+J576+J589+J595+J606+J617+J623+J630+J638+J647</f>
        <v>10665738</v>
      </c>
      <c r="K649" s="2002"/>
      <c r="M649" s="2002">
        <f>M521+M527+M531+M539+M544+M549+M558+M576+M589+M595+M606+M617+M623+M630+M638+M647</f>
        <v>0</v>
      </c>
      <c r="N649" s="2002"/>
      <c r="P649" s="2002">
        <f>P521+P527+P531+P539+P544+P549+P558+P576+P589+P595+P606+P617+P623+P630+P638+P647</f>
        <v>0</v>
      </c>
      <c r="Q649" s="2002"/>
      <c r="S649" s="2002">
        <f>S521+S527+S531+S539+S544+S549+S558+S576+S589+S595+S606+S617+S623+S630+S638+S647</f>
        <v>1090991</v>
      </c>
      <c r="T649" s="2002"/>
      <c r="V649" s="2004">
        <f>V521+V527+V531+V539+V544+V549+V558+V576+V589+V595+V606+V617+V623+V630+V638+V647</f>
        <v>0</v>
      </c>
      <c r="W649" s="2005"/>
      <c r="X649" s="2005"/>
      <c r="AZ649" s="1937"/>
      <c r="BA649" s="1857">
        <v>141</v>
      </c>
    </row>
    <row r="650" spans="1:53" s="1856" customFormat="1" ht="12" customHeight="1">
      <c r="C650" s="1858"/>
      <c r="H650" s="2059"/>
      <c r="I650" s="2059"/>
      <c r="V650" s="2008"/>
      <c r="AZ650" s="1937"/>
      <c r="BA650" s="1857">
        <v>142</v>
      </c>
    </row>
    <row r="651" spans="1:53" s="1856" customFormat="1" ht="14.1" customHeight="1">
      <c r="B651" s="2018" t="s">
        <v>7053</v>
      </c>
      <c r="C651" s="2021"/>
      <c r="D651" s="2063">
        <f>IF('Part VI-Revenues &amp; Expenses'!$P$67=0,0,G649/'Part VI-Revenues &amp; Expenses'!$P$67)</f>
        <v>244931.85416666666</v>
      </c>
      <c r="E651" s="2063"/>
      <c r="F651" s="2057" t="s">
        <v>2594</v>
      </c>
      <c r="G651" s="2063">
        <f>IF('Part I-Project Information'!$P$70=0,0,G649/'Part I-Project Information'!$P$70)</f>
        <v>221.55753429820595</v>
      </c>
      <c r="H651" s="2063"/>
      <c r="I651" s="2058"/>
      <c r="V651" s="2008"/>
      <c r="AZ651" s="1937"/>
      <c r="BA651" s="1857">
        <v>143</v>
      </c>
    </row>
    <row r="652" spans="1:53" s="1856" customFormat="1" ht="21" customHeight="1">
      <c r="B652" s="2018"/>
      <c r="C652" s="2021"/>
      <c r="D652" s="2064"/>
      <c r="E652" s="2064"/>
      <c r="F652" s="2057"/>
      <c r="G652" s="2063"/>
      <c r="H652" s="2063"/>
      <c r="I652" s="2058"/>
      <c r="V652" s="2008"/>
      <c r="AZ652" s="1937"/>
      <c r="BA652" s="1857"/>
    </row>
    <row r="653" spans="1:53" s="1856" customFormat="1" ht="26.1" customHeight="1">
      <c r="A653" s="2000" t="s">
        <v>710</v>
      </c>
      <c r="B653" s="2065" t="s">
        <v>1375</v>
      </c>
      <c r="C653" s="1857"/>
      <c r="D653" s="1889"/>
      <c r="E653" s="1889"/>
      <c r="F653" s="1889"/>
      <c r="I653" s="2066"/>
      <c r="J653" s="1856" t="s">
        <v>260</v>
      </c>
      <c r="M653" s="1856" t="s">
        <v>93</v>
      </c>
      <c r="P653" s="1856" t="s">
        <v>261</v>
      </c>
      <c r="V653" s="2008"/>
      <c r="W653" s="2003" t="str">
        <f>B653</f>
        <v>TAX CREDIT CALCULATION - BASIS METHOD</v>
      </c>
      <c r="AZ653" s="1937"/>
    </row>
    <row r="654" spans="1:53" s="1856" customFormat="1" ht="15" customHeight="1">
      <c r="B654" s="1858" t="s">
        <v>1953</v>
      </c>
      <c r="D654" s="1889" t="s">
        <v>3344</v>
      </c>
      <c r="E654" s="1889"/>
      <c r="I654" s="2066"/>
      <c r="L654" s="1857"/>
      <c r="V654" s="2008"/>
      <c r="W654" s="1856" t="str">
        <f>B654</f>
        <v>Subtractions From Eligible Basis</v>
      </c>
      <c r="X654" s="1865"/>
      <c r="AZ654" s="1937"/>
    </row>
    <row r="655" spans="1:53" s="1856" customFormat="1" ht="6" customHeight="1">
      <c r="D655" s="1858"/>
      <c r="E655" s="1858"/>
      <c r="I655" s="2059"/>
      <c r="J655" s="2059"/>
      <c r="K655" s="2060"/>
      <c r="L655" s="1858"/>
      <c r="V655" s="2008"/>
      <c r="AZ655" s="1937"/>
    </row>
    <row r="656" spans="1:53" s="1856" customFormat="1" ht="14.1" customHeight="1">
      <c r="B656" s="1858" t="s">
        <v>137</v>
      </c>
      <c r="I656" s="2066"/>
      <c r="J656" s="1894">
        <f>'Part IV-A-Uses of Funds'!J153</f>
        <v>0</v>
      </c>
      <c r="K656" s="1894"/>
      <c r="P656" s="1894">
        <f>'Part IV-A-Uses of Funds'!P153</f>
        <v>0</v>
      </c>
      <c r="Q656" s="1894"/>
      <c r="V656" s="2004"/>
      <c r="W656" s="2005"/>
      <c r="X656" s="2005"/>
      <c r="AZ656" s="1937"/>
    </row>
    <row r="657" spans="2:52" s="1856" customFormat="1" ht="14.1" customHeight="1">
      <c r="B657" s="1856" t="s">
        <v>2059</v>
      </c>
      <c r="I657" s="2066"/>
      <c r="J657" s="1894">
        <f>'Part IV-A-Uses of Funds'!J154</f>
        <v>0</v>
      </c>
      <c r="K657" s="1894"/>
      <c r="P657" s="1894">
        <f>'Part IV-A-Uses of Funds'!P154</f>
        <v>0</v>
      </c>
      <c r="Q657" s="1894"/>
      <c r="V657" s="2004"/>
      <c r="W657" s="2005"/>
      <c r="X657" s="2005"/>
      <c r="AZ657" s="1937"/>
    </row>
    <row r="658" spans="2:52" s="1856" customFormat="1" ht="14.1" customHeight="1">
      <c r="B658" s="1856" t="s">
        <v>1778</v>
      </c>
      <c r="I658" s="2066"/>
      <c r="J658" s="1894">
        <f>'Part IV-A-Uses of Funds'!J155</f>
        <v>0</v>
      </c>
      <c r="K658" s="1894"/>
      <c r="P658" s="1894">
        <f>'Part IV-A-Uses of Funds'!P155</f>
        <v>0</v>
      </c>
      <c r="Q658" s="1894"/>
      <c r="V658" s="2004"/>
      <c r="W658" s="2005"/>
      <c r="X658" s="2005"/>
      <c r="AZ658" s="1937"/>
    </row>
    <row r="659" spans="2:52" s="1856" customFormat="1" ht="14.1" customHeight="1">
      <c r="B659" s="1856" t="s">
        <v>1779</v>
      </c>
      <c r="I659" s="2066"/>
      <c r="J659" s="1894">
        <f>'Part IV-A-Uses of Funds'!J156</f>
        <v>0</v>
      </c>
      <c r="K659" s="1894"/>
      <c r="P659" s="1894">
        <f>'Part IV-A-Uses of Funds'!P156</f>
        <v>0</v>
      </c>
      <c r="Q659" s="1894"/>
      <c r="V659" s="2004"/>
      <c r="W659" s="2005"/>
      <c r="X659" s="2005"/>
      <c r="AZ659" s="1937"/>
    </row>
    <row r="660" spans="2:52" s="1856" customFormat="1" ht="14.1" customHeight="1">
      <c r="B660" s="1856" t="s">
        <v>243</v>
      </c>
      <c r="I660" s="2066"/>
      <c r="J660" s="1894">
        <f>'Part IV-A-Uses of Funds'!J157</f>
        <v>0</v>
      </c>
      <c r="K660" s="1894"/>
      <c r="P660" s="1894">
        <f>'Part IV-A-Uses of Funds'!P157</f>
        <v>0</v>
      </c>
      <c r="Q660" s="1894"/>
      <c r="V660" s="2004"/>
      <c r="W660" s="2005"/>
      <c r="X660" s="2005"/>
      <c r="AZ660" s="1937"/>
    </row>
    <row r="661" spans="2:52" s="1856" customFormat="1" ht="14.1" customHeight="1">
      <c r="B661" s="1856" t="s">
        <v>1535</v>
      </c>
      <c r="C661" s="1863" t="str">
        <f>'Part IV-A-Uses of Funds'!C158</f>
        <v>&lt;Enter detailed description here; use Comments section if needed&gt;</v>
      </c>
      <c r="D661" s="1863"/>
      <c r="E661" s="1863"/>
      <c r="F661" s="1863"/>
      <c r="G661" s="1863"/>
      <c r="H661" s="1863"/>
      <c r="I661" s="1863"/>
      <c r="J661" s="1894">
        <f>'Part IV-A-Uses of Funds'!J158</f>
        <v>0</v>
      </c>
      <c r="K661" s="1894"/>
      <c r="P661" s="1894">
        <f>'Part IV-A-Uses of Funds'!P158</f>
        <v>0</v>
      </c>
      <c r="Q661" s="1894"/>
      <c r="V661" s="2004"/>
      <c r="W661" s="2005"/>
      <c r="X661" s="2005"/>
      <c r="AZ661" s="1937"/>
    </row>
    <row r="662" spans="2:52" s="1856" customFormat="1" ht="14.1" customHeight="1">
      <c r="B662" s="1856" t="s">
        <v>1780</v>
      </c>
      <c r="C662" s="1887"/>
      <c r="J662" s="1982">
        <f>SUM(J656:K661)</f>
        <v>0</v>
      </c>
      <c r="K662" s="1982"/>
      <c r="P662" s="1982">
        <f>SUM(P656:Q661)</f>
        <v>0</v>
      </c>
      <c r="Q662" s="1982"/>
      <c r="V662" s="2004">
        <f>SUM(V656:V661)</f>
        <v>0</v>
      </c>
      <c r="W662" s="2005"/>
      <c r="X662" s="2005"/>
      <c r="AZ662" s="1937"/>
    </row>
    <row r="663" spans="2:52" s="1856" customFormat="1" ht="3" customHeight="1">
      <c r="V663" s="2008"/>
      <c r="AZ663" s="1937"/>
    </row>
    <row r="664" spans="2:52" s="1856" customFormat="1" ht="15" customHeight="1">
      <c r="B664" s="1856" t="s">
        <v>2237</v>
      </c>
      <c r="V664" s="2008"/>
      <c r="W664" s="1856" t="str">
        <f>B664</f>
        <v>Eligible Basis Calculation</v>
      </c>
      <c r="AZ664" s="1937"/>
    </row>
    <row r="665" spans="2:52" s="1856" customFormat="1" ht="14.1" customHeight="1">
      <c r="B665" s="1856" t="s">
        <v>1710</v>
      </c>
      <c r="J665" s="1982">
        <f>J649</f>
        <v>10665738</v>
      </c>
      <c r="K665" s="1982"/>
      <c r="M665" s="1982">
        <f>M649</f>
        <v>0</v>
      </c>
      <c r="N665" s="1982"/>
      <c r="P665" s="1982">
        <f>P649</f>
        <v>0</v>
      </c>
      <c r="Q665" s="1982"/>
      <c r="R665" s="2067" t="s">
        <v>3933</v>
      </c>
      <c r="S665" s="2067"/>
      <c r="T665" s="2067"/>
      <c r="V665" s="2004"/>
      <c r="W665" s="2005"/>
      <c r="X665" s="2005"/>
      <c r="AZ665" s="1937"/>
    </row>
    <row r="666" spans="2:52" s="1856" customFormat="1" ht="14.1" customHeight="1">
      <c r="B666" s="1856" t="s">
        <v>2120</v>
      </c>
      <c r="J666" s="1982">
        <f>J662</f>
        <v>0</v>
      </c>
      <c r="K666" s="1982"/>
      <c r="M666" s="1982"/>
      <c r="N666" s="1982"/>
      <c r="P666" s="1982">
        <f>P662</f>
        <v>0</v>
      </c>
      <c r="Q666" s="1982"/>
      <c r="R666" s="2067"/>
      <c r="S666" s="2067"/>
      <c r="T666" s="2067"/>
      <c r="U666" s="1864"/>
      <c r="V666" s="2004"/>
      <c r="W666" s="2005"/>
      <c r="X666" s="2005"/>
      <c r="AZ666" s="1937"/>
    </row>
    <row r="667" spans="2:52" s="1856" customFormat="1" ht="14.1" customHeight="1">
      <c r="B667" s="1856" t="s">
        <v>2121</v>
      </c>
      <c r="J667" s="1982">
        <f>J665-J666</f>
        <v>10665738</v>
      </c>
      <c r="K667" s="1982"/>
      <c r="M667" s="1982">
        <f>M665</f>
        <v>0</v>
      </c>
      <c r="N667" s="1982"/>
      <c r="P667" s="1982">
        <f>P665-P666</f>
        <v>0</v>
      </c>
      <c r="Q667" s="1982"/>
      <c r="R667" s="2067"/>
      <c r="S667" s="2067"/>
      <c r="T667" s="2067"/>
      <c r="U667" s="1864"/>
      <c r="V667" s="2004"/>
      <c r="W667" s="2005"/>
      <c r="X667" s="2005"/>
      <c r="AZ667" s="1937"/>
    </row>
    <row r="668" spans="2:52" s="1856" customFormat="1" ht="14.1" customHeight="1">
      <c r="B668" s="1856" t="s">
        <v>1426</v>
      </c>
      <c r="G668" s="1857" t="s">
        <v>1637</v>
      </c>
      <c r="H668" s="1863" t="str">
        <f>'Part IV-A-Uses of Funds'!H165</f>
        <v>State Boost</v>
      </c>
      <c r="I668" s="1863"/>
      <c r="J668" s="2068">
        <f>'Part IV-A-Uses of Funds'!J165</f>
        <v>1.3</v>
      </c>
      <c r="K668" s="2068"/>
      <c r="M668" s="2069"/>
      <c r="N668" s="2069"/>
      <c r="P668" s="2068">
        <f>'Part IV-A-Uses of Funds'!P165</f>
        <v>0</v>
      </c>
      <c r="Q668" s="2068"/>
      <c r="R668" s="2070" t="str">
        <f>'Part IV-A-Uses of Funds'!R165</f>
        <v>Multifamily Rural projects w/out DCA HOME</v>
      </c>
      <c r="S668" s="2070"/>
      <c r="T668" s="2070"/>
      <c r="V668" s="2004"/>
      <c r="W668" s="2005"/>
      <c r="X668" s="2005"/>
      <c r="AZ668" s="1937"/>
    </row>
    <row r="669" spans="2:52" s="1856" customFormat="1" ht="14.1" customHeight="1">
      <c r="B669" s="1856" t="s">
        <v>1963</v>
      </c>
      <c r="J669" s="1982">
        <f>J667*J668</f>
        <v>13865459.4</v>
      </c>
      <c r="K669" s="1982"/>
      <c r="M669" s="1982">
        <f>+M667</f>
        <v>0</v>
      </c>
      <c r="N669" s="1982"/>
      <c r="P669" s="1982">
        <f>P667*P668</f>
        <v>0</v>
      </c>
      <c r="Q669" s="1982"/>
      <c r="R669" s="2070"/>
      <c r="S669" s="2070"/>
      <c r="T669" s="2070"/>
      <c r="V669" s="2004"/>
      <c r="W669" s="2005"/>
      <c r="X669" s="2005"/>
      <c r="AZ669" s="1937"/>
    </row>
    <row r="670" spans="2:52" s="1856" customFormat="1" ht="14.1" customHeight="1">
      <c r="B670" s="1856" t="s">
        <v>2424</v>
      </c>
      <c r="J670" s="2069">
        <f>MIN('Part VI-Revenues &amp; Expenses'!$P$63/'Part VI-Revenues &amp; Expenses'!$P$65,'Part VI-Revenues &amp; Expenses'!$P$164/'Part VI-Revenues &amp; Expenses'!$P$166)</f>
        <v>1</v>
      </c>
      <c r="K670" s="2069"/>
      <c r="M670" s="2069">
        <f>MIN('Part VI-Revenues &amp; Expenses'!$P$63/'Part VI-Revenues &amp; Expenses'!$P$65,'Part VI-Revenues &amp; Expenses'!$P$164/'Part VI-Revenues &amp; Expenses'!$P$166)</f>
        <v>1</v>
      </c>
      <c r="N670" s="2069"/>
      <c r="P670" s="2069">
        <f>MIN('Part VI-Revenues &amp; Expenses'!$P$63/'Part VI-Revenues &amp; Expenses'!$P$65,'Part VI-Revenues &amp; Expenses'!$P$164/'Part VI-Revenues &amp; Expenses'!$P$166)</f>
        <v>1</v>
      </c>
      <c r="Q670" s="2069"/>
      <c r="R670" s="2070"/>
      <c r="S670" s="2070"/>
      <c r="T670" s="2070"/>
      <c r="V670" s="2004"/>
      <c r="W670" s="2005"/>
      <c r="X670" s="2005"/>
      <c r="AZ670" s="1937"/>
    </row>
    <row r="671" spans="2:52" s="1856" customFormat="1" ht="14.1" customHeight="1">
      <c r="B671" s="1856" t="s">
        <v>1954</v>
      </c>
      <c r="J671" s="1982">
        <f>J669*J670</f>
        <v>13865459.4</v>
      </c>
      <c r="K671" s="1982"/>
      <c r="M671" s="1982">
        <f>M669*M670</f>
        <v>0</v>
      </c>
      <c r="N671" s="1982"/>
      <c r="P671" s="1982">
        <f>P669*P670</f>
        <v>0</v>
      </c>
      <c r="Q671" s="1982"/>
      <c r="V671" s="2004"/>
      <c r="W671" s="2005"/>
      <c r="X671" s="2005"/>
      <c r="AZ671" s="1937"/>
    </row>
    <row r="672" spans="2:52" s="1856" customFormat="1" ht="14.1" customHeight="1">
      <c r="B672" s="1856" t="s">
        <v>1955</v>
      </c>
      <c r="J672" s="2068">
        <f>'Part IV-A-Uses of Funds'!J169</f>
        <v>0.09</v>
      </c>
      <c r="K672" s="2068"/>
      <c r="M672" s="2068">
        <f>'Part IV-A-Uses of Funds'!M169</f>
        <v>0</v>
      </c>
      <c r="N672" s="2068"/>
      <c r="P672" s="2068">
        <f>'Part IV-A-Uses of Funds'!P169</f>
        <v>0</v>
      </c>
      <c r="Q672" s="2068"/>
      <c r="V672" s="2004"/>
      <c r="W672" s="2005"/>
      <c r="X672" s="2005"/>
      <c r="AZ672" s="1937"/>
    </row>
    <row r="673" spans="1:52" s="1856" customFormat="1" ht="14.1" customHeight="1">
      <c r="B673" s="1856" t="s">
        <v>2425</v>
      </c>
      <c r="J673" s="1982">
        <f>J671*J672</f>
        <v>1247891.3459999999</v>
      </c>
      <c r="K673" s="1982"/>
      <c r="M673" s="1982">
        <f>M671*M672</f>
        <v>0</v>
      </c>
      <c r="N673" s="1982"/>
      <c r="P673" s="1982">
        <f>P671*P672</f>
        <v>0</v>
      </c>
      <c r="Q673" s="1982"/>
      <c r="V673" s="2004"/>
      <c r="W673" s="2005"/>
      <c r="X673" s="2005"/>
      <c r="AZ673" s="1937"/>
    </row>
    <row r="674" spans="1:52" s="1856" customFormat="1" ht="14.1" customHeight="1">
      <c r="B674" s="1856" t="s">
        <v>1373</v>
      </c>
      <c r="J674" s="1982">
        <f>ROUNDDOWN(J673+M673+P673,0)</f>
        <v>1247891</v>
      </c>
      <c r="K674" s="1982"/>
      <c r="L674" s="1982"/>
      <c r="M674" s="1982"/>
      <c r="N674" s="1982"/>
      <c r="O674" s="1982"/>
      <c r="P674" s="1982"/>
      <c r="Q674" s="1982"/>
      <c r="V674" s="2004"/>
      <c r="W674" s="2043"/>
      <c r="X674" s="2043"/>
      <c r="AZ674" s="1937"/>
    </row>
    <row r="675" spans="1:52" s="1856" customFormat="1" ht="6" customHeight="1">
      <c r="B675" s="2071"/>
      <c r="L675" s="1998"/>
      <c r="M675" s="1998"/>
      <c r="N675" s="1998"/>
      <c r="O675" s="1998"/>
      <c r="V675" s="2008"/>
      <c r="AZ675" s="1937"/>
    </row>
    <row r="676" spans="1:52" s="1856" customFormat="1" ht="14.1" customHeight="1">
      <c r="A676" s="2003" t="s">
        <v>712</v>
      </c>
      <c r="B676" s="2003" t="s">
        <v>1376</v>
      </c>
      <c r="H676" s="2059"/>
      <c r="I676" s="2059"/>
      <c r="M676" s="2072"/>
      <c r="V676" s="2008"/>
      <c r="AZ676" s="1937"/>
    </row>
    <row r="677" spans="1:52" s="1937" customFormat="1" ht="3" customHeight="1">
      <c r="H677" s="2073"/>
      <c r="I677" s="2073"/>
      <c r="M677" s="2074"/>
    </row>
    <row r="678" spans="1:52" s="1937" customFormat="1" ht="14.1" customHeight="1">
      <c r="B678" s="1937" t="s">
        <v>4130</v>
      </c>
      <c r="H678" s="2073"/>
      <c r="I678" s="2073"/>
      <c r="M678" s="2074"/>
      <c r="O678" s="1868"/>
      <c r="P678" s="1868"/>
      <c r="Q678" s="1868"/>
      <c r="R678" s="1868"/>
      <c r="S678" s="1868"/>
      <c r="T678" s="1868"/>
      <c r="U678" s="1868"/>
      <c r="V678" s="1868"/>
    </row>
    <row r="679" spans="1:52" s="1937" customFormat="1" ht="15" customHeight="1">
      <c r="B679" s="1937" t="s">
        <v>7125</v>
      </c>
      <c r="J679" s="2075">
        <f>G649</f>
        <v>11756729</v>
      </c>
      <c r="K679" s="2075"/>
      <c r="L679" s="2075"/>
      <c r="V679" s="2076"/>
      <c r="W679" s="2077"/>
    </row>
    <row r="680" spans="1:52" s="1937" customFormat="1" ht="13.5" customHeight="1">
      <c r="B680" s="1937" t="s">
        <v>4134</v>
      </c>
      <c r="J680" s="2075">
        <f>'Part IV-A-Uses of Funds'!$G$92+'Part IV-A-Uses of Funds'!$G$114+SUM('Part IV-A-Uses of Funds'!$G$130:$H$132)</f>
        <v>692545</v>
      </c>
      <c r="K680" s="2075"/>
      <c r="L680" s="2075"/>
      <c r="V680" s="2076"/>
      <c r="W680" s="2077"/>
    </row>
    <row r="681" spans="1:52" s="1937" customFormat="1" ht="13.5" customHeight="1">
      <c r="B681" s="1935" t="s">
        <v>4133</v>
      </c>
      <c r="J681" s="2075">
        <f>J679-J680</f>
        <v>11064184</v>
      </c>
      <c r="K681" s="2075"/>
      <c r="L681" s="2075"/>
      <c r="M681" s="1856" t="str">
        <f>IF(J681&lt;=J682, "","Exceeds Project Cost Limit!   Needs Cost Limit waiver.")</f>
        <v/>
      </c>
      <c r="N681" s="1856"/>
      <c r="O681" s="1856"/>
      <c r="P681" s="1856"/>
      <c r="Q681" s="1856"/>
      <c r="R681" s="1856"/>
      <c r="S681" s="1856"/>
      <c r="T681" s="1856"/>
      <c r="V681" s="2076"/>
      <c r="W681" s="2077"/>
    </row>
    <row r="682" spans="1:52" s="1937" customFormat="1" ht="13.5" customHeight="1">
      <c r="B682" s="2078" t="s">
        <v>2598</v>
      </c>
      <c r="C682" s="1935"/>
      <c r="D682" s="1935"/>
      <c r="J682" s="2075">
        <f>'Part VIII-Threshold Criteria'!$P$63</f>
        <v>11064207</v>
      </c>
      <c r="K682" s="2075"/>
      <c r="L682" s="2075"/>
      <c r="V682" s="2076"/>
      <c r="W682" s="2077"/>
    </row>
    <row r="683" spans="1:52" s="1937" customFormat="1" ht="3" customHeight="1">
      <c r="B683" s="2078"/>
      <c r="C683" s="1935"/>
      <c r="D683" s="1935"/>
      <c r="J683" s="2079"/>
      <c r="K683" s="2079"/>
      <c r="L683" s="2079"/>
      <c r="V683" s="2076"/>
      <c r="W683" s="2077"/>
    </row>
    <row r="684" spans="1:52" s="1856" customFormat="1" ht="15" customHeight="1">
      <c r="B684" s="1856" t="s">
        <v>166</v>
      </c>
      <c r="V684" s="2008"/>
      <c r="W684" s="2003" t="str">
        <f>B676</f>
        <v>TAX CREDIT CALCULATION - GAP METHOD</v>
      </c>
      <c r="AZ684" s="1937"/>
    </row>
    <row r="685" spans="1:52" s="1856" customFormat="1" ht="15" customHeight="1">
      <c r="B685" s="1937" t="s">
        <v>4135</v>
      </c>
      <c r="J685" s="1894">
        <f>'Part IV-A-Uses of Funds'!J182</f>
        <v>11756729</v>
      </c>
      <c r="K685" s="1894"/>
      <c r="L685" s="1894"/>
      <c r="M685" s="2067" t="s">
        <v>4146</v>
      </c>
      <c r="N685" s="2067"/>
      <c r="O685" s="2067"/>
      <c r="P685" s="2067"/>
      <c r="Q685" s="2067"/>
      <c r="R685" s="2067"/>
      <c r="S685" s="2067" t="s">
        <v>3315</v>
      </c>
      <c r="T685" s="2067"/>
      <c r="V685" s="2004"/>
      <c r="W685" s="2005"/>
      <c r="X685" s="2005"/>
      <c r="AZ685" s="1937"/>
    </row>
    <row r="686" spans="1:52" s="1856" customFormat="1" ht="14.1" customHeight="1">
      <c r="B686" s="1856" t="s">
        <v>252</v>
      </c>
      <c r="J686" s="1982">
        <f>'Part III-Sources of Funds'!$I$60-'Part III-Sources of Funds'!$I$44-'Part III-Sources of Funds'!$I$45-'Part III-Sources of Funds'!$I$51-'Part III-Sources of Funds'!$I$52</f>
        <v>797864</v>
      </c>
      <c r="K686" s="1982"/>
      <c r="L686" s="1982"/>
      <c r="M686" s="2067"/>
      <c r="N686" s="2067"/>
      <c r="O686" s="2067"/>
      <c r="P686" s="2067"/>
      <c r="Q686" s="2067"/>
      <c r="R686" s="2067"/>
      <c r="S686" s="2067"/>
      <c r="T686" s="2067"/>
      <c r="V686" s="2004"/>
      <c r="W686" s="2005"/>
      <c r="X686" s="2005"/>
      <c r="AZ686" s="1937"/>
    </row>
    <row r="687" spans="1:52" s="1856" customFormat="1" ht="14.1" customHeight="1">
      <c r="B687" s="1856" t="s">
        <v>2132</v>
      </c>
      <c r="J687" s="1982">
        <f>+J685-J686</f>
        <v>10958865</v>
      </c>
      <c r="K687" s="1982"/>
      <c r="L687" s="1982"/>
      <c r="M687" s="2067"/>
      <c r="N687" s="2067"/>
      <c r="O687" s="2067"/>
      <c r="P687" s="2067"/>
      <c r="Q687" s="2067"/>
      <c r="R687" s="2067"/>
      <c r="S687" s="2067"/>
      <c r="T687" s="2067"/>
      <c r="V687" s="2004"/>
      <c r="W687" s="2005"/>
      <c r="X687" s="2005"/>
      <c r="AZ687" s="1937"/>
    </row>
    <row r="688" spans="1:52" s="1856" customFormat="1" ht="14.1" customHeight="1">
      <c r="B688" s="1856" t="s">
        <v>1238</v>
      </c>
      <c r="J688" s="1856" t="str">
        <f>"/ 10"</f>
        <v>/ 10</v>
      </c>
      <c r="M688" s="1875" t="s">
        <v>2582</v>
      </c>
      <c r="N688" s="1875"/>
      <c r="O688" s="2080">
        <f>'Part III-Sources of Funds'!$I$44</f>
        <v>0</v>
      </c>
      <c r="P688" s="2080"/>
      <c r="Q688" s="2080"/>
      <c r="R688" s="2080"/>
      <c r="S688" s="1890" t="s">
        <v>1589</v>
      </c>
      <c r="T688" s="2081">
        <f>'Part IV-A-Uses of Funds'!T185</f>
        <v>0</v>
      </c>
      <c r="V688" s="2004"/>
      <c r="W688" s="2005"/>
      <c r="X688" s="2005"/>
      <c r="AZ688" s="1937"/>
    </row>
    <row r="689" spans="1:52" s="1856" customFormat="1" ht="14.1" customHeight="1">
      <c r="B689" s="1856" t="s">
        <v>1239</v>
      </c>
      <c r="J689" s="1982">
        <f>J687/10</f>
        <v>1095886.5</v>
      </c>
      <c r="K689" s="1982"/>
      <c r="L689" s="1982"/>
      <c r="N689" s="2080"/>
      <c r="O689" s="2080"/>
      <c r="P689" s="2080"/>
      <c r="Q689" s="2080"/>
      <c r="R689" s="2080"/>
      <c r="V689" s="2008"/>
      <c r="W689" s="2005"/>
      <c r="X689" s="2005"/>
      <c r="AZ689" s="1937"/>
    </row>
    <row r="690" spans="1:52" s="1856" customFormat="1" ht="14.1" customHeight="1">
      <c r="M690" s="1865"/>
      <c r="N690" s="1856" t="s">
        <v>1240</v>
      </c>
      <c r="Q690" s="1856" t="s">
        <v>1717</v>
      </c>
      <c r="V690" s="2004"/>
      <c r="W690" s="2005"/>
      <c r="X690" s="2005"/>
      <c r="AZ690" s="1937"/>
    </row>
    <row r="691" spans="1:52" s="1856" customFormat="1" ht="14.1" customHeight="1">
      <c r="B691" s="1856" t="s">
        <v>7054</v>
      </c>
      <c r="J691" s="2082">
        <f>N691+Q691</f>
        <v>1.2173</v>
      </c>
      <c r="K691" s="2082"/>
      <c r="L691" s="2082"/>
      <c r="M691" s="1857" t="s">
        <v>1241</v>
      </c>
      <c r="N691" s="2083">
        <f>'Part IV-A-Uses of Funds'!N188</f>
        <v>0.8</v>
      </c>
      <c r="O691" s="2083"/>
      <c r="P691" s="1857" t="s">
        <v>583</v>
      </c>
      <c r="Q691" s="2083">
        <f>'Part IV-A-Uses of Funds'!Q188</f>
        <v>0.4173</v>
      </c>
      <c r="R691" s="2083"/>
      <c r="V691" s="2004"/>
      <c r="W691" s="2005"/>
      <c r="X691" s="2005"/>
      <c r="AZ691" s="1937"/>
    </row>
    <row r="692" spans="1:52" s="1856" customFormat="1" ht="14.1" customHeight="1">
      <c r="B692" s="1856" t="s">
        <v>1374</v>
      </c>
      <c r="J692" s="1982">
        <f>ROUNDDOWN(IF(J691=0,"",J689/J691),0)</f>
        <v>900260</v>
      </c>
      <c r="K692" s="1982"/>
      <c r="L692" s="1982"/>
      <c r="M692" s="1865"/>
      <c r="V692" s="2004"/>
      <c r="W692" s="2005"/>
      <c r="X692" s="2005"/>
      <c r="AZ692" s="1937"/>
    </row>
    <row r="693" spans="1:52" s="1856" customFormat="1" ht="6" customHeight="1">
      <c r="J693" s="1998"/>
      <c r="K693" s="1998"/>
      <c r="L693" s="1998"/>
      <c r="M693" s="1865"/>
      <c r="N693" s="1857"/>
      <c r="O693" s="1857"/>
      <c r="V693" s="2008"/>
      <c r="W693" s="2005"/>
      <c r="X693" s="2005"/>
      <c r="AZ693" s="1937"/>
    </row>
    <row r="694" spans="1:52" s="1856" customFormat="1" ht="14.1" customHeight="1">
      <c r="A694" s="2003" t="s">
        <v>1711</v>
      </c>
      <c r="B694" s="2003" t="s">
        <v>4131</v>
      </c>
      <c r="H694" s="2059"/>
      <c r="I694" s="2059"/>
      <c r="M694" s="2072"/>
      <c r="Q694" s="1864" t="s">
        <v>6542</v>
      </c>
      <c r="R694" s="1864"/>
      <c r="S694" s="1864" t="str">
        <f>'Part I-Project Information'!$H$105</f>
        <v>Rural</v>
      </c>
      <c r="T694" s="1864"/>
      <c r="V694" s="2008"/>
      <c r="AZ694" s="1937"/>
    </row>
    <row r="695" spans="1:52" s="1937" customFormat="1" ht="3" customHeight="1">
      <c r="H695" s="2073"/>
      <c r="I695" s="2073"/>
      <c r="M695" s="2074"/>
      <c r="Q695" s="2084"/>
      <c r="R695" s="2084"/>
      <c r="S695" s="1944"/>
      <c r="T695" s="1944"/>
      <c r="AZ695" s="1874"/>
    </row>
    <row r="696" spans="1:52" s="1856" customFormat="1" ht="16.350000000000001" customHeight="1">
      <c r="B696" s="1856" t="s">
        <v>7126</v>
      </c>
      <c r="J696" s="1894">
        <f>'Part IV-A-Uses of Funds'!J193</f>
        <v>900260</v>
      </c>
      <c r="K696" s="1894"/>
      <c r="L696" s="1894"/>
      <c r="M696" s="1865"/>
      <c r="Q696" s="1967" t="s">
        <v>367</v>
      </c>
      <c r="R696" s="1864"/>
      <c r="S696" s="1864" t="str">
        <f>'Part IX Scoring Criteria'!$M$43</f>
        <v>New Supply</v>
      </c>
      <c r="T696" s="1864"/>
      <c r="U696" s="1857" t="str">
        <f>IF(OR(S694="Atlanta Metro", "Other Metro"), "Metro", IF(S694="Rural","Rural",""))</f>
        <v>Rural</v>
      </c>
      <c r="V696" s="2004"/>
      <c r="W696" s="2005"/>
      <c r="X696" s="2005"/>
      <c r="AZ696" s="1874"/>
    </row>
    <row r="697" spans="1:52" s="1856" customFormat="1" ht="3" customHeight="1">
      <c r="J697" s="1998"/>
      <c r="K697" s="1998"/>
      <c r="L697" s="1998"/>
      <c r="M697" s="1865"/>
      <c r="N697" s="1857"/>
      <c r="O697" s="1857"/>
      <c r="Q697" s="1864"/>
      <c r="R697" s="1864"/>
      <c r="S697" s="1912"/>
      <c r="T697" s="1912"/>
      <c r="V697" s="2008"/>
      <c r="W697" s="2043"/>
      <c r="X697" s="2043"/>
      <c r="AZ697" s="1874"/>
    </row>
    <row r="698" spans="1:52" s="1856" customFormat="1" ht="16.350000000000001" customHeight="1">
      <c r="B698" s="1856" t="s">
        <v>7055</v>
      </c>
      <c r="J698" s="1894">
        <f>'Part IV-A-Uses of Funds'!J195</f>
        <v>900000</v>
      </c>
      <c r="K698" s="1894"/>
      <c r="L698" s="1894"/>
      <c r="M698" s="1907" t="str">
        <f>IF(J696=0,"",IF(J698&gt;J696,"Request can't exceed Maximum - REVISE (Try Round Down)!",""))</f>
        <v/>
      </c>
      <c r="N698" s="1907"/>
      <c r="O698" s="1907"/>
      <c r="P698" s="1907"/>
      <c r="Q698" s="1967" t="s">
        <v>4119</v>
      </c>
      <c r="R698" s="1967"/>
      <c r="S698" s="2085"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5"/>
      <c r="V698" s="2004"/>
      <c r="W698" s="2005"/>
      <c r="X698" s="2005"/>
      <c r="AZ698" s="1874"/>
    </row>
    <row r="699" spans="1:52" s="1856" customFormat="1" ht="3" customHeight="1">
      <c r="J699" s="1998"/>
      <c r="K699" s="1998"/>
      <c r="L699" s="1998"/>
      <c r="M699" s="1907"/>
      <c r="N699" s="1907"/>
      <c r="O699" s="1907"/>
      <c r="P699" s="1907"/>
      <c r="Q699" s="1864"/>
      <c r="R699" s="1864"/>
      <c r="S699" s="1912"/>
      <c r="T699" s="1912"/>
      <c r="V699" s="2008"/>
      <c r="W699" s="2043"/>
      <c r="X699" s="2043"/>
      <c r="AZ699" s="1874"/>
    </row>
    <row r="700" spans="1:52" s="1856" customFormat="1" ht="16.350000000000001" customHeight="1">
      <c r="A700" s="2003"/>
      <c r="B700" s="2003" t="s">
        <v>7127</v>
      </c>
      <c r="D700" s="1865"/>
      <c r="E700" s="1865"/>
      <c r="F700" s="1858"/>
      <c r="J700" s="1982">
        <f>IF(J698="",0,+MIN(J696,J698))</f>
        <v>900000</v>
      </c>
      <c r="K700" s="1982"/>
      <c r="L700" s="1982"/>
      <c r="M700" s="1907"/>
      <c r="N700" s="1907"/>
      <c r="O700" s="1907"/>
      <c r="P700" s="1907"/>
      <c r="Q700" s="1864" t="s">
        <v>6543</v>
      </c>
      <c r="R700" s="1864"/>
      <c r="S700" s="1864" t="str">
        <f>IF('Part I-Project Information'!$P$101="","",IF('Part I-Project Information'!$P$101="Yes","Yes","No"))</f>
        <v>No</v>
      </c>
      <c r="T700" s="1864"/>
      <c r="V700" s="2004"/>
      <c r="W700" s="2005"/>
      <c r="X700" s="2005"/>
      <c r="AZ700" s="1874"/>
    </row>
    <row r="701" spans="1:52" s="1865" customFormat="1" ht="3" customHeight="1">
      <c r="AZ701" s="1874"/>
    </row>
    <row r="702" spans="1:52" s="1865" customFormat="1" ht="6" customHeight="1">
      <c r="AZ702" s="1874"/>
    </row>
    <row r="703" spans="1:52" s="1865" customFormat="1" ht="12" customHeight="1">
      <c r="A703" s="1856" t="s">
        <v>1713</v>
      </c>
      <c r="B703" s="1865" t="s">
        <v>543</v>
      </c>
      <c r="N703" s="1856" t="s">
        <v>505</v>
      </c>
      <c r="O703" s="1856" t="s">
        <v>74</v>
      </c>
      <c r="AZ703" s="1937"/>
    </row>
    <row r="704" spans="1:52" s="1865" customFormat="1" ht="213" customHeight="1">
      <c r="A704" s="1956" t="str">
        <f>'Part IV-A-Uses of Funds'!A201</f>
        <v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We have included a construction interest rate chart that justifies the amount used in our sources of funds. </v>
      </c>
      <c r="B704" s="1956"/>
      <c r="C704" s="1956"/>
      <c r="D704" s="1956"/>
      <c r="E704" s="1956"/>
      <c r="F704" s="1956"/>
      <c r="G704" s="1956"/>
      <c r="H704" s="1956"/>
      <c r="I704" s="1956"/>
      <c r="J704" s="1956"/>
      <c r="K704" s="1956"/>
      <c r="L704" s="1956"/>
      <c r="M704" s="1956"/>
      <c r="N704" s="1956"/>
      <c r="O704" s="1956"/>
      <c r="P704" s="1956"/>
      <c r="Q704" s="1956"/>
      <c r="R704" s="1956"/>
      <c r="S704" s="1956"/>
      <c r="T704" s="1956"/>
      <c r="V704" s="1907"/>
      <c r="W704" s="1855" t="s">
        <v>2543</v>
      </c>
      <c r="X704" s="1855"/>
      <c r="AZ704" s="1937"/>
    </row>
    <row r="708" spans="1:14" s="2088" customFormat="1" ht="15">
      <c r="A708" s="2086" t="str">
        <f>CONCATENATE("PART FOUR (B) -  OTHER COSTS","  -  ",'Part I-Project Information'!$O$7," - ",'Part I-Project Information'!$F$35,"  -  ",'Part I-Project Information'!$F$39,"  -  ",'Part I-Project Information'!$J$40,",  ","County")</f>
        <v>PART FOUR (B) -  OTHER COSTS  -  2021-015 - The Peaks at Turnberry  -  Rincon  -  Effingham,  County</v>
      </c>
      <c r="B708" s="2086"/>
      <c r="C708" s="2086"/>
      <c r="D708" s="2086"/>
      <c r="E708" s="2086"/>
      <c r="F708" s="2086"/>
      <c r="G708" s="2086"/>
      <c r="H708" s="2086"/>
      <c r="I708" s="2087"/>
      <c r="J708" s="2087"/>
      <c r="K708" s="2087"/>
      <c r="L708" s="2087"/>
      <c r="M708" s="2087"/>
      <c r="N708" s="2087"/>
    </row>
    <row r="709" spans="1:14" s="2088" customFormat="1" ht="9" customHeight="1"/>
    <row r="710" spans="1:14" s="2088" customFormat="1" ht="57" customHeight="1">
      <c r="A710" s="2089" t="s">
        <v>3346</v>
      </c>
      <c r="B710" s="2089"/>
      <c r="C710" s="2089"/>
      <c r="D710" s="2089"/>
      <c r="E710" s="2089"/>
      <c r="F710" s="2089"/>
      <c r="G710" s="2089"/>
      <c r="H710" s="2089"/>
    </row>
    <row r="711" spans="1:14" s="2088" customFormat="1" ht="6" customHeight="1"/>
    <row r="712" spans="1:14" s="2088" customFormat="1" ht="38.25" customHeight="1">
      <c r="A712" s="2090" t="s">
        <v>7056</v>
      </c>
      <c r="B712" s="2090"/>
      <c r="C712" s="2090"/>
      <c r="D712" s="2090"/>
      <c r="F712" s="2091" t="s">
        <v>3337</v>
      </c>
      <c r="G712" s="2087"/>
      <c r="H712" s="2091" t="s">
        <v>3338</v>
      </c>
    </row>
    <row r="713" spans="1:14" s="2088" customFormat="1" ht="6.75" customHeight="1">
      <c r="A713" s="2087"/>
      <c r="B713" s="2087"/>
      <c r="C713" s="2087"/>
      <c r="D713" s="2087"/>
    </row>
    <row r="714" spans="1:14" s="2093" customFormat="1" ht="4.5" customHeight="1">
      <c r="A714" s="2092"/>
      <c r="B714" s="2092"/>
      <c r="C714" s="2092"/>
      <c r="D714" s="2092"/>
      <c r="E714" s="2092"/>
      <c r="F714" s="2092"/>
      <c r="G714" s="2092"/>
    </row>
    <row r="715" spans="1:14" s="2093" customFormat="1">
      <c r="A715" s="2087" t="s">
        <v>95</v>
      </c>
      <c r="B715" s="2094"/>
      <c r="C715" s="2094"/>
      <c r="D715" s="2094"/>
      <c r="E715" s="2094"/>
      <c r="F715" s="2094"/>
      <c r="G715" s="2094"/>
      <c r="H715" s="2094"/>
    </row>
    <row r="716" spans="1:14" s="2093" customFormat="1" ht="41.25" customHeight="1">
      <c r="A716" s="2095" t="str">
        <f>'Part IV-A-Uses of Funds'!$C$15</f>
        <v>&lt;&lt; Enter description here; provide detail &amp; justification in tab Part IV-b &gt;&gt;</v>
      </c>
      <c r="B716" s="2095"/>
      <c r="C716" s="2095"/>
      <c r="D716" s="2095"/>
      <c r="F716" s="2096">
        <f>'Part IV-B-Other Items'!F9</f>
        <v>0</v>
      </c>
      <c r="G716" s="2094"/>
      <c r="H716" s="2096">
        <f>'Part IV-B-Other Items'!H9</f>
        <v>0</v>
      </c>
    </row>
    <row r="717" spans="1:14" s="2093" customFormat="1" ht="41.25" customHeight="1">
      <c r="A717" s="2095"/>
      <c r="B717" s="2095"/>
      <c r="C717" s="2095"/>
      <c r="D717" s="2095"/>
      <c r="F717" s="2096"/>
      <c r="G717" s="2094"/>
      <c r="H717" s="2096"/>
    </row>
    <row r="718" spans="1:14" s="2093" customFormat="1" ht="4.5" customHeight="1">
      <c r="F718" s="2096"/>
      <c r="G718" s="2094"/>
      <c r="H718" s="2096"/>
    </row>
    <row r="719" spans="1:14" s="2093" customFormat="1" ht="15" customHeight="1">
      <c r="A719" s="2097" t="s">
        <v>3340</v>
      </c>
      <c r="B719" s="2098">
        <f>'Part IV-A-Uses of Funds'!$G$15</f>
        <v>0</v>
      </c>
      <c r="C719" s="2097" t="s">
        <v>1710</v>
      </c>
      <c r="D719" s="2098">
        <f>'Part IV-A-Uses of Funds'!$J$15+'Part IV-A-Uses of Funds'!$M$15+'Part IV-A-Uses of Funds'!$P$15</f>
        <v>0</v>
      </c>
      <c r="F719" s="2096"/>
      <c r="G719" s="2094"/>
      <c r="H719" s="2096"/>
    </row>
    <row r="720" spans="1:14" s="2093" customFormat="1" ht="6" customHeight="1">
      <c r="A720" s="2094"/>
      <c r="B720" s="2099"/>
      <c r="C720" s="2094"/>
      <c r="D720" s="2094"/>
      <c r="F720" s="2096"/>
      <c r="G720" s="2100"/>
      <c r="H720" s="2096"/>
    </row>
    <row r="721" spans="1:8" s="2093" customFormat="1" ht="41.25" customHeight="1">
      <c r="A721" s="2095" t="str">
        <f>'Part IV-A-Uses of Funds'!$C$16</f>
        <v>&lt;&lt; Enter description here; provide detail &amp; justification in tab Part IV-b &gt;&gt;</v>
      </c>
      <c r="B721" s="2095"/>
      <c r="C721" s="2095"/>
      <c r="D721" s="2095"/>
      <c r="F721" s="2096">
        <f>'Part IV-B-Other Items'!F14</f>
        <v>0</v>
      </c>
      <c r="G721" s="2094"/>
      <c r="H721" s="2096">
        <f>'Part IV-B-Other Items'!H14</f>
        <v>0</v>
      </c>
    </row>
    <row r="722" spans="1:8" s="2093" customFormat="1" ht="41.25" customHeight="1">
      <c r="A722" s="2095"/>
      <c r="B722" s="2095"/>
      <c r="C722" s="2095"/>
      <c r="D722" s="2095"/>
      <c r="F722" s="2096"/>
      <c r="G722" s="2094"/>
      <c r="H722" s="2096"/>
    </row>
    <row r="723" spans="1:8" s="2093" customFormat="1" ht="4.5" customHeight="1">
      <c r="F723" s="2096"/>
      <c r="G723" s="2094"/>
      <c r="H723" s="2096"/>
    </row>
    <row r="724" spans="1:8" s="2093" customFormat="1" ht="15" customHeight="1">
      <c r="A724" s="2097" t="s">
        <v>3340</v>
      </c>
      <c r="B724" s="2098">
        <f>'Part IV-A-Uses of Funds'!$G$16</f>
        <v>0</v>
      </c>
      <c r="C724" s="2097" t="s">
        <v>1710</v>
      </c>
      <c r="D724" s="2098">
        <f>'Part IV-A-Uses of Funds'!$J$16+'Part IV-A-Uses of Funds'!$M$16+'Part IV-A-Uses of Funds'!$P$16</f>
        <v>0</v>
      </c>
      <c r="F724" s="2096"/>
      <c r="G724" s="2094"/>
      <c r="H724" s="2096"/>
    </row>
    <row r="725" spans="1:8" s="2093" customFormat="1" ht="6" customHeight="1">
      <c r="A725" s="2094"/>
      <c r="B725" s="2099"/>
      <c r="C725" s="2094"/>
      <c r="D725" s="2094"/>
      <c r="F725" s="2096"/>
      <c r="G725" s="2100"/>
      <c r="H725" s="2096"/>
    </row>
    <row r="726" spans="1:8" s="2093" customFormat="1" ht="41.25" customHeight="1">
      <c r="A726" s="2095" t="str">
        <f>'Part IV-A-Uses of Funds'!$C$17</f>
        <v>&lt;&lt; Enter description here; provide detail &amp; justification in tab Part IV-b &gt;&gt;</v>
      </c>
      <c r="B726" s="2095"/>
      <c r="C726" s="2095"/>
      <c r="D726" s="2095"/>
      <c r="F726" s="2096">
        <f>'Part IV-B-Other Items'!F19</f>
        <v>0</v>
      </c>
      <c r="G726" s="2094"/>
      <c r="H726" s="2096">
        <f>'Part IV-B-Other Items'!H19</f>
        <v>0</v>
      </c>
    </row>
    <row r="727" spans="1:8" s="2093" customFormat="1" ht="41.25" customHeight="1">
      <c r="A727" s="2095"/>
      <c r="B727" s="2095"/>
      <c r="C727" s="2095"/>
      <c r="D727" s="2095"/>
      <c r="F727" s="2096"/>
      <c r="G727" s="2094"/>
      <c r="H727" s="2096"/>
    </row>
    <row r="728" spans="1:8" s="2093" customFormat="1" ht="4.5" customHeight="1">
      <c r="F728" s="2096"/>
      <c r="G728" s="2094"/>
      <c r="H728" s="2096"/>
    </row>
    <row r="729" spans="1:8" s="2093" customFormat="1" ht="15" customHeight="1">
      <c r="A729" s="2097" t="s">
        <v>3340</v>
      </c>
      <c r="B729" s="2098">
        <f>'Part IV-A-Uses of Funds'!$G$17</f>
        <v>0</v>
      </c>
      <c r="C729" s="2097" t="s">
        <v>1710</v>
      </c>
      <c r="D729" s="2098">
        <f>'Part IV-A-Uses of Funds'!$J$17+'Part IV-A-Uses of Funds'!$M$17+'Part IV-A-Uses of Funds'!$P$17</f>
        <v>0</v>
      </c>
      <c r="F729" s="2096"/>
      <c r="G729" s="2094"/>
      <c r="H729" s="2096"/>
    </row>
    <row r="730" spans="1:8" s="2093" customFormat="1" ht="6" customHeight="1">
      <c r="A730" s="2094"/>
      <c r="B730" s="2099"/>
      <c r="C730" s="2094"/>
      <c r="D730" s="2094"/>
      <c r="F730" s="2096"/>
      <c r="G730" s="2100"/>
      <c r="H730" s="2096"/>
    </row>
    <row r="731" spans="1:8" s="2093" customFormat="1">
      <c r="A731" s="2087" t="s">
        <v>3339</v>
      </c>
      <c r="B731" s="2094"/>
      <c r="C731" s="2094"/>
      <c r="D731" s="2094"/>
      <c r="E731" s="2094"/>
      <c r="F731" s="2094"/>
      <c r="G731" s="2094"/>
    </row>
    <row r="732" spans="1:8" s="2093" customFormat="1" ht="41.25" customHeight="1">
      <c r="A732" s="2095" t="str">
        <f>'Part IV-A-Uses of Funds'!$C$46</f>
        <v>&lt;&lt; Enter description here; provide detail &amp; justification in tab Part IV-b &gt;&gt;</v>
      </c>
      <c r="B732" s="2095"/>
      <c r="C732" s="2095"/>
      <c r="D732" s="2095"/>
      <c r="E732" s="2094"/>
      <c r="F732" s="2096">
        <f>'Part IV-B-Other Items'!F25</f>
        <v>0</v>
      </c>
      <c r="G732" s="2094"/>
      <c r="H732" s="2096">
        <f>'Part IV-B-Other Items'!H25</f>
        <v>0</v>
      </c>
    </row>
    <row r="733" spans="1:8" s="2093" customFormat="1" ht="41.25" customHeight="1">
      <c r="A733" s="2095"/>
      <c r="B733" s="2095"/>
      <c r="C733" s="2095"/>
      <c r="D733" s="2095"/>
      <c r="E733" s="2094"/>
      <c r="F733" s="2096"/>
      <c r="G733" s="2094"/>
      <c r="H733" s="2096"/>
    </row>
    <row r="734" spans="1:8" s="2093" customFormat="1" ht="4.5" customHeight="1">
      <c r="A734" s="2094"/>
      <c r="B734" s="2094"/>
      <c r="C734" s="2094"/>
      <c r="D734" s="2094"/>
      <c r="E734" s="2094"/>
      <c r="F734" s="2096"/>
      <c r="G734" s="2094"/>
      <c r="H734" s="2096"/>
    </row>
    <row r="735" spans="1:8" s="2093" customFormat="1">
      <c r="A735" s="2097" t="s">
        <v>3340</v>
      </c>
      <c r="B735" s="2098">
        <f>'Part IV-A-Uses of Funds'!$G$46</f>
        <v>0</v>
      </c>
      <c r="C735" s="2097" t="s">
        <v>1710</v>
      </c>
      <c r="D735" s="2098">
        <f>'Part IV-A-Uses of Funds'!$J$46+'Part IV-A-Uses of Funds'!$M$46+'Part IV-A-Uses of Funds'!$P$46</f>
        <v>0</v>
      </c>
      <c r="E735" s="2094"/>
      <c r="F735" s="2096"/>
      <c r="G735" s="2094"/>
      <c r="H735" s="2096"/>
    </row>
    <row r="736" spans="1:8" s="2093" customFormat="1" ht="6" customHeight="1">
      <c r="A736" s="2094"/>
      <c r="B736" s="2099"/>
      <c r="C736" s="2094"/>
      <c r="D736" s="2094"/>
      <c r="E736" s="2094"/>
      <c r="F736" s="2096"/>
      <c r="G736" s="2100"/>
      <c r="H736" s="2096"/>
    </row>
    <row r="737" spans="1:8" s="2093" customFormat="1">
      <c r="A737" s="2087" t="s">
        <v>692</v>
      </c>
      <c r="B737" s="2094"/>
      <c r="C737" s="2094"/>
      <c r="D737" s="2094"/>
      <c r="E737" s="2094"/>
      <c r="F737" s="2094"/>
      <c r="G737" s="2094"/>
    </row>
    <row r="738" spans="1:8" s="2093" customFormat="1" ht="41.25" customHeight="1">
      <c r="A738" s="2095" t="str">
        <f>'Part IV-A-Uses of Funds'!$C$71</f>
        <v>&lt;&lt; Enter description here; provide detail &amp; justification in tab Part IV-b &gt;&gt;</v>
      </c>
      <c r="B738" s="2095"/>
      <c r="C738" s="2095"/>
      <c r="D738" s="2095"/>
      <c r="E738" s="2094"/>
      <c r="F738" s="2096">
        <f>'Part IV-B-Other Items'!F31</f>
        <v>0</v>
      </c>
      <c r="G738" s="2094"/>
      <c r="H738" s="2096">
        <f>'Part IV-B-Other Items'!H31</f>
        <v>0</v>
      </c>
    </row>
    <row r="739" spans="1:8" s="2093" customFormat="1" ht="41.25" customHeight="1">
      <c r="A739" s="2095"/>
      <c r="B739" s="2095"/>
      <c r="C739" s="2095"/>
      <c r="D739" s="2095"/>
      <c r="E739" s="2094"/>
      <c r="F739" s="2096"/>
      <c r="G739" s="2094"/>
      <c r="H739" s="2096"/>
    </row>
    <row r="740" spans="1:8" s="2093" customFormat="1" ht="4.5" customHeight="1">
      <c r="A740" s="2094"/>
      <c r="B740" s="2094"/>
      <c r="C740" s="2094"/>
      <c r="D740" s="2094"/>
      <c r="E740" s="2094"/>
      <c r="F740" s="2096"/>
      <c r="G740" s="2094"/>
      <c r="H740" s="2096"/>
    </row>
    <row r="741" spans="1:8" s="2093" customFormat="1" ht="14.25" customHeight="1">
      <c r="A741" s="2097" t="s">
        <v>3340</v>
      </c>
      <c r="B741" s="2098">
        <f>'Part IV-A-Uses of Funds'!$G$71</f>
        <v>0</v>
      </c>
      <c r="C741" s="2097" t="s">
        <v>1710</v>
      </c>
      <c r="D741" s="2098">
        <f>'Part IV-A-Uses of Funds'!$J$71+'Part IV-A-Uses of Funds'!$M$71+'Part IV-A-Uses of Funds'!$P$71</f>
        <v>0</v>
      </c>
      <c r="E741" s="2094"/>
      <c r="F741" s="2096"/>
      <c r="G741" s="2094"/>
      <c r="H741" s="2096"/>
    </row>
    <row r="742" spans="1:8" s="2093" customFormat="1" ht="6" customHeight="1">
      <c r="D742" s="2094"/>
      <c r="E742" s="2094"/>
      <c r="F742" s="2096"/>
      <c r="G742" s="2100"/>
      <c r="H742" s="2096"/>
    </row>
    <row r="743" spans="1:8" s="2093" customFormat="1" ht="41.25" customHeight="1">
      <c r="A743" s="2095" t="str">
        <f>'Part IV-A-Uses of Funds'!$C$72</f>
        <v>&lt;&lt; Enter description here; provide detail &amp; justification in tab Part IV-b &gt;&gt;</v>
      </c>
      <c r="B743" s="2095"/>
      <c r="C743" s="2095"/>
      <c r="D743" s="2095"/>
      <c r="E743" s="2094"/>
      <c r="F743" s="2096">
        <f>'Part IV-B-Other Items'!F36</f>
        <v>0</v>
      </c>
      <c r="G743" s="2094"/>
      <c r="H743" s="2096">
        <f>'Part IV-B-Other Items'!H36</f>
        <v>0</v>
      </c>
    </row>
    <row r="744" spans="1:8" s="2093" customFormat="1" ht="41.25" customHeight="1">
      <c r="A744" s="2095"/>
      <c r="B744" s="2095"/>
      <c r="C744" s="2095"/>
      <c r="D744" s="2095"/>
      <c r="E744" s="2094"/>
      <c r="F744" s="2096"/>
      <c r="G744" s="2094"/>
      <c r="H744" s="2096"/>
    </row>
    <row r="745" spans="1:8" s="2093" customFormat="1" ht="4.5" customHeight="1">
      <c r="A745" s="2094"/>
      <c r="B745" s="2094"/>
      <c r="C745" s="2094"/>
      <c r="D745" s="2094"/>
      <c r="E745" s="2094"/>
      <c r="F745" s="2096"/>
      <c r="G745" s="2094"/>
      <c r="H745" s="2096"/>
    </row>
    <row r="746" spans="1:8" s="2093" customFormat="1" ht="14.25" customHeight="1">
      <c r="A746" s="2097" t="s">
        <v>3340</v>
      </c>
      <c r="B746" s="2098">
        <f>'Part IV-A-Uses of Funds'!$G$72</f>
        <v>0</v>
      </c>
      <c r="C746" s="2097" t="s">
        <v>1710</v>
      </c>
      <c r="D746" s="2098">
        <f>'Part IV-A-Uses of Funds'!$J$72+'Part IV-A-Uses of Funds'!$M$72+'Part IV-A-Uses of Funds'!$P$72</f>
        <v>0</v>
      </c>
      <c r="E746" s="2094"/>
      <c r="F746" s="2096"/>
      <c r="G746" s="2094"/>
      <c r="H746" s="2096"/>
    </row>
    <row r="747" spans="1:8" s="2093" customFormat="1" ht="6" customHeight="1">
      <c r="D747" s="2094"/>
      <c r="E747" s="2094"/>
      <c r="F747" s="2096"/>
      <c r="G747" s="2100"/>
      <c r="H747" s="2096"/>
    </row>
    <row r="748" spans="1:8" s="2093" customFormat="1">
      <c r="A748" s="2087" t="s">
        <v>456</v>
      </c>
      <c r="B748" s="2094"/>
      <c r="C748" s="2094"/>
      <c r="D748" s="2094"/>
      <c r="E748" s="2056"/>
      <c r="F748" s="2056"/>
      <c r="G748" s="2094"/>
    </row>
    <row r="749" spans="1:8" s="2093" customFormat="1" ht="41.25" customHeight="1">
      <c r="A749" s="2095" t="str">
        <f>'Part IV-A-Uses of Funds'!$C$85</f>
        <v>&lt;&lt; Enter description here; provide detail &amp; justification in tab Part IV-b &gt;&gt;</v>
      </c>
      <c r="B749" s="2095"/>
      <c r="C749" s="2095"/>
      <c r="D749" s="2095"/>
      <c r="F749" s="2096">
        <f>'Part IV-B-Other Items'!F42</f>
        <v>0</v>
      </c>
      <c r="G749" s="2094"/>
      <c r="H749" s="2096">
        <f>'Part IV-B-Other Items'!H42</f>
        <v>0</v>
      </c>
    </row>
    <row r="750" spans="1:8" s="2093" customFormat="1" ht="41.25" customHeight="1">
      <c r="A750" s="2095"/>
      <c r="B750" s="2095"/>
      <c r="C750" s="2095"/>
      <c r="D750" s="2095"/>
      <c r="E750" s="2094"/>
      <c r="F750" s="2096"/>
      <c r="G750" s="2094"/>
      <c r="H750" s="2096"/>
    </row>
    <row r="751" spans="1:8" s="2093" customFormat="1" ht="4.5" customHeight="1">
      <c r="A751" s="2094"/>
      <c r="B751" s="2094"/>
      <c r="C751" s="2094"/>
      <c r="D751" s="2094"/>
      <c r="E751" s="2094"/>
      <c r="F751" s="2096"/>
      <c r="G751" s="2094"/>
      <c r="H751" s="2096"/>
    </row>
    <row r="752" spans="1:8" s="2093" customFormat="1" ht="13.5" customHeight="1">
      <c r="A752" s="2097" t="s">
        <v>3340</v>
      </c>
      <c r="B752" s="2098">
        <f>'Part IV-A-Uses of Funds'!$G$85</f>
        <v>0</v>
      </c>
      <c r="C752" s="2097" t="s">
        <v>1710</v>
      </c>
      <c r="D752" s="2098">
        <f>'Part IV-A-Uses of Funds'!$J$85+'Part IV-A-Uses of Funds'!$M$85+'Part IV-A-Uses of Funds'!$P$85</f>
        <v>0</v>
      </c>
      <c r="E752" s="2094"/>
      <c r="F752" s="2096"/>
      <c r="G752" s="2094"/>
      <c r="H752" s="2096"/>
    </row>
    <row r="753" spans="1:8" s="2093" customFormat="1" ht="6" customHeight="1">
      <c r="A753" s="2094"/>
      <c r="B753" s="2099"/>
      <c r="C753" s="2094"/>
      <c r="D753" s="2094"/>
      <c r="E753" s="2094"/>
      <c r="F753" s="2096"/>
      <c r="G753" s="2100"/>
      <c r="H753" s="2096"/>
    </row>
    <row r="754" spans="1:8" s="2093" customFormat="1">
      <c r="A754" s="2087" t="s">
        <v>694</v>
      </c>
      <c r="B754" s="2094"/>
      <c r="C754" s="2094"/>
      <c r="D754" s="2094"/>
      <c r="E754" s="2094"/>
      <c r="F754" s="2094"/>
      <c r="G754" s="2094"/>
    </row>
    <row r="755" spans="1:8" s="2093" customFormat="1" ht="41.25" customHeight="1">
      <c r="A755" s="2095" t="str">
        <f>'Part IV-A-Uses of Funds'!$C$102</f>
        <v>1st year perm insurance</v>
      </c>
      <c r="B755" s="2095"/>
      <c r="C755" s="2095"/>
      <c r="D755" s="2095"/>
      <c r="F755" s="2096" t="str">
        <f>'Part IV-B-Other Items'!F48</f>
        <v>1st year premium must be paid up-front and the development will not have funds from operations to cover the cost at that time thus it is included in the development budget.</v>
      </c>
      <c r="G755" s="2094"/>
    </row>
    <row r="756" spans="1:8" s="2093" customFormat="1" ht="41.25" customHeight="1">
      <c r="A756" s="2095"/>
      <c r="B756" s="2095"/>
      <c r="C756" s="2095"/>
      <c r="D756" s="2095"/>
      <c r="E756" s="2094"/>
      <c r="F756" s="2096"/>
      <c r="G756" s="2094"/>
    </row>
    <row r="757" spans="1:8" s="2093" customFormat="1" ht="3" customHeight="1">
      <c r="A757" s="2094"/>
      <c r="B757" s="2094"/>
      <c r="C757" s="2094"/>
      <c r="D757" s="2094"/>
      <c r="E757" s="2094"/>
      <c r="F757" s="2096"/>
      <c r="G757" s="2094"/>
    </row>
    <row r="758" spans="1:8" s="2093" customFormat="1" ht="13.5" customHeight="1">
      <c r="A758" s="2097" t="s">
        <v>3340</v>
      </c>
      <c r="B758" s="2098">
        <f>'Part IV-A-Uses of Funds'!$G$102</f>
        <v>19500</v>
      </c>
      <c r="C758" s="2101"/>
      <c r="D758" s="2101"/>
      <c r="E758" s="2094"/>
      <c r="F758" s="2096"/>
      <c r="G758" s="2094"/>
    </row>
    <row r="759" spans="1:8" s="2093" customFormat="1" ht="3.75" customHeight="1">
      <c r="A759" s="2094"/>
      <c r="B759" s="2094"/>
      <c r="C759" s="2094"/>
      <c r="D759" s="2094"/>
      <c r="E759" s="2094"/>
      <c r="F759" s="2096"/>
      <c r="G759" s="2100"/>
    </row>
    <row r="760" spans="1:8" s="2093" customFormat="1">
      <c r="A760" s="2087" t="s">
        <v>7057</v>
      </c>
      <c r="B760" s="2094"/>
      <c r="C760" s="2094"/>
      <c r="D760" s="2094"/>
      <c r="E760" s="2094"/>
      <c r="F760" s="2094"/>
      <c r="G760" s="2094"/>
    </row>
    <row r="761" spans="1:8" s="2093" customFormat="1" ht="41.25" customHeight="1">
      <c r="A761" s="2095" t="str">
        <f>'Part IV-A-Uses of Funds'!$C$112</f>
        <v>&lt;&lt; Enter description here; provide detail &amp; justification in tab Part IV-b &gt;&gt;</v>
      </c>
      <c r="B761" s="2095"/>
      <c r="C761" s="2095"/>
      <c r="D761" s="2095"/>
      <c r="F761" s="2096">
        <f>'Part IV-B-Other Items'!F54</f>
        <v>0</v>
      </c>
      <c r="G761" s="2094"/>
    </row>
    <row r="762" spans="1:8" s="2093" customFormat="1" ht="41.25" customHeight="1">
      <c r="A762" s="2095"/>
      <c r="B762" s="2095"/>
      <c r="C762" s="2095"/>
      <c r="D762" s="2095"/>
      <c r="E762" s="2094"/>
      <c r="F762" s="2096"/>
      <c r="G762" s="2094"/>
    </row>
    <row r="763" spans="1:8" s="2093" customFormat="1" ht="3" customHeight="1">
      <c r="A763" s="2094"/>
      <c r="B763" s="2094"/>
      <c r="C763" s="2094"/>
      <c r="D763" s="2094"/>
      <c r="E763" s="2094"/>
      <c r="F763" s="2096"/>
      <c r="G763" s="2094"/>
    </row>
    <row r="764" spans="1:8" s="2093" customFormat="1">
      <c r="A764" s="2097" t="s">
        <v>3340</v>
      </c>
      <c r="B764" s="2098">
        <f>'Part IV-A-Uses of Funds'!$G$112</f>
        <v>0</v>
      </c>
      <c r="C764" s="2101"/>
      <c r="D764" s="2101"/>
      <c r="E764" s="2094"/>
      <c r="F764" s="2096"/>
      <c r="G764" s="2094"/>
    </row>
    <row r="765" spans="1:8" s="2093" customFormat="1" ht="3.75" customHeight="1">
      <c r="A765" s="2092"/>
      <c r="B765" s="2092"/>
      <c r="C765" s="2092"/>
      <c r="D765" s="2092"/>
      <c r="E765" s="2092"/>
      <c r="F765" s="2096"/>
      <c r="G765" s="2100"/>
    </row>
    <row r="766" spans="1:8" s="2093" customFormat="1" ht="41.25" customHeight="1">
      <c r="A766" s="2095" t="str">
        <f>'Part IV-A-Uses of Funds'!$C$113</f>
        <v>&lt;&lt; Enter description here; provide detail &amp; justification in tab Part IV-b &gt;&gt;</v>
      </c>
      <c r="B766" s="2095"/>
      <c r="C766" s="2095"/>
      <c r="D766" s="2095"/>
      <c r="F766" s="2096">
        <f>'Part IV-B-Other Items'!F59</f>
        <v>0</v>
      </c>
      <c r="G766" s="2094"/>
    </row>
    <row r="767" spans="1:8" s="2093" customFormat="1" ht="41.25" customHeight="1">
      <c r="A767" s="2095"/>
      <c r="B767" s="2095"/>
      <c r="C767" s="2095"/>
      <c r="D767" s="2095"/>
      <c r="E767" s="2094"/>
      <c r="F767" s="2096"/>
      <c r="G767" s="2094"/>
    </row>
    <row r="768" spans="1:8" s="2093" customFormat="1" ht="3" customHeight="1">
      <c r="A768" s="2094"/>
      <c r="B768" s="2094"/>
      <c r="C768" s="2094"/>
      <c r="D768" s="2094"/>
      <c r="E768" s="2094"/>
      <c r="F768" s="2096"/>
      <c r="G768" s="2094"/>
    </row>
    <row r="769" spans="1:8" s="2093" customFormat="1">
      <c r="A769" s="2097" t="s">
        <v>3340</v>
      </c>
      <c r="B769" s="2098">
        <f>'Part IV-A-Uses of Funds'!$G$113</f>
        <v>0</v>
      </c>
      <c r="C769" s="2101"/>
      <c r="D769" s="2101"/>
      <c r="E769" s="2094"/>
      <c r="F769" s="2096"/>
      <c r="G769" s="2094"/>
    </row>
    <row r="770" spans="1:8" s="2093" customFormat="1" ht="3.75" customHeight="1">
      <c r="A770" s="2092"/>
      <c r="B770" s="2092"/>
      <c r="C770" s="2092"/>
      <c r="D770" s="2092"/>
      <c r="E770" s="2092"/>
      <c r="F770" s="2096"/>
      <c r="G770" s="2100"/>
    </row>
    <row r="771" spans="1:8" s="2093" customFormat="1">
      <c r="A771" s="2087" t="s">
        <v>7058</v>
      </c>
      <c r="B771" s="2094"/>
      <c r="C771" s="2094"/>
      <c r="D771" s="2094"/>
      <c r="E771" s="2094"/>
      <c r="F771" s="2094"/>
      <c r="G771" s="2094"/>
    </row>
    <row r="772" spans="1:8" s="2093" customFormat="1" ht="41.25" customHeight="1">
      <c r="A772" s="2095" t="str">
        <f>'Part IV-A-Uses of Funds'!$C$119</f>
        <v>&lt;&lt; Enter description here; provide detail &amp; justification in tab Part IV-b &gt;&gt;</v>
      </c>
      <c r="B772" s="2095"/>
      <c r="C772" s="2095"/>
      <c r="D772" s="2095"/>
      <c r="F772" s="2096">
        <f>'Part IV-B-Other Items'!F65</f>
        <v>0</v>
      </c>
      <c r="G772" s="2094"/>
    </row>
    <row r="773" spans="1:8" s="2093" customFormat="1" ht="41.25" customHeight="1">
      <c r="A773" s="2095"/>
      <c r="B773" s="2095"/>
      <c r="C773" s="2095"/>
      <c r="D773" s="2095"/>
      <c r="E773" s="2094"/>
      <c r="F773" s="2096"/>
      <c r="G773" s="2094"/>
    </row>
    <row r="774" spans="1:8" s="2093" customFormat="1" ht="3" customHeight="1">
      <c r="A774" s="2094"/>
      <c r="B774" s="2094"/>
      <c r="C774" s="2094"/>
      <c r="D774" s="2094"/>
      <c r="E774" s="2094"/>
      <c r="F774" s="2096"/>
      <c r="G774" s="2094"/>
    </row>
    <row r="775" spans="1:8" s="2093" customFormat="1">
      <c r="A775" s="2097" t="s">
        <v>3340</v>
      </c>
      <c r="B775" s="2098">
        <f>'Part IV-A-Uses of Funds'!$G$119</f>
        <v>0</v>
      </c>
      <c r="C775" s="2101"/>
      <c r="D775" s="2101"/>
      <c r="E775" s="2094"/>
      <c r="F775" s="2096"/>
      <c r="G775" s="2094"/>
    </row>
    <row r="776" spans="1:8" s="2093" customFormat="1" ht="3.75" customHeight="1">
      <c r="A776" s="2094"/>
      <c r="B776" s="2099"/>
      <c r="C776" s="2094"/>
      <c r="D776" s="2094"/>
      <c r="E776" s="2094"/>
      <c r="F776" s="2096"/>
      <c r="G776" s="2100"/>
    </row>
    <row r="777" spans="1:8" s="2093" customFormat="1">
      <c r="A777" s="2087" t="s">
        <v>1260</v>
      </c>
      <c r="B777" s="2094"/>
      <c r="C777" s="2094"/>
      <c r="D777" s="2094"/>
      <c r="E777" s="2094"/>
      <c r="F777" s="2094"/>
      <c r="G777" s="2094"/>
    </row>
    <row r="778" spans="1:8" s="2093" customFormat="1" ht="41.25" customHeight="1">
      <c r="A778" s="2095" t="str">
        <f>'Part IV-A-Uses of Funds'!$C$134</f>
        <v>&lt;&lt; Enter description here; provide detail &amp; justification in tab Part IV-b &gt;&gt;</v>
      </c>
      <c r="B778" s="2095"/>
      <c r="C778" s="2095"/>
      <c r="D778" s="2095"/>
      <c r="F778" s="2096">
        <f>'Part IV-B-Other Items'!F71</f>
        <v>0</v>
      </c>
      <c r="G778" s="2094"/>
      <c r="H778" s="2096">
        <f>'Part IV-B-Other Items'!H71</f>
        <v>0</v>
      </c>
    </row>
    <row r="779" spans="1:8" s="2093" customFormat="1" ht="41.25" customHeight="1">
      <c r="A779" s="2095"/>
      <c r="B779" s="2095"/>
      <c r="C779" s="2095"/>
      <c r="D779" s="2095"/>
      <c r="E779" s="2094"/>
      <c r="F779" s="2096"/>
      <c r="G779" s="2094"/>
      <c r="H779" s="2096"/>
    </row>
    <row r="780" spans="1:8" s="2093" customFormat="1" ht="4.5" customHeight="1">
      <c r="A780" s="2094"/>
      <c r="B780" s="2094"/>
      <c r="C780" s="2094"/>
      <c r="D780" s="2094"/>
      <c r="E780" s="2094"/>
      <c r="F780" s="2096"/>
      <c r="G780" s="2094"/>
      <c r="H780" s="2096"/>
    </row>
    <row r="781" spans="1:8" s="2093" customFormat="1" ht="12.75" customHeight="1">
      <c r="A781" s="2097" t="s">
        <v>3340</v>
      </c>
      <c r="B781" s="2098">
        <f>'Part IV-A-Uses of Funds'!$G$134</f>
        <v>0</v>
      </c>
      <c r="C781" s="2097" t="s">
        <v>1710</v>
      </c>
      <c r="D781" s="2098">
        <f>'Part IV-A-Uses of Funds'!$J$134+'Part IV-A-Uses of Funds'!$M$134+'Part IV-A-Uses of Funds'!$P$134</f>
        <v>0</v>
      </c>
      <c r="E781" s="2094"/>
      <c r="F781" s="2096"/>
      <c r="G781" s="2094"/>
      <c r="H781" s="2096"/>
    </row>
    <row r="782" spans="1:8" s="2093" customFormat="1" ht="6" customHeight="1">
      <c r="A782" s="2094"/>
      <c r="B782" s="2099"/>
      <c r="C782" s="2094"/>
      <c r="D782" s="2094"/>
      <c r="E782" s="2094"/>
      <c r="F782" s="2096"/>
      <c r="G782" s="2100"/>
      <c r="H782" s="2096"/>
    </row>
    <row r="783" spans="1:8" s="2093" customFormat="1">
      <c r="A783" s="2087" t="s">
        <v>7059</v>
      </c>
      <c r="B783" s="2099"/>
      <c r="C783" s="2094"/>
      <c r="D783" s="2094"/>
      <c r="E783" s="2094"/>
      <c r="F783" s="2094"/>
      <c r="G783" s="2100"/>
    </row>
    <row r="784" spans="1:8" s="2093" customFormat="1" ht="41.25" customHeight="1">
      <c r="A784" s="2095" t="str">
        <f>'Part IV-A-Uses of Funds'!$C$143</f>
        <v>&lt;&lt; Enter description here; provide detail &amp; justification in tab Part IV-b &gt;&gt;</v>
      </c>
      <c r="B784" s="2095"/>
      <c r="C784" s="2095"/>
      <c r="D784" s="2095"/>
      <c r="F784" s="2096">
        <f>'Part IV-B-Other Items'!F77</f>
        <v>0</v>
      </c>
      <c r="G784" s="2094"/>
      <c r="H784" s="2096">
        <f>'Part IV-B-Other Items'!H77</f>
        <v>0</v>
      </c>
    </row>
    <row r="785" spans="1:25" s="2093" customFormat="1" ht="41.25" customHeight="1">
      <c r="A785" s="2095"/>
      <c r="B785" s="2095"/>
      <c r="C785" s="2095"/>
      <c r="D785" s="2095"/>
      <c r="E785" s="2094"/>
      <c r="F785" s="2096"/>
      <c r="G785" s="2094"/>
      <c r="H785" s="2096"/>
    </row>
    <row r="786" spans="1:25" s="2093" customFormat="1" ht="4.5" customHeight="1">
      <c r="A786" s="2094"/>
      <c r="B786" s="2094"/>
      <c r="C786" s="2094"/>
      <c r="D786" s="2094"/>
      <c r="E786" s="2094"/>
      <c r="F786" s="2096"/>
      <c r="G786" s="2094"/>
      <c r="H786" s="2096"/>
    </row>
    <row r="787" spans="1:25" s="2093" customFormat="1" ht="12.75" customHeight="1">
      <c r="A787" s="2097" t="s">
        <v>3340</v>
      </c>
      <c r="B787" s="2098">
        <f>'Part IV-A-Uses of Funds'!$G$143</f>
        <v>0</v>
      </c>
      <c r="C787" s="2097" t="s">
        <v>1710</v>
      </c>
      <c r="D787" s="2098">
        <f>'Part IV-A-Uses of Funds'!$J$143+'Part IV-A-Uses of Funds'!$M$143+'Part IV-A-Uses of Funds'!$P$143</f>
        <v>0</v>
      </c>
      <c r="E787" s="2094"/>
      <c r="F787" s="2096"/>
      <c r="G787" s="2094"/>
      <c r="H787" s="2096"/>
    </row>
    <row r="788" spans="1:25" s="2093" customFormat="1" ht="6" customHeight="1">
      <c r="D788" s="2102"/>
      <c r="E788" s="2103"/>
      <c r="F788" s="2096"/>
      <c r="G788" s="2100"/>
      <c r="H788" s="2096"/>
    </row>
    <row r="792" spans="1:25" s="1852" customFormat="1" ht="14.1" customHeight="1">
      <c r="A792" s="1818" t="str">
        <f>CONCATENATE("PART FIVE - UTILITY ALLOWANCES","  -  ",'Part I-Project Information'!$O$7," ",'Part I-Project Information'!$F$35,", ",'Part I-Project Information'!F830,", ",'Part I-Project Information'!J831," County")</f>
        <v>PART FIVE - UTILITY ALLOWANCES  -  2021-015 The Peaks at Turnberry, ,  County</v>
      </c>
      <c r="B792" s="1818"/>
      <c r="C792" s="1818"/>
      <c r="D792" s="1818"/>
      <c r="E792" s="1818"/>
      <c r="F792" s="1818"/>
      <c r="G792" s="1818"/>
      <c r="H792" s="1818"/>
      <c r="I792" s="1818"/>
      <c r="J792" s="1818"/>
      <c r="K792" s="1818"/>
      <c r="L792" s="1818"/>
      <c r="M792" s="1818"/>
      <c r="N792" s="1818"/>
      <c r="O792" s="1818"/>
      <c r="P792" s="1818"/>
      <c r="Q792" s="1818"/>
    </row>
    <row r="793" spans="1:25" s="1852" customFormat="1" ht="7.5" customHeight="1"/>
    <row r="794" spans="1:25" s="1852" customFormat="1" ht="12.75" customHeight="1">
      <c r="B794" s="2104" t="str">
        <f>'Part I-Project Information'!$B$7</f>
        <v>2021 Core App
May 10 Rev</v>
      </c>
      <c r="C794" s="2104"/>
      <c r="D794" s="2104"/>
      <c r="E794" s="2104"/>
      <c r="F794" s="1818" t="s">
        <v>3828</v>
      </c>
      <c r="I794" s="2105" t="str">
        <f>VLOOKUP('Part I-Project Information'!$J$40,'DCA Underwriting Assumptions'!$G$174:$H$333,2)</f>
        <v>South</v>
      </c>
    </row>
    <row r="795" spans="1:25" s="1852" customFormat="1" ht="6" customHeight="1"/>
    <row r="796" spans="1:25" s="1852" customFormat="1" ht="12.75" customHeight="1">
      <c r="A796" s="2106" t="s">
        <v>7128</v>
      </c>
      <c r="O796" s="1856" t="s">
        <v>7129</v>
      </c>
      <c r="P796" s="1856"/>
      <c r="Q796" s="1856"/>
      <c r="R796" s="1856"/>
      <c r="S796" s="1856"/>
      <c r="T796" s="1856"/>
      <c r="U796" s="1856"/>
      <c r="V796" s="1856"/>
      <c r="W796" s="1856"/>
      <c r="X796" s="1856"/>
      <c r="Y796" s="1856"/>
    </row>
    <row r="797" spans="1:25" s="1852" customFormat="1" ht="6" customHeight="1">
      <c r="O797" s="1856"/>
      <c r="P797" s="1856"/>
      <c r="Q797" s="1856"/>
      <c r="R797" s="1856"/>
      <c r="S797" s="1856"/>
      <c r="T797" s="1856"/>
      <c r="U797" s="1856"/>
      <c r="V797" s="1856"/>
      <c r="W797" s="1856"/>
      <c r="X797" s="1856"/>
      <c r="Y797" s="1856"/>
    </row>
    <row r="798" spans="1:25" s="1852" customFormat="1" ht="13.5" customHeight="1">
      <c r="A798" s="1852" t="s">
        <v>586</v>
      </c>
      <c r="B798" s="1852" t="s">
        <v>2127</v>
      </c>
      <c r="F798" s="1818" t="s">
        <v>2402</v>
      </c>
      <c r="G798" s="1818"/>
      <c r="H798" s="1818"/>
      <c r="I798" s="1976" t="str">
        <f>'Part V-Utility Allowances'!I7</f>
        <v xml:space="preserve">DCA Southern Region </v>
      </c>
      <c r="J798" s="1976"/>
      <c r="K798" s="1976"/>
      <c r="L798" s="1976"/>
      <c r="M798" s="1976"/>
      <c r="O798" s="1856"/>
      <c r="P798" s="1856"/>
      <c r="Q798" s="1856"/>
      <c r="R798" s="1856"/>
      <c r="S798" s="1856"/>
      <c r="T798" s="1856"/>
      <c r="U798" s="1856"/>
      <c r="V798" s="1856"/>
      <c r="W798" s="1856"/>
      <c r="X798" s="1856"/>
      <c r="Y798" s="1856"/>
    </row>
    <row r="799" spans="1:25" s="1852" customFormat="1" ht="13.35" customHeight="1">
      <c r="F799" s="1818" t="s">
        <v>606</v>
      </c>
      <c r="G799" s="1818"/>
      <c r="H799" s="1818"/>
      <c r="I799" s="2107">
        <f>'Part V-Utility Allowances'!I8</f>
        <v>44197</v>
      </c>
      <c r="J799" s="2107"/>
      <c r="K799" s="2108" t="s">
        <v>514</v>
      </c>
      <c r="L799" s="1976" t="str">
        <f>'Part V-Utility Allowances'!L8</f>
        <v>Low-Rise Apt</v>
      </c>
      <c r="M799" s="1976"/>
      <c r="O799" s="1856"/>
      <c r="P799" s="1856"/>
      <c r="Q799" s="1856"/>
      <c r="R799" s="1856"/>
      <c r="S799" s="1856"/>
      <c r="T799" s="1856"/>
      <c r="U799" s="1856"/>
      <c r="V799" s="1856"/>
      <c r="W799" s="1856"/>
      <c r="X799" s="1856"/>
      <c r="Y799" s="1856"/>
    </row>
    <row r="800" spans="1:25" s="1852" customFormat="1" ht="4.5" customHeight="1">
      <c r="O800" s="1856"/>
      <c r="P800" s="1856"/>
      <c r="Q800" s="1856"/>
      <c r="R800" s="1856"/>
      <c r="S800" s="1856"/>
      <c r="T800" s="1856"/>
      <c r="U800" s="1856"/>
      <c r="V800" s="1856"/>
      <c r="W800" s="1856"/>
      <c r="X800" s="1856"/>
      <c r="Y800" s="1856"/>
    </row>
    <row r="801" spans="1:25" s="1852" customFormat="1" ht="13.5" customHeight="1">
      <c r="F801" s="1852" t="s">
        <v>580</v>
      </c>
      <c r="I801" s="1852" t="s">
        <v>192</v>
      </c>
      <c r="O801" s="1856"/>
      <c r="P801" s="1856"/>
      <c r="Q801" s="1856"/>
      <c r="R801" s="1856"/>
      <c r="S801" s="1856"/>
      <c r="T801" s="1856"/>
      <c r="U801" s="1856"/>
    </row>
    <row r="802" spans="1:25" s="1852" customFormat="1" ht="13.5" customHeight="1">
      <c r="B802" s="1852" t="s">
        <v>765</v>
      </c>
      <c r="D802" s="1852" t="s">
        <v>1533</v>
      </c>
      <c r="F802" s="2051" t="s">
        <v>612</v>
      </c>
      <c r="G802" s="2051" t="s">
        <v>1765</v>
      </c>
      <c r="I802" s="2051" t="s">
        <v>539</v>
      </c>
      <c r="J802" s="2051">
        <v>1</v>
      </c>
      <c r="K802" s="2051">
        <v>2</v>
      </c>
      <c r="L802" s="2051">
        <v>3</v>
      </c>
      <c r="M802" s="2051">
        <v>4</v>
      </c>
      <c r="O802" s="1856"/>
      <c r="P802" s="1856"/>
      <c r="Q802" s="1856"/>
      <c r="R802" s="1856"/>
      <c r="S802" s="1856"/>
      <c r="T802" s="1856"/>
      <c r="U802" s="1856"/>
    </row>
    <row r="803" spans="1:25" s="1852" customFormat="1" ht="12" customHeight="1">
      <c r="B803" s="1818" t="s">
        <v>1767</v>
      </c>
      <c r="C803" s="1818"/>
      <c r="D803" s="1976" t="str">
        <f>'Part V-Utility Allowances'!D12</f>
        <v>Electric Heat Pump</v>
      </c>
      <c r="E803" s="1976"/>
      <c r="F803" s="2109" t="str">
        <f>'Part V-Utility Allowances'!F12</f>
        <v>X</v>
      </c>
      <c r="G803" s="2109">
        <f>'Part V-Utility Allowances'!G12</f>
        <v>0</v>
      </c>
      <c r="I803" s="2110">
        <f>'Part V-Utility Allowances'!I12</f>
        <v>0</v>
      </c>
      <c r="J803" s="2110">
        <f>'Part V-Utility Allowances'!J12</f>
        <v>4</v>
      </c>
      <c r="K803" s="2110">
        <f>'Part V-Utility Allowances'!K12</f>
        <v>5</v>
      </c>
      <c r="L803" s="2110">
        <f>'Part V-Utility Allowances'!L12</f>
        <v>6</v>
      </c>
      <c r="M803" s="2110">
        <f>'Part V-Utility Allowances'!M12</f>
        <v>0</v>
      </c>
      <c r="O803" s="1856"/>
      <c r="P803" s="1856"/>
      <c r="Q803" s="1856"/>
      <c r="R803" s="1856"/>
      <c r="S803" s="1856"/>
      <c r="T803" s="1856"/>
      <c r="U803" s="1856"/>
    </row>
    <row r="804" spans="1:25" s="1852" customFormat="1" ht="12" customHeight="1">
      <c r="B804" s="1818" t="s">
        <v>1531</v>
      </c>
      <c r="C804" s="1818"/>
      <c r="D804" s="1976" t="str">
        <f>'Part V-Utility Allowances'!D13</f>
        <v>Electric</v>
      </c>
      <c r="E804" s="1976"/>
      <c r="F804" s="2109" t="str">
        <f>'Part V-Utility Allowances'!F13</f>
        <v>X</v>
      </c>
      <c r="G804" s="2109">
        <f>'Part V-Utility Allowances'!G13</f>
        <v>0</v>
      </c>
      <c r="I804" s="2110">
        <f>'Part V-Utility Allowances'!I13</f>
        <v>0</v>
      </c>
      <c r="J804" s="2110">
        <f>'Part V-Utility Allowances'!J13</f>
        <v>7</v>
      </c>
      <c r="K804" s="2110">
        <f>'Part V-Utility Allowances'!K13</f>
        <v>9</v>
      </c>
      <c r="L804" s="2110">
        <f>'Part V-Utility Allowances'!L13</f>
        <v>11</v>
      </c>
      <c r="M804" s="2110">
        <f>'Part V-Utility Allowances'!M13</f>
        <v>0</v>
      </c>
      <c r="O804" s="1818" t="s">
        <v>7060</v>
      </c>
      <c r="P804" s="1818"/>
      <c r="Q804" s="1818"/>
    </row>
    <row r="805" spans="1:25" s="1852" customFormat="1" ht="12" customHeight="1">
      <c r="B805" s="1818" t="s">
        <v>1532</v>
      </c>
      <c r="C805" s="1818"/>
      <c r="D805" s="1976" t="str">
        <f>'Part V-Utility Allowances'!D14</f>
        <v>Electric</v>
      </c>
      <c r="E805" s="1976"/>
      <c r="F805" s="2109" t="str">
        <f>'Part V-Utility Allowances'!F14</f>
        <v>X</v>
      </c>
      <c r="G805" s="2109">
        <f>'Part V-Utility Allowances'!G14</f>
        <v>0</v>
      </c>
      <c r="I805" s="2110">
        <f>'Part V-Utility Allowances'!I14</f>
        <v>0</v>
      </c>
      <c r="J805" s="2110">
        <f>'Part V-Utility Allowances'!J14</f>
        <v>13</v>
      </c>
      <c r="K805" s="2110">
        <f>'Part V-Utility Allowances'!K14</f>
        <v>18</v>
      </c>
      <c r="L805" s="2110">
        <f>'Part V-Utility Allowances'!L14</f>
        <v>23</v>
      </c>
      <c r="M805" s="2110">
        <f>'Part V-Utility Allowances'!M14</f>
        <v>0</v>
      </c>
      <c r="O805" s="1818"/>
      <c r="P805" s="1818"/>
      <c r="Q805" s="1818"/>
    </row>
    <row r="806" spans="1:25" s="1852" customFormat="1" ht="12" customHeight="1">
      <c r="B806" s="1818" t="s">
        <v>447</v>
      </c>
      <c r="C806" s="1818"/>
      <c r="D806" s="1818" t="s">
        <v>1530</v>
      </c>
      <c r="F806" s="2109" t="str">
        <f>'Part V-Utility Allowances'!F15</f>
        <v>X</v>
      </c>
      <c r="G806" s="2109">
        <f>'Part V-Utility Allowances'!G15</f>
        <v>0</v>
      </c>
      <c r="I806" s="2110">
        <f>'Part V-Utility Allowances'!I15</f>
        <v>0</v>
      </c>
      <c r="J806" s="2110">
        <f>'Part V-Utility Allowances'!J15</f>
        <v>10</v>
      </c>
      <c r="K806" s="2110">
        <f>'Part V-Utility Allowances'!K15</f>
        <v>12</v>
      </c>
      <c r="L806" s="2110">
        <f>'Part V-Utility Allowances'!L15</f>
        <v>16</v>
      </c>
      <c r="M806" s="2110">
        <f>'Part V-Utility Allowances'!M15</f>
        <v>0</v>
      </c>
      <c r="O806" s="1818"/>
      <c r="P806" s="1818"/>
      <c r="Q806" s="1818"/>
    </row>
    <row r="807" spans="1:25" s="1852" customFormat="1" ht="12" customHeight="1">
      <c r="B807" s="1818" t="s">
        <v>3406</v>
      </c>
      <c r="C807" s="1818"/>
      <c r="D807" s="1818" t="s">
        <v>1530</v>
      </c>
      <c r="F807" s="2109">
        <f>'Part V-Utility Allowances'!F16</f>
        <v>0</v>
      </c>
      <c r="G807" s="2109" t="str">
        <f>'Part V-Utility Allowances'!G16</f>
        <v>X</v>
      </c>
      <c r="I807" s="2110">
        <f>'Part V-Utility Allowances'!I16</f>
        <v>0</v>
      </c>
      <c r="J807" s="2110">
        <f>'Part V-Utility Allowances'!J16</f>
        <v>0</v>
      </c>
      <c r="K807" s="2110">
        <f>'Part V-Utility Allowances'!K16</f>
        <v>0</v>
      </c>
      <c r="L807" s="2110">
        <f>'Part V-Utility Allowances'!L16</f>
        <v>0</v>
      </c>
      <c r="M807" s="2110">
        <f>'Part V-Utility Allowances'!M16</f>
        <v>0</v>
      </c>
      <c r="O807" s="1818"/>
      <c r="P807" s="1818"/>
      <c r="Q807" s="1818"/>
    </row>
    <row r="808" spans="1:25" s="1852" customFormat="1" ht="12" customHeight="1">
      <c r="B808" s="1818" t="s">
        <v>3407</v>
      </c>
      <c r="C808" s="1818"/>
      <c r="D808" s="1818" t="s">
        <v>1530</v>
      </c>
      <c r="F808" s="2109">
        <f>'Part V-Utility Allowances'!F17</f>
        <v>0</v>
      </c>
      <c r="G808" s="2109" t="str">
        <f>'Part V-Utility Allowances'!G17</f>
        <v>X</v>
      </c>
      <c r="I808" s="2110">
        <f>'Part V-Utility Allowances'!I17</f>
        <v>0</v>
      </c>
      <c r="J808" s="2110">
        <f>'Part V-Utility Allowances'!J17</f>
        <v>0</v>
      </c>
      <c r="K808" s="2110">
        <f>'Part V-Utility Allowances'!K17</f>
        <v>0</v>
      </c>
      <c r="L808" s="2110">
        <f>'Part V-Utility Allowances'!L17</f>
        <v>0</v>
      </c>
      <c r="M808" s="2110">
        <f>'Part V-Utility Allowances'!M17</f>
        <v>0</v>
      </c>
      <c r="O808" s="1818"/>
      <c r="P808" s="1818"/>
      <c r="Q808" s="1818"/>
    </row>
    <row r="809" spans="1:25" s="1852" customFormat="1" ht="12" customHeight="1">
      <c r="B809" s="1818" t="s">
        <v>3408</v>
      </c>
      <c r="C809" s="1818"/>
      <c r="D809" s="1818" t="s">
        <v>1530</v>
      </c>
      <c r="F809" s="2109" t="str">
        <f>'Part V-Utility Allowances'!F18</f>
        <v>X</v>
      </c>
      <c r="G809" s="2109">
        <f>'Part V-Utility Allowances'!G18</f>
        <v>0</v>
      </c>
      <c r="I809" s="2110">
        <f>'Part V-Utility Allowances'!I18</f>
        <v>0</v>
      </c>
      <c r="J809" s="2110">
        <f>'Part V-Utility Allowances'!J18</f>
        <v>21</v>
      </c>
      <c r="K809" s="2110">
        <f>'Part V-Utility Allowances'!K18</f>
        <v>27</v>
      </c>
      <c r="L809" s="2110">
        <f>'Part V-Utility Allowances'!L18</f>
        <v>33</v>
      </c>
      <c r="M809" s="2110">
        <f>'Part V-Utility Allowances'!M18</f>
        <v>0</v>
      </c>
      <c r="O809" s="1818"/>
      <c r="P809" s="1818"/>
      <c r="Q809" s="1818"/>
    </row>
    <row r="810" spans="1:25" s="1852" customFormat="1" ht="12" customHeight="1">
      <c r="B810" s="1818" t="s">
        <v>1321</v>
      </c>
      <c r="C810" s="1818"/>
      <c r="D810" s="1818" t="s">
        <v>6846</v>
      </c>
      <c r="E810" s="2110" t="str">
        <f>'Part V-Utility Allowances'!E19</f>
        <v>Yes</v>
      </c>
      <c r="F810" s="2109" t="str">
        <f>'Part V-Utility Allowances'!F19</f>
        <v>X</v>
      </c>
      <c r="G810" s="2109">
        <f>'Part V-Utility Allowances'!G19</f>
        <v>0</v>
      </c>
      <c r="I810" s="2110">
        <f>'Part V-Utility Allowances'!I19</f>
        <v>0</v>
      </c>
      <c r="J810" s="2110">
        <f>'Part V-Utility Allowances'!J19</f>
        <v>39</v>
      </c>
      <c r="K810" s="2110">
        <f>'Part V-Utility Allowances'!K19</f>
        <v>50</v>
      </c>
      <c r="L810" s="2110">
        <f>'Part V-Utility Allowances'!L19</f>
        <v>60</v>
      </c>
      <c r="M810" s="2110">
        <f>'Part V-Utility Allowances'!M19</f>
        <v>0</v>
      </c>
      <c r="O810" s="1818"/>
      <c r="P810" s="1818"/>
      <c r="Q810" s="1818"/>
    </row>
    <row r="811" spans="1:25" s="1852" customFormat="1" ht="12" customHeight="1">
      <c r="B811" s="1818" t="s">
        <v>1766</v>
      </c>
      <c r="C811" s="1818"/>
      <c r="F811" s="2109">
        <f>'Part V-Utility Allowances'!F20</f>
        <v>0</v>
      </c>
      <c r="G811" s="2109" t="str">
        <f>'Part V-Utility Allowances'!G20</f>
        <v>X</v>
      </c>
      <c r="I811" s="2110">
        <f>'Part V-Utility Allowances'!I20</f>
        <v>0</v>
      </c>
      <c r="J811" s="2110">
        <f>'Part V-Utility Allowances'!J20</f>
        <v>0</v>
      </c>
      <c r="K811" s="2110">
        <f>'Part V-Utility Allowances'!K20</f>
        <v>0</v>
      </c>
      <c r="L811" s="2110">
        <f>'Part V-Utility Allowances'!L20</f>
        <v>0</v>
      </c>
      <c r="M811" s="2110">
        <f>'Part V-Utility Allowances'!M20</f>
        <v>0</v>
      </c>
      <c r="O811" s="1818"/>
      <c r="P811" s="1818"/>
      <c r="Q811" s="1818"/>
    </row>
    <row r="812" spans="1:25" s="1852" customFormat="1" ht="12" customHeight="1">
      <c r="B812" s="1818" t="s">
        <v>711</v>
      </c>
      <c r="C812" s="2111">
        <f>'Part V-Utility Allowances'!C21</f>
        <v>0</v>
      </c>
      <c r="D812" s="2111"/>
      <c r="E812" s="2111"/>
      <c r="F812" s="2109">
        <f>'Part V-Utility Allowances'!F21</f>
        <v>0</v>
      </c>
      <c r="G812" s="2109">
        <f>'Part V-Utility Allowances'!G21</f>
        <v>0</v>
      </c>
      <c r="I812" s="2110">
        <f>'Part V-Utility Allowances'!I21</f>
        <v>0</v>
      </c>
      <c r="J812" s="2110">
        <f>'Part V-Utility Allowances'!J21</f>
        <v>0</v>
      </c>
      <c r="K812" s="2110">
        <f>'Part V-Utility Allowances'!K21</f>
        <v>0</v>
      </c>
      <c r="L812" s="2110">
        <f>'Part V-Utility Allowances'!L21</f>
        <v>0</v>
      </c>
      <c r="M812" s="2110">
        <f>'Part V-Utility Allowances'!M21</f>
        <v>0</v>
      </c>
      <c r="O812" s="1818"/>
      <c r="P812" s="1818"/>
      <c r="Q812" s="1818"/>
    </row>
    <row r="813" spans="1:25" s="1852" customFormat="1">
      <c r="B813" s="1852" t="s">
        <v>981</v>
      </c>
      <c r="F813" s="2051"/>
      <c r="G813" s="2051"/>
      <c r="I813" s="2108">
        <f>IF(SUM(I803:I812)=0,0,IF(OR($D803="&lt;&lt;Select Fuel &gt;&gt;",$D804="&lt;&lt;Select Fuel &gt;&gt;",$D805="&lt;&lt;Select Fuel &gt;&gt;"),"Select Fuel",IF($E810="&lt;Select&gt;","Submeter?",SUM(I803:I812))))</f>
        <v>0</v>
      </c>
      <c r="J813" s="2108">
        <f>IF(SUM(J803:J812)=0,0,IF(OR($D803="&lt;&lt;Select Fuel &gt;&gt;",$D804="&lt;&lt;Select Fuel &gt;&gt;",$D805="&lt;&lt;Select Fuel &gt;&gt;"),"Select Fuel",IF($E810="&lt;Select&gt;","Submeter?",SUM(J803:J812))))</f>
        <v>94</v>
      </c>
      <c r="K813" s="2108">
        <f>IF(SUM(K803:K812)=0,0,IF(OR($D803="&lt;&lt;Select Fuel &gt;&gt;",$D804="&lt;&lt;Select Fuel &gt;&gt;",$D805="&lt;&lt;Select Fuel &gt;&gt;"),"Select Fuel",IF($E810="&lt;Select&gt;","Submeter?",SUM(K803:K812))))</f>
        <v>121</v>
      </c>
      <c r="L813" s="2108">
        <f>IF(SUM(L803:L812)=0,0,IF(OR($D803="&lt;&lt;Select Fuel &gt;&gt;",$D804="&lt;&lt;Select Fuel &gt;&gt;",$D805="&lt;&lt;Select Fuel &gt;&gt;"),"Select Fuel",IF($E810="&lt;Select&gt;","Submeter?",SUM(L803:L812))))</f>
        <v>149</v>
      </c>
      <c r="M813" s="2108">
        <f>IF(SUM(M803:M812)=0,0,IF(OR($D803="&lt;&lt;Select Fuel &gt;&gt;",$D804="&lt;&lt;Select Fuel &gt;&gt;",$D805="&lt;&lt;Select Fuel &gt;&gt;"),"Select Fuel",IF($E810="&lt;Select&gt;","Submeter?",SUM(M803:M812))))</f>
        <v>0</v>
      </c>
    </row>
    <row r="814" spans="1:25" s="1852" customFormat="1" ht="7.5" customHeight="1">
      <c r="O814" s="1856" t="s">
        <v>7129</v>
      </c>
      <c r="P814" s="1856"/>
      <c r="Q814" s="1856"/>
      <c r="R814" s="1856"/>
      <c r="S814" s="1856"/>
      <c r="T814" s="1856"/>
      <c r="U814" s="1856"/>
      <c r="V814" s="1856"/>
      <c r="W814" s="1856"/>
      <c r="X814" s="1856"/>
      <c r="Y814" s="1856"/>
    </row>
    <row r="815" spans="1:25" s="1852" customFormat="1" ht="12.75" customHeight="1">
      <c r="A815" s="1852" t="s">
        <v>710</v>
      </c>
      <c r="B815" s="1852" t="s">
        <v>2128</v>
      </c>
      <c r="F815" s="1818" t="s">
        <v>2402</v>
      </c>
      <c r="G815" s="1818"/>
      <c r="H815" s="1818"/>
      <c r="I815" s="1976">
        <f>'Part V-Utility Allowances'!I24</f>
        <v>0</v>
      </c>
      <c r="J815" s="1976"/>
      <c r="K815" s="1976"/>
      <c r="L815" s="1976"/>
      <c r="M815" s="1976"/>
      <c r="O815" s="1856"/>
      <c r="P815" s="1856"/>
      <c r="Q815" s="1856"/>
      <c r="R815" s="1856"/>
      <c r="S815" s="1856"/>
      <c r="T815" s="1856"/>
      <c r="U815" s="1856"/>
      <c r="V815" s="1856"/>
      <c r="W815" s="1856"/>
      <c r="X815" s="1856"/>
      <c r="Y815" s="1856"/>
    </row>
    <row r="816" spans="1:25" s="1852" customFormat="1" ht="13.35" customHeight="1">
      <c r="F816" s="1818" t="s">
        <v>606</v>
      </c>
      <c r="G816" s="1818"/>
      <c r="H816" s="1818"/>
      <c r="I816" s="2107">
        <f>'Part V-Utility Allowances'!I25</f>
        <v>0</v>
      </c>
      <c r="J816" s="2107"/>
      <c r="K816" s="2108" t="s">
        <v>514</v>
      </c>
      <c r="L816" s="1976">
        <f>'Part V-Utility Allowances'!L25</f>
        <v>0</v>
      </c>
      <c r="M816" s="1976"/>
      <c r="O816" s="1856"/>
      <c r="P816" s="1856"/>
      <c r="Q816" s="1856"/>
      <c r="R816" s="1856"/>
      <c r="S816" s="1856"/>
      <c r="T816" s="1856"/>
      <c r="U816" s="1856"/>
      <c r="V816" s="1856"/>
      <c r="W816" s="1856"/>
      <c r="X816" s="1856"/>
      <c r="Y816" s="1856"/>
    </row>
    <row r="817" spans="2:25" s="1852" customFormat="1" ht="4.5" customHeight="1">
      <c r="O817" s="1856"/>
      <c r="P817" s="1856"/>
      <c r="Q817" s="1856"/>
      <c r="R817" s="1856"/>
      <c r="S817" s="1856"/>
      <c r="T817" s="1856"/>
      <c r="U817" s="1856"/>
      <c r="V817" s="1856"/>
      <c r="W817" s="1856"/>
      <c r="X817" s="1856"/>
      <c r="Y817" s="1856"/>
    </row>
    <row r="818" spans="2:25" s="1852" customFormat="1">
      <c r="F818" s="1852" t="s">
        <v>580</v>
      </c>
      <c r="I818" s="1852" t="s">
        <v>192</v>
      </c>
      <c r="O818" s="1856"/>
      <c r="P818" s="1856"/>
      <c r="Q818" s="1856"/>
      <c r="R818" s="1856"/>
      <c r="S818" s="1856"/>
      <c r="T818" s="1856"/>
      <c r="U818" s="1856"/>
      <c r="V818" s="1856"/>
      <c r="W818" s="1856"/>
      <c r="X818" s="1856"/>
      <c r="Y818" s="1856"/>
    </row>
    <row r="819" spans="2:25" s="1852" customFormat="1">
      <c r="B819" s="1852" t="s">
        <v>765</v>
      </c>
      <c r="D819" s="1852" t="s">
        <v>1533</v>
      </c>
      <c r="F819" s="2051" t="s">
        <v>612</v>
      </c>
      <c r="G819" s="2051" t="s">
        <v>1765</v>
      </c>
      <c r="I819" s="2051" t="s">
        <v>539</v>
      </c>
      <c r="J819" s="2051">
        <v>1</v>
      </c>
      <c r="K819" s="2051">
        <v>2</v>
      </c>
      <c r="L819" s="2051">
        <v>3</v>
      </c>
      <c r="M819" s="2051">
        <v>4</v>
      </c>
      <c r="O819" s="1856"/>
      <c r="P819" s="1856"/>
      <c r="Q819" s="1856"/>
      <c r="R819" s="1856"/>
      <c r="S819" s="1856"/>
      <c r="T819" s="1856"/>
      <c r="U819" s="1856"/>
    </row>
    <row r="820" spans="2:25" s="1852" customFormat="1" ht="12" customHeight="1">
      <c r="B820" s="1818" t="s">
        <v>1767</v>
      </c>
      <c r="C820" s="1818"/>
      <c r="D820" s="1976" t="str">
        <f>'Part V-Utility Allowances'!D29</f>
        <v>&lt;&lt;Select Fuel &gt;&gt;</v>
      </c>
      <c r="E820" s="1976"/>
      <c r="F820" s="2109">
        <f>'Part V-Utility Allowances'!F29</f>
        <v>0</v>
      </c>
      <c r="G820" s="2109">
        <f>'Part V-Utility Allowances'!G29</f>
        <v>0</v>
      </c>
      <c r="I820" s="2110">
        <f>'Part V-Utility Allowances'!I29</f>
        <v>0</v>
      </c>
      <c r="J820" s="2110">
        <f>'Part V-Utility Allowances'!J29</f>
        <v>0</v>
      </c>
      <c r="K820" s="2110">
        <f>'Part V-Utility Allowances'!K29</f>
        <v>0</v>
      </c>
      <c r="L820" s="2110">
        <f>'Part V-Utility Allowances'!L29</f>
        <v>0</v>
      </c>
      <c r="M820" s="2110">
        <f>'Part V-Utility Allowances'!M29</f>
        <v>0</v>
      </c>
      <c r="O820" s="1856"/>
      <c r="P820" s="1856"/>
      <c r="Q820" s="1856"/>
      <c r="R820" s="1856"/>
      <c r="S820" s="1856"/>
      <c r="T820" s="1856"/>
      <c r="U820" s="1856"/>
    </row>
    <row r="821" spans="2:25" s="1852" customFormat="1" ht="12" customHeight="1">
      <c r="B821" s="1818" t="s">
        <v>1531</v>
      </c>
      <c r="C821" s="1818"/>
      <c r="D821" s="1976" t="str">
        <f>'Part V-Utility Allowances'!D30</f>
        <v>&lt;&lt;Select Fuel &gt;&gt;</v>
      </c>
      <c r="E821" s="1976"/>
      <c r="F821" s="2109">
        <f>'Part V-Utility Allowances'!F30</f>
        <v>0</v>
      </c>
      <c r="G821" s="2109">
        <f>'Part V-Utility Allowances'!G30</f>
        <v>0</v>
      </c>
      <c r="I821" s="2110">
        <f>'Part V-Utility Allowances'!I30</f>
        <v>0</v>
      </c>
      <c r="J821" s="2110">
        <f>'Part V-Utility Allowances'!J30</f>
        <v>0</v>
      </c>
      <c r="K821" s="2110">
        <f>'Part V-Utility Allowances'!K30</f>
        <v>0</v>
      </c>
      <c r="L821" s="2110">
        <f>'Part V-Utility Allowances'!L30</f>
        <v>0</v>
      </c>
      <c r="M821" s="2110">
        <f>'Part V-Utility Allowances'!M30</f>
        <v>0</v>
      </c>
      <c r="O821" s="1856"/>
      <c r="P821" s="1856"/>
      <c r="Q821" s="1856"/>
      <c r="R821" s="1856"/>
      <c r="S821" s="1856"/>
      <c r="T821" s="1856"/>
      <c r="U821" s="1856"/>
    </row>
    <row r="822" spans="2:25" s="1852" customFormat="1" ht="12" customHeight="1">
      <c r="B822" s="1818" t="s">
        <v>1532</v>
      </c>
      <c r="C822" s="1818"/>
      <c r="D822" s="1976" t="str">
        <f>'Part V-Utility Allowances'!D31</f>
        <v>&lt;&lt;Select Fuel &gt;&gt;</v>
      </c>
      <c r="E822" s="1976"/>
      <c r="F822" s="2109">
        <f>'Part V-Utility Allowances'!F31</f>
        <v>0</v>
      </c>
      <c r="G822" s="2109">
        <f>'Part V-Utility Allowances'!G31</f>
        <v>0</v>
      </c>
      <c r="I822" s="2110">
        <f>'Part V-Utility Allowances'!I31</f>
        <v>0</v>
      </c>
      <c r="J822" s="2110">
        <f>'Part V-Utility Allowances'!J31</f>
        <v>0</v>
      </c>
      <c r="K822" s="2110">
        <f>'Part V-Utility Allowances'!K31</f>
        <v>0</v>
      </c>
      <c r="L822" s="2110">
        <f>'Part V-Utility Allowances'!L31</f>
        <v>0</v>
      </c>
      <c r="M822" s="2110">
        <f>'Part V-Utility Allowances'!M31</f>
        <v>0</v>
      </c>
      <c r="O822" s="1818" t="s">
        <v>7060</v>
      </c>
      <c r="P822" s="1818"/>
      <c r="Q822" s="1818"/>
    </row>
    <row r="823" spans="2:25" s="1852" customFormat="1" ht="12" customHeight="1">
      <c r="B823" s="1818" t="s">
        <v>447</v>
      </c>
      <c r="C823" s="1818"/>
      <c r="D823" s="1818" t="s">
        <v>1530</v>
      </c>
      <c r="F823" s="2109">
        <f>'Part V-Utility Allowances'!F32</f>
        <v>0</v>
      </c>
      <c r="G823" s="2109">
        <f>'Part V-Utility Allowances'!G32</f>
        <v>0</v>
      </c>
      <c r="I823" s="2110">
        <f>'Part V-Utility Allowances'!I32</f>
        <v>0</v>
      </c>
      <c r="J823" s="2110">
        <f>'Part V-Utility Allowances'!J32</f>
        <v>0</v>
      </c>
      <c r="K823" s="2110">
        <f>'Part V-Utility Allowances'!K32</f>
        <v>0</v>
      </c>
      <c r="L823" s="2110">
        <f>'Part V-Utility Allowances'!L32</f>
        <v>0</v>
      </c>
      <c r="M823" s="2110">
        <f>'Part V-Utility Allowances'!M32</f>
        <v>0</v>
      </c>
      <c r="O823" s="1818"/>
      <c r="P823" s="1818"/>
      <c r="Q823" s="1818"/>
    </row>
    <row r="824" spans="2:25" s="1852" customFormat="1" ht="12" customHeight="1">
      <c r="B824" s="1818" t="s">
        <v>3406</v>
      </c>
      <c r="C824" s="1818"/>
      <c r="D824" s="1818" t="s">
        <v>1530</v>
      </c>
      <c r="F824" s="2109">
        <f>'Part V-Utility Allowances'!F33</f>
        <v>0</v>
      </c>
      <c r="G824" s="2109">
        <f>'Part V-Utility Allowances'!G33</f>
        <v>0</v>
      </c>
      <c r="I824" s="2110">
        <f>'Part V-Utility Allowances'!I33</f>
        <v>0</v>
      </c>
      <c r="J824" s="2110">
        <f>'Part V-Utility Allowances'!J33</f>
        <v>0</v>
      </c>
      <c r="K824" s="2110">
        <f>'Part V-Utility Allowances'!K33</f>
        <v>0</v>
      </c>
      <c r="L824" s="2110">
        <f>'Part V-Utility Allowances'!L33</f>
        <v>0</v>
      </c>
      <c r="M824" s="2110">
        <f>'Part V-Utility Allowances'!M33</f>
        <v>0</v>
      </c>
      <c r="O824" s="1818"/>
      <c r="P824" s="1818"/>
      <c r="Q824" s="1818"/>
    </row>
    <row r="825" spans="2:25" s="1852" customFormat="1" ht="12" customHeight="1">
      <c r="B825" s="1818" t="s">
        <v>3407</v>
      </c>
      <c r="C825" s="1818"/>
      <c r="D825" s="1818" t="s">
        <v>1530</v>
      </c>
      <c r="F825" s="2109">
        <f>'Part V-Utility Allowances'!F34</f>
        <v>0</v>
      </c>
      <c r="G825" s="2109">
        <f>'Part V-Utility Allowances'!G34</f>
        <v>0</v>
      </c>
      <c r="I825" s="2110">
        <f>'Part V-Utility Allowances'!I34</f>
        <v>0</v>
      </c>
      <c r="J825" s="2110">
        <f>'Part V-Utility Allowances'!J34</f>
        <v>0</v>
      </c>
      <c r="K825" s="2110">
        <f>'Part V-Utility Allowances'!K34</f>
        <v>0</v>
      </c>
      <c r="L825" s="2110">
        <f>'Part V-Utility Allowances'!L34</f>
        <v>0</v>
      </c>
      <c r="M825" s="2110">
        <f>'Part V-Utility Allowances'!M34</f>
        <v>0</v>
      </c>
      <c r="O825" s="1818"/>
      <c r="P825" s="1818"/>
      <c r="Q825" s="1818"/>
    </row>
    <row r="826" spans="2:25" s="1852" customFormat="1" ht="12" customHeight="1">
      <c r="B826" s="1818" t="s">
        <v>3408</v>
      </c>
      <c r="C826" s="1818"/>
      <c r="D826" s="1818" t="s">
        <v>1530</v>
      </c>
      <c r="F826" s="2109">
        <f>'Part V-Utility Allowances'!F35</f>
        <v>0</v>
      </c>
      <c r="G826" s="2109">
        <f>'Part V-Utility Allowances'!G35</f>
        <v>0</v>
      </c>
      <c r="I826" s="2110">
        <f>'Part V-Utility Allowances'!I35</f>
        <v>0</v>
      </c>
      <c r="J826" s="2110">
        <f>'Part V-Utility Allowances'!J35</f>
        <v>0</v>
      </c>
      <c r="K826" s="2110">
        <f>'Part V-Utility Allowances'!K35</f>
        <v>0</v>
      </c>
      <c r="L826" s="2110">
        <f>'Part V-Utility Allowances'!L35</f>
        <v>0</v>
      </c>
      <c r="M826" s="2110">
        <f>'Part V-Utility Allowances'!M35</f>
        <v>0</v>
      </c>
      <c r="O826" s="1818"/>
      <c r="P826" s="1818"/>
      <c r="Q826" s="1818"/>
    </row>
    <row r="827" spans="2:25" s="1852" customFormat="1" ht="12" customHeight="1">
      <c r="B827" s="1818" t="s">
        <v>1321</v>
      </c>
      <c r="C827" s="1818"/>
      <c r="D827" s="1818" t="s">
        <v>6846</v>
      </c>
      <c r="E827" s="2110" t="str">
        <f>'Part V-Utility Allowances'!E36</f>
        <v>&lt;Select&gt;</v>
      </c>
      <c r="F827" s="2109">
        <f>'Part V-Utility Allowances'!F36</f>
        <v>0</v>
      </c>
      <c r="G827" s="2109">
        <f>'Part V-Utility Allowances'!G36</f>
        <v>0</v>
      </c>
      <c r="I827" s="2110">
        <f>'Part V-Utility Allowances'!I36</f>
        <v>0</v>
      </c>
      <c r="J827" s="2110">
        <f>'Part V-Utility Allowances'!J36</f>
        <v>0</v>
      </c>
      <c r="K827" s="2110">
        <f>'Part V-Utility Allowances'!K36</f>
        <v>0</v>
      </c>
      <c r="L827" s="2110">
        <f>'Part V-Utility Allowances'!L36</f>
        <v>0</v>
      </c>
      <c r="M827" s="2110">
        <f>'Part V-Utility Allowances'!M36</f>
        <v>0</v>
      </c>
      <c r="O827" s="1818"/>
      <c r="P827" s="1818"/>
      <c r="Q827" s="1818"/>
    </row>
    <row r="828" spans="2:25" s="1852" customFormat="1" ht="12" customHeight="1">
      <c r="B828" s="1818" t="s">
        <v>1766</v>
      </c>
      <c r="C828" s="1818"/>
      <c r="F828" s="2109">
        <f>'Part V-Utility Allowances'!F37</f>
        <v>0</v>
      </c>
      <c r="G828" s="2109">
        <f>'Part V-Utility Allowances'!G37</f>
        <v>0</v>
      </c>
      <c r="I828" s="2110">
        <f>'Part V-Utility Allowances'!I37</f>
        <v>0</v>
      </c>
      <c r="J828" s="2110">
        <f>'Part V-Utility Allowances'!J37</f>
        <v>0</v>
      </c>
      <c r="K828" s="2110">
        <f>'Part V-Utility Allowances'!K37</f>
        <v>0</v>
      </c>
      <c r="L828" s="2110">
        <f>'Part V-Utility Allowances'!L37</f>
        <v>0</v>
      </c>
      <c r="M828" s="2110">
        <f>'Part V-Utility Allowances'!M37</f>
        <v>0</v>
      </c>
      <c r="O828" s="1818"/>
      <c r="P828" s="1818"/>
      <c r="Q828" s="1818"/>
    </row>
    <row r="829" spans="2:25" s="1852" customFormat="1" ht="12" customHeight="1">
      <c r="B829" s="1818" t="s">
        <v>711</v>
      </c>
      <c r="C829" s="2111">
        <f>'Part V-Utility Allowances'!C38</f>
        <v>0</v>
      </c>
      <c r="D829" s="2111"/>
      <c r="E829" s="2111"/>
      <c r="F829" s="2109">
        <f>'Part V-Utility Allowances'!F38</f>
        <v>0</v>
      </c>
      <c r="G829" s="2109">
        <f>'Part V-Utility Allowances'!G38</f>
        <v>0</v>
      </c>
      <c r="I829" s="2110">
        <f>'Part V-Utility Allowances'!I38</f>
        <v>0</v>
      </c>
      <c r="J829" s="2110">
        <f>'Part V-Utility Allowances'!J38</f>
        <v>0</v>
      </c>
      <c r="K829" s="2110">
        <f>'Part V-Utility Allowances'!K38</f>
        <v>0</v>
      </c>
      <c r="L829" s="2110">
        <f>'Part V-Utility Allowances'!L38</f>
        <v>0</v>
      </c>
      <c r="M829" s="2110">
        <f>'Part V-Utility Allowances'!M38</f>
        <v>0</v>
      </c>
      <c r="O829" s="1818"/>
      <c r="P829" s="1818"/>
      <c r="Q829" s="1818"/>
    </row>
    <row r="830" spans="2:25" s="1852" customFormat="1">
      <c r="B830" s="1852" t="s">
        <v>981</v>
      </c>
      <c r="F830" s="2051"/>
      <c r="G830" s="2051"/>
      <c r="I830" s="2108">
        <f>IF(SUM(I820:I829)=0,0,IF(OR($D820="&lt;&lt;Select Fuel &gt;&gt;",$D822="&lt;&lt;Select Fuel &gt;&gt;",$D823="&lt;&lt;Select Fuel &gt;&gt;"),"Select Fuel",IF($E827="&lt;Select&gt;","Submeter?",SUM(I820:I829))))</f>
        <v>0</v>
      </c>
      <c r="J830" s="2108">
        <f>IF(SUM(J820:J829)=0,0,IF(OR($D820="&lt;&lt;Select Fuel &gt;&gt;",$D822="&lt;&lt;Select Fuel &gt;&gt;",$D823="&lt;&lt;Select Fuel &gt;&gt;"),"Select Fuel",IF($E827="&lt;Select&gt;","Submeter?",SUM(J820:J829))))</f>
        <v>0</v>
      </c>
      <c r="K830" s="2108">
        <f>IF(SUM(K820:K829)=0,0,IF(OR($D820="&lt;&lt;Select Fuel &gt;&gt;",$D822="&lt;&lt;Select Fuel &gt;&gt;",$D823="&lt;&lt;Select Fuel &gt;&gt;"),"Select Fuel",IF($E827="&lt;Select&gt;","Submeter?",SUM(K820:K829))))</f>
        <v>0</v>
      </c>
      <c r="L830" s="2108">
        <f>IF(SUM(L820:L829)=0,0,IF(OR($D820="&lt;&lt;Select Fuel &gt;&gt;",$D822="&lt;&lt;Select Fuel &gt;&gt;",$D823="&lt;&lt;Select Fuel &gt;&gt;"),"Select Fuel",IF($E827="&lt;Select&gt;","Submeter?",SUM(L820:L829))))</f>
        <v>0</v>
      </c>
      <c r="M830" s="2108">
        <f>IF(SUM(M820:M829)=0,0,IF(OR($D820="&lt;&lt;Select Fuel &gt;&gt;",$D822="&lt;&lt;Select Fuel &gt;&gt;",$D823="&lt;&lt;Select Fuel &gt;&gt;"),"Select Fuel",IF($E827="&lt;Select&gt;","Submeter?",SUM(M820:M829))))</f>
        <v>0</v>
      </c>
      <c r="O830" s="1818"/>
      <c r="P830" s="1818"/>
      <c r="Q830" s="1818"/>
    </row>
    <row r="831" spans="2:25" s="1852" customFormat="1" ht="6" customHeight="1"/>
    <row r="832" spans="2:25" s="1852" customFormat="1">
      <c r="B832" s="2112" t="s">
        <v>6847</v>
      </c>
      <c r="F832" s="2051"/>
      <c r="G832" s="2051"/>
      <c r="I832" s="2051"/>
      <c r="J832" s="2051"/>
      <c r="K832" s="2051"/>
      <c r="L832" s="2051"/>
      <c r="M832" s="2051"/>
    </row>
    <row r="833" spans="1:380" s="1852" customFormat="1" ht="12" customHeight="1">
      <c r="B833" s="1852" t="s">
        <v>543</v>
      </c>
    </row>
    <row r="834" spans="1:380" s="1852" customFormat="1" ht="49.5" customHeight="1">
      <c r="B834" s="2005" t="str">
        <f>'Part V-Utility Allowances'!B43</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834" s="2005"/>
      <c r="D834" s="2005"/>
      <c r="E834" s="2005"/>
      <c r="F834" s="2005"/>
      <c r="G834" s="2005"/>
      <c r="H834" s="2005"/>
      <c r="I834" s="2005"/>
      <c r="J834" s="2005"/>
      <c r="K834" s="2005"/>
      <c r="L834" s="2005"/>
      <c r="M834" s="2005"/>
      <c r="O834" s="1855" t="s">
        <v>2543</v>
      </c>
      <c r="P834" s="1855"/>
      <c r="Q834" s="1855"/>
      <c r="R834" s="1855"/>
      <c r="S834" s="1855"/>
    </row>
    <row r="835" spans="1:380" s="1852" customFormat="1" ht="3" customHeight="1">
      <c r="O835" s="1855"/>
      <c r="P835" s="1855"/>
      <c r="Q835" s="1855"/>
      <c r="R835" s="1855"/>
      <c r="S835" s="1855"/>
    </row>
    <row r="836" spans="1:380" s="1852" customFormat="1" ht="12" customHeight="1">
      <c r="B836" s="1852" t="s">
        <v>1761</v>
      </c>
      <c r="O836" s="1855"/>
      <c r="P836" s="1855"/>
      <c r="Q836" s="1855"/>
      <c r="R836" s="1855"/>
      <c r="S836" s="1855"/>
    </row>
    <row r="837" spans="1:380" s="1852" customFormat="1" ht="24.75" customHeight="1">
      <c r="B837" s="2005"/>
      <c r="C837" s="2005"/>
      <c r="D837" s="2005"/>
      <c r="E837" s="2005"/>
      <c r="F837" s="2005"/>
      <c r="G837" s="2005"/>
      <c r="H837" s="2005"/>
      <c r="I837" s="2005"/>
      <c r="J837" s="2005"/>
      <c r="K837" s="2005"/>
      <c r="L837" s="2005"/>
      <c r="M837" s="2005"/>
      <c r="O837" s="1855"/>
      <c r="P837" s="1855"/>
      <c r="Q837" s="1855"/>
      <c r="R837" s="1855"/>
      <c r="S837" s="1855"/>
    </row>
    <row r="838" spans="1:380" s="1852" customFormat="1"/>
    <row r="839" spans="1:380" s="1852" customFormat="1"/>
    <row r="840" spans="1:380" s="1852" customFormat="1"/>
    <row r="841" spans="1:380" s="1852"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2021-015 The Peaks at Turnberry, ,  County</v>
      </c>
      <c r="T842" s="1818" t="str">
        <f>A842</f>
        <v>PART SIX - PROJECTED REVENUES &amp; EXPENSES  -  2021-015 The Peaks at Turnberry, ,  County</v>
      </c>
      <c r="HX842" s="2108"/>
      <c r="HY842" s="2108"/>
      <c r="HZ842" s="2108"/>
      <c r="IA842" s="2108"/>
      <c r="IB842" s="2108"/>
      <c r="IC842" s="2108"/>
      <c r="ID842" s="2108"/>
      <c r="IE842" s="2108"/>
      <c r="IF842" s="2108"/>
      <c r="IG842" s="2108"/>
      <c r="IH842" s="2108"/>
      <c r="II842" s="2108"/>
      <c r="IJ842" s="2108"/>
      <c r="IK842" s="2108"/>
      <c r="IL842" s="2108"/>
      <c r="IM842" s="2108"/>
      <c r="IN842" s="2108"/>
      <c r="IO842" s="2108"/>
      <c r="IP842" s="2108"/>
      <c r="IQ842" s="2108"/>
      <c r="IR842" s="2108"/>
      <c r="IS842" s="2108"/>
      <c r="IT842" s="2108"/>
      <c r="IU842" s="2108"/>
      <c r="IV842" s="2108"/>
      <c r="IW842" s="2108"/>
      <c r="IX842" s="2108"/>
      <c r="IY842" s="2108"/>
      <c r="IZ842" s="2108"/>
      <c r="JA842" s="2108"/>
      <c r="JB842" s="2108"/>
      <c r="JC842" s="2108"/>
      <c r="JD842" s="2108"/>
      <c r="JE842" s="2108"/>
      <c r="JF842" s="2108"/>
      <c r="JG842" s="2108"/>
      <c r="JH842" s="2108"/>
      <c r="JI842" s="2108"/>
      <c r="JJ842" s="2108"/>
      <c r="JK842" s="2108"/>
      <c r="JL842" s="2108"/>
      <c r="JM842" s="2108"/>
      <c r="JN842" s="2108"/>
      <c r="JO842" s="2108"/>
      <c r="JP842" s="2108"/>
      <c r="JQ842" s="2108"/>
      <c r="JR842" s="2108"/>
      <c r="JS842" s="2108"/>
      <c r="JT842" s="2108"/>
      <c r="JU842" s="2108"/>
      <c r="JV842" s="2108"/>
      <c r="JW842" s="2108"/>
      <c r="JX842" s="2108"/>
      <c r="JY842" s="2108"/>
      <c r="JZ842" s="2108"/>
      <c r="KA842" s="2108"/>
      <c r="KB842" s="2108"/>
      <c r="KC842" s="2108"/>
      <c r="KD842" s="2108"/>
      <c r="KE842" s="2108"/>
      <c r="KF842" s="2108"/>
      <c r="KG842" s="2108"/>
      <c r="KH842" s="2108"/>
      <c r="KI842" s="2108"/>
      <c r="KJ842" s="2108"/>
      <c r="KK842" s="2108"/>
      <c r="KL842" s="2108"/>
      <c r="NP842" s="2113"/>
    </row>
    <row r="843" spans="1:380" s="1852" customFormat="1" ht="6" customHeight="1">
      <c r="X843" s="2114"/>
      <c r="Y843" s="2114"/>
      <c r="Z843" s="2114"/>
      <c r="AA843" s="2114"/>
      <c r="AB843" s="2114"/>
      <c r="AC843" s="2114"/>
      <c r="AD843" s="2114"/>
      <c r="AE843" s="2114"/>
      <c r="AF843" s="2114"/>
      <c r="AG843" s="2114"/>
      <c r="AH843" s="2114"/>
      <c r="AI843" s="2114"/>
      <c r="AJ843" s="2114"/>
      <c r="AK843" s="2114"/>
      <c r="AL843" s="2114"/>
      <c r="AM843" s="2114"/>
      <c r="AN843" s="2114"/>
      <c r="AO843" s="2114"/>
      <c r="AP843" s="2114"/>
      <c r="AQ843" s="2114"/>
      <c r="AR843" s="2114"/>
      <c r="AS843" s="2114"/>
      <c r="AT843" s="2114"/>
      <c r="AU843" s="2114"/>
      <c r="AV843" s="2114"/>
      <c r="AW843" s="2114"/>
      <c r="AX843" s="2114"/>
      <c r="AY843" s="2114"/>
      <c r="AZ843" s="2114"/>
      <c r="BA843" s="2114"/>
      <c r="BB843" s="2114"/>
      <c r="BC843" s="2114"/>
      <c r="BD843" s="2114"/>
      <c r="BE843" s="2114"/>
      <c r="BF843" s="2114"/>
      <c r="BG843" s="2114"/>
      <c r="BH843" s="2114"/>
      <c r="BI843" s="2114"/>
      <c r="BJ843" s="2114"/>
      <c r="BK843" s="2114"/>
      <c r="BL843" s="2114"/>
      <c r="BM843" s="2114"/>
      <c r="BN843" s="2114"/>
      <c r="BO843" s="2114"/>
      <c r="BP843" s="2114"/>
      <c r="BQ843" s="2114"/>
      <c r="BR843" s="2114"/>
      <c r="BS843" s="2114"/>
      <c r="BT843" s="2114"/>
      <c r="BU843" s="2114"/>
      <c r="BV843" s="2114"/>
      <c r="BW843" s="2114"/>
      <c r="BX843" s="2114"/>
      <c r="BY843" s="2114"/>
      <c r="BZ843" s="2114"/>
      <c r="CA843" s="2114"/>
      <c r="CB843" s="2114"/>
      <c r="CC843" s="2114"/>
      <c r="CD843" s="2114"/>
      <c r="CE843" s="2114"/>
      <c r="CF843" s="2114"/>
      <c r="CG843" s="2114"/>
      <c r="CH843" s="2114"/>
      <c r="CI843" s="2114"/>
      <c r="CJ843" s="2114"/>
      <c r="CK843" s="2114"/>
      <c r="CL843" s="2114"/>
      <c r="CM843" s="2114"/>
      <c r="CN843" s="2114"/>
      <c r="CO843" s="2114"/>
      <c r="CP843" s="2114"/>
      <c r="CQ843" s="2114"/>
      <c r="CR843" s="2114"/>
      <c r="CS843" s="2114"/>
      <c r="CT843" s="2114"/>
      <c r="CU843" s="2114"/>
      <c r="CV843" s="2114"/>
      <c r="CW843" s="2114"/>
      <c r="CX843" s="2114"/>
      <c r="CY843" s="2114"/>
      <c r="CZ843" s="2114"/>
      <c r="DA843" s="2114"/>
      <c r="DB843" s="2114"/>
      <c r="DC843" s="2114"/>
      <c r="DD843" s="2114"/>
      <c r="DE843" s="2114"/>
      <c r="DF843" s="2114"/>
      <c r="DG843" s="2114"/>
      <c r="DH843" s="2114"/>
      <c r="DI843" s="2114"/>
      <c r="DJ843" s="2114"/>
      <c r="DK843" s="2114"/>
      <c r="DL843" s="2114"/>
      <c r="DM843" s="2114"/>
      <c r="DN843" s="2114"/>
      <c r="DO843" s="2114"/>
      <c r="DP843" s="2114"/>
      <c r="DQ843" s="2114"/>
      <c r="DR843" s="2114"/>
      <c r="DS843" s="2114"/>
      <c r="DT843" s="2114"/>
      <c r="DU843" s="2114"/>
      <c r="DV843" s="2114"/>
      <c r="DW843" s="2114"/>
      <c r="DX843" s="2114"/>
      <c r="DY843" s="2114"/>
      <c r="DZ843" s="2114"/>
      <c r="EA843" s="2114"/>
      <c r="EB843" s="2114"/>
      <c r="EC843" s="2114"/>
      <c r="ED843" s="2114"/>
      <c r="EE843" s="2114"/>
      <c r="EF843" s="2114"/>
      <c r="EG843" s="2114"/>
      <c r="EH843" s="2114"/>
      <c r="EI843" s="2114"/>
      <c r="EJ843" s="2114"/>
      <c r="EK843" s="2114"/>
      <c r="EL843" s="2114"/>
      <c r="EM843" s="2114"/>
      <c r="EN843" s="2114"/>
      <c r="EO843" s="2114"/>
      <c r="EP843" s="2114"/>
      <c r="EQ843" s="2114"/>
      <c r="ER843" s="2114"/>
      <c r="ES843" s="2114"/>
      <c r="ET843" s="2114"/>
      <c r="EU843" s="2114"/>
      <c r="EV843" s="2114"/>
      <c r="EW843" s="2114"/>
      <c r="EX843" s="2114"/>
      <c r="EY843" s="2114"/>
      <c r="EZ843" s="2114"/>
      <c r="FA843" s="2114"/>
      <c r="FB843" s="2114"/>
      <c r="FC843" s="2114"/>
      <c r="FD843" s="2114"/>
      <c r="FE843" s="2114"/>
      <c r="FF843" s="2114"/>
      <c r="FG843" s="2114"/>
      <c r="FH843" s="2114"/>
      <c r="FI843" s="2114"/>
      <c r="FJ843" s="2114"/>
      <c r="FK843" s="2114"/>
      <c r="FL843" s="2114"/>
      <c r="FM843" s="2114"/>
      <c r="FN843" s="2114"/>
      <c r="FO843" s="2114"/>
      <c r="FP843" s="2114"/>
      <c r="FQ843" s="2114"/>
      <c r="FR843" s="2114"/>
      <c r="FS843" s="2114"/>
      <c r="FT843" s="2114"/>
      <c r="FU843" s="2114"/>
      <c r="FV843" s="2114"/>
      <c r="FW843" s="2114"/>
      <c r="FX843" s="2114"/>
      <c r="FY843" s="2114"/>
      <c r="FZ843" s="2114"/>
      <c r="GA843" s="2114"/>
      <c r="GB843" s="2114"/>
      <c r="GC843" s="2114"/>
      <c r="GD843" s="2114"/>
      <c r="GE843" s="2114"/>
      <c r="GF843" s="2114"/>
      <c r="GG843" s="2114"/>
      <c r="GH843" s="2114"/>
      <c r="GI843" s="2114"/>
      <c r="GJ843" s="2114"/>
      <c r="GK843" s="2114"/>
      <c r="GL843" s="2114"/>
      <c r="GM843" s="2114"/>
      <c r="GN843" s="2114"/>
      <c r="GO843" s="2114"/>
      <c r="GP843" s="2114"/>
      <c r="GQ843" s="2114"/>
      <c r="GR843" s="2114"/>
      <c r="GS843" s="2114"/>
      <c r="GT843" s="2114"/>
      <c r="GU843" s="2114"/>
      <c r="GV843" s="2114"/>
      <c r="GW843" s="2114"/>
      <c r="GX843" s="2114"/>
      <c r="GY843" s="2114"/>
      <c r="GZ843" s="2114"/>
      <c r="HA843" s="2114"/>
      <c r="HB843" s="2114"/>
      <c r="HC843" s="2114"/>
      <c r="HD843" s="2114"/>
      <c r="HE843" s="2114"/>
      <c r="HF843" s="2114"/>
      <c r="HG843" s="2114"/>
      <c r="HH843" s="2114"/>
      <c r="HI843" s="2114"/>
      <c r="HJ843" s="2114"/>
      <c r="HK843" s="2114"/>
      <c r="HL843" s="2114"/>
      <c r="HM843" s="2114"/>
      <c r="HN843" s="2114"/>
      <c r="HO843" s="2114"/>
      <c r="HP843" s="2114"/>
      <c r="HQ843" s="2114"/>
      <c r="HR843" s="2114"/>
      <c r="HS843" s="2114"/>
      <c r="HT843" s="2114"/>
      <c r="HU843" s="2114"/>
      <c r="HV843" s="2114"/>
      <c r="HW843" s="2114"/>
      <c r="HX843" s="2114"/>
      <c r="HY843" s="2114"/>
      <c r="HZ843" s="2488"/>
      <c r="IA843" s="2488"/>
      <c r="IB843" s="2488"/>
      <c r="IC843" s="2488"/>
      <c r="ID843" s="2488"/>
      <c r="IE843" s="2488"/>
      <c r="IF843" s="2488"/>
      <c r="IG843" s="2488"/>
      <c r="IH843" s="2488"/>
      <c r="II843" s="2488"/>
      <c r="IJ843" s="2488"/>
      <c r="IK843" s="2488"/>
      <c r="IL843" s="2488"/>
      <c r="IM843" s="2488"/>
      <c r="IN843" s="2488"/>
      <c r="IO843" s="2488"/>
      <c r="IP843" s="2488"/>
      <c r="IQ843" s="2488"/>
      <c r="IR843" s="2488"/>
      <c r="IS843" s="2488"/>
      <c r="IT843" s="2488"/>
      <c r="IU843" s="2488"/>
      <c r="IV843" s="2488"/>
      <c r="IW843" s="2488"/>
      <c r="IX843" s="2488"/>
      <c r="IY843" s="2488"/>
      <c r="IZ843" s="2488"/>
      <c r="JA843" s="2488"/>
      <c r="JB843" s="2488"/>
      <c r="JC843" s="2488"/>
      <c r="JD843" s="2488"/>
      <c r="JE843" s="2488"/>
      <c r="JF843" s="2488"/>
      <c r="JG843" s="2488"/>
      <c r="JH843" s="2488"/>
      <c r="JI843" s="2488"/>
      <c r="JJ843" s="2488"/>
      <c r="JK843" s="2488"/>
      <c r="JL843" s="2488"/>
      <c r="JM843" s="2488"/>
      <c r="JN843" s="2488"/>
      <c r="JO843" s="2488"/>
      <c r="JP843" s="2488"/>
      <c r="JQ843" s="2488"/>
      <c r="JR843" s="2488"/>
      <c r="JS843" s="2488"/>
      <c r="JT843" s="2488"/>
      <c r="JU843" s="2488"/>
      <c r="JV843" s="2488"/>
      <c r="JW843" s="2488"/>
      <c r="JX843" s="2488"/>
      <c r="JY843" s="2488"/>
      <c r="JZ843" s="2488"/>
      <c r="KA843" s="2488"/>
      <c r="KB843" s="2488"/>
      <c r="KC843" s="2488"/>
      <c r="KD843" s="2488"/>
      <c r="KE843" s="2488"/>
      <c r="KF843" s="2488"/>
      <c r="KG843" s="2488"/>
      <c r="KH843" s="2488"/>
      <c r="KI843" s="2488"/>
      <c r="KJ843" s="2488"/>
      <c r="KK843" s="2488"/>
      <c r="KL843" s="2488"/>
      <c r="KM843" s="2114"/>
      <c r="KN843" s="2114"/>
      <c r="KO843" s="2114"/>
      <c r="KP843" s="2114"/>
      <c r="KQ843" s="2114"/>
      <c r="KR843" s="2114"/>
      <c r="KS843" s="2114"/>
      <c r="KT843" s="2114"/>
      <c r="KU843" s="2114"/>
      <c r="KV843" s="2114"/>
      <c r="KW843" s="2114"/>
      <c r="KX843" s="2114"/>
      <c r="KY843" s="2114"/>
      <c r="KZ843" s="2114"/>
      <c r="LA843" s="2114"/>
      <c r="LB843" s="2114"/>
      <c r="LC843" s="2114"/>
      <c r="LD843" s="2114"/>
      <c r="LE843" s="2114"/>
      <c r="LF843" s="2114"/>
      <c r="LL843" s="2114"/>
      <c r="LM843" s="2114"/>
      <c r="LN843" s="2114"/>
      <c r="LO843" s="2114"/>
      <c r="LP843" s="2114"/>
      <c r="LQ843" s="2114"/>
      <c r="LR843" s="2114"/>
      <c r="LS843" s="2114"/>
      <c r="LT843" s="2114"/>
      <c r="LU843" s="2114"/>
      <c r="LV843" s="2114"/>
      <c r="LW843" s="2114"/>
      <c r="LX843" s="2114"/>
      <c r="LY843" s="2114"/>
      <c r="LZ843" s="2114"/>
      <c r="MA843" s="2114"/>
      <c r="MB843" s="2114"/>
      <c r="MC843" s="2114"/>
      <c r="MD843" s="2114"/>
      <c r="ME843" s="2114"/>
      <c r="NP843" s="1924"/>
    </row>
    <row r="844" spans="1:380" s="1818" customFormat="1" ht="12.6" customHeight="1">
      <c r="A844" s="1818" t="s">
        <v>586</v>
      </c>
      <c r="B844" s="1818" t="s">
        <v>2262</v>
      </c>
      <c r="D844" s="1905" t="s">
        <v>6311</v>
      </c>
      <c r="E844" s="1905"/>
      <c r="F844" s="1905"/>
      <c r="G844" s="1905"/>
      <c r="H844" s="1905"/>
      <c r="I844" s="1905"/>
      <c r="J844" s="1905"/>
      <c r="O844" s="2115" t="s">
        <v>547</v>
      </c>
      <c r="P844" s="2116" t="str">
        <f>'Part I-Project Information'!$O$41</f>
        <v>Savannah</v>
      </c>
      <c r="Q844" s="2116"/>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7"/>
      <c r="IA844" s="2117"/>
      <c r="IB844" s="2117"/>
      <c r="IC844" s="2117"/>
      <c r="ID844" s="2117"/>
      <c r="IE844" s="2488" t="s">
        <v>465</v>
      </c>
      <c r="IF844" s="2488" t="s">
        <v>2330</v>
      </c>
      <c r="IG844" s="2488" t="s">
        <v>2331</v>
      </c>
      <c r="IH844" s="2488" t="s">
        <v>2332</v>
      </c>
      <c r="II844" s="2488" t="s">
        <v>2333</v>
      </c>
      <c r="IJ844" s="2488" t="s">
        <v>465</v>
      </c>
      <c r="IK844" s="2488" t="s">
        <v>2330</v>
      </c>
      <c r="IL844" s="2488" t="s">
        <v>2331</v>
      </c>
      <c r="IM844" s="2488" t="s">
        <v>2332</v>
      </c>
      <c r="IN844" s="2488" t="s">
        <v>2333</v>
      </c>
      <c r="IO844" s="2117"/>
      <c r="IP844" s="2117"/>
      <c r="IQ844" s="2117"/>
      <c r="IR844" s="2117"/>
      <c r="IS844" s="2117"/>
      <c r="IT844" s="2117"/>
      <c r="IU844" s="2117"/>
      <c r="IV844" s="2117"/>
      <c r="IW844" s="2117"/>
      <c r="IX844" s="2117"/>
      <c r="IY844" s="2488" t="s">
        <v>465</v>
      </c>
      <c r="IZ844" s="2488" t="s">
        <v>2330</v>
      </c>
      <c r="JA844" s="2488" t="s">
        <v>2331</v>
      </c>
      <c r="JB844" s="2488" t="s">
        <v>2332</v>
      </c>
      <c r="JC844" s="2488" t="s">
        <v>2333</v>
      </c>
      <c r="JD844" s="2488" t="s">
        <v>465</v>
      </c>
      <c r="JE844" s="2488" t="s">
        <v>2330</v>
      </c>
      <c r="JF844" s="2488" t="s">
        <v>2331</v>
      </c>
      <c r="JG844" s="2488" t="s">
        <v>2332</v>
      </c>
      <c r="JH844" s="2488" t="s">
        <v>2333</v>
      </c>
      <c r="JI844" s="2488" t="s">
        <v>465</v>
      </c>
      <c r="JJ844" s="2488" t="s">
        <v>2330</v>
      </c>
      <c r="JK844" s="2488" t="s">
        <v>2331</v>
      </c>
      <c r="JL844" s="2488" t="s">
        <v>2332</v>
      </c>
      <c r="JM844" s="2488" t="s">
        <v>2333</v>
      </c>
      <c r="JN844" s="2488" t="s">
        <v>465</v>
      </c>
      <c r="JO844" s="2488" t="s">
        <v>2330</v>
      </c>
      <c r="JP844" s="2488" t="s">
        <v>2331</v>
      </c>
      <c r="JQ844" s="2488" t="s">
        <v>2332</v>
      </c>
      <c r="JR844" s="2488" t="s">
        <v>2333</v>
      </c>
      <c r="JS844" s="2488" t="s">
        <v>465</v>
      </c>
      <c r="JT844" s="2488" t="s">
        <v>2330</v>
      </c>
      <c r="JU844" s="2488" t="s">
        <v>2331</v>
      </c>
      <c r="JV844" s="2488" t="s">
        <v>2332</v>
      </c>
      <c r="JW844" s="2488" t="s">
        <v>2333</v>
      </c>
      <c r="JX844" s="2488" t="s">
        <v>465</v>
      </c>
      <c r="JY844" s="2488" t="s">
        <v>2330</v>
      </c>
      <c r="JZ844" s="2488" t="s">
        <v>2331</v>
      </c>
      <c r="KA844" s="2488" t="s">
        <v>2332</v>
      </c>
      <c r="KB844" s="2488" t="s">
        <v>2333</v>
      </c>
      <c r="KC844" s="2488" t="s">
        <v>465</v>
      </c>
      <c r="KD844" s="2488" t="s">
        <v>2330</v>
      </c>
      <c r="KE844" s="2488" t="s">
        <v>2331</v>
      </c>
      <c r="KF844" s="2488" t="s">
        <v>2332</v>
      </c>
      <c r="KG844" s="2488" t="s">
        <v>2333</v>
      </c>
      <c r="KH844" s="2488" t="s">
        <v>465</v>
      </c>
      <c r="KI844" s="2488" t="s">
        <v>2330</v>
      </c>
      <c r="KJ844" s="2488" t="s">
        <v>2331</v>
      </c>
      <c r="KK844" s="2488" t="s">
        <v>2332</v>
      </c>
      <c r="KL844" s="2488" t="s">
        <v>2333</v>
      </c>
      <c r="KM844" s="2488" t="s">
        <v>465</v>
      </c>
      <c r="KN844" s="2488" t="s">
        <v>2330</v>
      </c>
      <c r="KO844" s="2488" t="s">
        <v>2331</v>
      </c>
      <c r="KP844" s="2488" t="s">
        <v>2332</v>
      </c>
      <c r="KQ844" s="2488" t="s">
        <v>2333</v>
      </c>
      <c r="KR844" s="2488" t="s">
        <v>465</v>
      </c>
      <c r="KS844" s="2488" t="s">
        <v>2330</v>
      </c>
      <c r="KT844" s="2488" t="s">
        <v>2331</v>
      </c>
      <c r="KU844" s="2488" t="s">
        <v>2332</v>
      </c>
      <c r="KV844" s="2488" t="s">
        <v>2333</v>
      </c>
      <c r="KW844" s="2488" t="s">
        <v>465</v>
      </c>
      <c r="KX844" s="2488" t="s">
        <v>2330</v>
      </c>
      <c r="KY844" s="2488" t="s">
        <v>2331</v>
      </c>
      <c r="KZ844" s="2488" t="s">
        <v>2332</v>
      </c>
      <c r="LA844" s="2488" t="s">
        <v>2333</v>
      </c>
      <c r="LB844" s="2488" t="s">
        <v>465</v>
      </c>
      <c r="LC844" s="2488" t="s">
        <v>2330</v>
      </c>
      <c r="LD844" s="2488" t="s">
        <v>2331</v>
      </c>
      <c r="LE844" s="2488" t="s">
        <v>2332</v>
      </c>
      <c r="LF844" s="2488" t="s">
        <v>2333</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4" t="s">
        <v>3166</v>
      </c>
      <c r="MG844" s="2114" t="s">
        <v>3167</v>
      </c>
      <c r="MH844" s="2114" t="s">
        <v>3168</v>
      </c>
      <c r="MI844" s="2114" t="s">
        <v>3169</v>
      </c>
      <c r="MJ844" s="2114" t="s">
        <v>3170</v>
      </c>
      <c r="MK844" s="1719"/>
      <c r="ML844" s="1719"/>
      <c r="MM844" s="1719"/>
      <c r="MN844" s="1719"/>
      <c r="MO844" s="1719"/>
      <c r="MP844" s="1719"/>
      <c r="MQ844" s="1719"/>
      <c r="MR844" s="1719"/>
      <c r="MS844" s="1719"/>
      <c r="MT844" s="1719"/>
      <c r="NP844" s="2113"/>
    </row>
    <row r="845" spans="1:380" s="1818" customFormat="1" ht="3" customHeight="1">
      <c r="D845" s="1905"/>
      <c r="E845" s="1905"/>
      <c r="F845" s="1905"/>
      <c r="G845" s="1905"/>
      <c r="H845" s="1905"/>
      <c r="I845" s="1905"/>
      <c r="J845" s="1905"/>
      <c r="P845" s="2116"/>
      <c r="Q845" s="2114" t="s">
        <v>7130</v>
      </c>
      <c r="R845" s="2488"/>
      <c r="X845" s="2114" t="s">
        <v>3837</v>
      </c>
      <c r="Y845" s="2114" t="s">
        <v>3838</v>
      </c>
      <c r="Z845" s="2114" t="s">
        <v>3839</v>
      </c>
      <c r="AA845" s="2114" t="s">
        <v>3840</v>
      </c>
      <c r="AB845" s="2114" t="s">
        <v>3841</v>
      </c>
      <c r="AC845" s="2114" t="s">
        <v>3842</v>
      </c>
      <c r="AD845" s="2114" t="s">
        <v>3843</v>
      </c>
      <c r="AE845" s="2114" t="s">
        <v>3844</v>
      </c>
      <c r="AF845" s="2114" t="s">
        <v>3845</v>
      </c>
      <c r="AG845" s="2114" t="s">
        <v>3846</v>
      </c>
      <c r="AH845" s="2114" t="s">
        <v>885</v>
      </c>
      <c r="AI845" s="2114" t="s">
        <v>726</v>
      </c>
      <c r="AJ845" s="2114" t="s">
        <v>727</v>
      </c>
      <c r="AK845" s="2114" t="s">
        <v>728</v>
      </c>
      <c r="AL845" s="2114" t="s">
        <v>729</v>
      </c>
      <c r="AM845" s="2114" t="s">
        <v>886</v>
      </c>
      <c r="AN845" s="2114" t="s">
        <v>2207</v>
      </c>
      <c r="AO845" s="2114" t="s">
        <v>2208</v>
      </c>
      <c r="AP845" s="2114" t="s">
        <v>2209</v>
      </c>
      <c r="AQ845" s="2114" t="s">
        <v>2210</v>
      </c>
      <c r="AR845" s="2114" t="s">
        <v>3848</v>
      </c>
      <c r="AS845" s="2114" t="s">
        <v>3849</v>
      </c>
      <c r="AT845" s="2114" t="s">
        <v>3850</v>
      </c>
      <c r="AU845" s="2114" t="s">
        <v>3851</v>
      </c>
      <c r="AV845" s="2114" t="s">
        <v>3847</v>
      </c>
      <c r="AW845" s="2114" t="s">
        <v>887</v>
      </c>
      <c r="AX845" s="2114" t="s">
        <v>2211</v>
      </c>
      <c r="AY845" s="2114" t="s">
        <v>2212</v>
      </c>
      <c r="AZ845" s="2114" t="s">
        <v>2213</v>
      </c>
      <c r="BA845" s="2114" t="s">
        <v>2214</v>
      </c>
      <c r="BB845" s="2114" t="s">
        <v>3852</v>
      </c>
      <c r="BC845" s="2114" t="s">
        <v>3853</v>
      </c>
      <c r="BD845" s="2114" t="s">
        <v>3854</v>
      </c>
      <c r="BE845" s="2114" t="s">
        <v>3855</v>
      </c>
      <c r="BF845" s="2114" t="s">
        <v>3856</v>
      </c>
      <c r="BG845" s="2114" t="s">
        <v>122</v>
      </c>
      <c r="BH845" s="2114" t="s">
        <v>2215</v>
      </c>
      <c r="BI845" s="2114" t="s">
        <v>2216</v>
      </c>
      <c r="BJ845" s="2114" t="s">
        <v>2217</v>
      </c>
      <c r="BK845" s="2114" t="s">
        <v>1106</v>
      </c>
      <c r="BL845" s="2114" t="s">
        <v>3857</v>
      </c>
      <c r="BM845" s="2114" t="s">
        <v>3858</v>
      </c>
      <c r="BN845" s="2114" t="s">
        <v>3859</v>
      </c>
      <c r="BO845" s="2114" t="s">
        <v>3860</v>
      </c>
      <c r="BP845" s="2114" t="s">
        <v>3861</v>
      </c>
      <c r="BQ845" s="2114" t="s">
        <v>529</v>
      </c>
      <c r="BR845" s="2114" t="s">
        <v>530</v>
      </c>
      <c r="BS845" s="2114" t="s">
        <v>548</v>
      </c>
      <c r="BT845" s="2114" t="s">
        <v>549</v>
      </c>
      <c r="BU845" s="2114" t="s">
        <v>550</v>
      </c>
      <c r="BV845" s="2114" t="s">
        <v>3862</v>
      </c>
      <c r="BW845" s="2114" t="s">
        <v>3863</v>
      </c>
      <c r="BX845" s="2114" t="s">
        <v>3864</v>
      </c>
      <c r="BY845" s="2114" t="s">
        <v>3865</v>
      </c>
      <c r="BZ845" s="2114" t="s">
        <v>3866</v>
      </c>
      <c r="CA845" s="2114" t="s">
        <v>551</v>
      </c>
      <c r="CB845" s="2114" t="s">
        <v>552</v>
      </c>
      <c r="CC845" s="2114" t="s">
        <v>553</v>
      </c>
      <c r="CD845" s="2114" t="s">
        <v>554</v>
      </c>
      <c r="CE845" s="2114" t="s">
        <v>555</v>
      </c>
      <c r="CF845" s="2114" t="s">
        <v>556</v>
      </c>
      <c r="CG845" s="2114" t="s">
        <v>557</v>
      </c>
      <c r="CH845" s="2114" t="s">
        <v>896</v>
      </c>
      <c r="CI845" s="2114" t="s">
        <v>897</v>
      </c>
      <c r="CJ845" s="2114" t="s">
        <v>898</v>
      </c>
      <c r="CK845" s="2114" t="s">
        <v>3872</v>
      </c>
      <c r="CL845" s="2114" t="s">
        <v>3873</v>
      </c>
      <c r="CM845" s="2114" t="s">
        <v>3874</v>
      </c>
      <c r="CN845" s="2114" t="s">
        <v>3875</v>
      </c>
      <c r="CO845" s="2114" t="s">
        <v>3876</v>
      </c>
      <c r="CP845" s="2114" t="s">
        <v>3867</v>
      </c>
      <c r="CQ845" s="2114" t="s">
        <v>3868</v>
      </c>
      <c r="CR845" s="2114" t="s">
        <v>3869</v>
      </c>
      <c r="CS845" s="2114" t="s">
        <v>3870</v>
      </c>
      <c r="CT845" s="2114" t="s">
        <v>3871</v>
      </c>
      <c r="CU845" s="2114" t="s">
        <v>3877</v>
      </c>
      <c r="CV845" s="2114" t="s">
        <v>3878</v>
      </c>
      <c r="CW845" s="2114" t="s">
        <v>3879</v>
      </c>
      <c r="CX845" s="2114" t="s">
        <v>3880</v>
      </c>
      <c r="CY845" s="2114" t="s">
        <v>3881</v>
      </c>
      <c r="CZ845" s="2114" t="s">
        <v>474</v>
      </c>
      <c r="DA845" s="2114" t="s">
        <v>475</v>
      </c>
      <c r="DB845" s="2114" t="s">
        <v>476</v>
      </c>
      <c r="DC845" s="2114" t="s">
        <v>477</v>
      </c>
      <c r="DD845" s="2114" t="s">
        <v>478</v>
      </c>
      <c r="DE845" s="2114" t="s">
        <v>3882</v>
      </c>
      <c r="DF845" s="2114" t="s">
        <v>3883</v>
      </c>
      <c r="DG845" s="2114" t="s">
        <v>3884</v>
      </c>
      <c r="DH845" s="2114" t="s">
        <v>3885</v>
      </c>
      <c r="DI845" s="2114" t="s">
        <v>3886</v>
      </c>
      <c r="DJ845" s="2114" t="s">
        <v>846</v>
      </c>
      <c r="DK845" s="2114" t="s">
        <v>847</v>
      </c>
      <c r="DL845" s="2114" t="s">
        <v>848</v>
      </c>
      <c r="DM845" s="2114" t="s">
        <v>849</v>
      </c>
      <c r="DN845" s="2114" t="s">
        <v>850</v>
      </c>
      <c r="DO845" s="2114" t="s">
        <v>851</v>
      </c>
      <c r="DP845" s="2114" t="s">
        <v>852</v>
      </c>
      <c r="DQ845" s="2114" t="s">
        <v>853</v>
      </c>
      <c r="DR845" s="2114" t="s">
        <v>854</v>
      </c>
      <c r="DS845" s="2114" t="s">
        <v>855</v>
      </c>
      <c r="DT845" s="2114" t="s">
        <v>3887</v>
      </c>
      <c r="DU845" s="2114" t="s">
        <v>3888</v>
      </c>
      <c r="DV845" s="2114" t="s">
        <v>3889</v>
      </c>
      <c r="DW845" s="2114" t="s">
        <v>3890</v>
      </c>
      <c r="DX845" s="2114" t="s">
        <v>3891</v>
      </c>
      <c r="DY845" s="2114" t="s">
        <v>3892</v>
      </c>
      <c r="DZ845" s="2114" t="s">
        <v>3893</v>
      </c>
      <c r="EA845" s="2114" t="s">
        <v>3894</v>
      </c>
      <c r="EB845" s="2114" t="s">
        <v>3895</v>
      </c>
      <c r="EC845" s="2114" t="s">
        <v>3896</v>
      </c>
      <c r="ED845" s="2114" t="s">
        <v>2320</v>
      </c>
      <c r="EE845" s="2114" t="s">
        <v>2321</v>
      </c>
      <c r="EF845" s="2114" t="s">
        <v>2322</v>
      </c>
      <c r="EG845" s="2114" t="s">
        <v>2323</v>
      </c>
      <c r="EH845" s="2114" t="s">
        <v>2324</v>
      </c>
      <c r="EI845" s="2114" t="s">
        <v>3897</v>
      </c>
      <c r="EJ845" s="2114" t="s">
        <v>3898</v>
      </c>
      <c r="EK845" s="2114" t="s">
        <v>3899</v>
      </c>
      <c r="EL845" s="2114" t="s">
        <v>3900</v>
      </c>
      <c r="EM845" s="2114" t="s">
        <v>3901</v>
      </c>
      <c r="EN845" s="2114" t="s">
        <v>3902</v>
      </c>
      <c r="EO845" s="2114" t="s">
        <v>3903</v>
      </c>
      <c r="EP845" s="2114" t="s">
        <v>3904</v>
      </c>
      <c r="EQ845" s="2114" t="s">
        <v>3905</v>
      </c>
      <c r="ER845" s="2114" t="s">
        <v>3906</v>
      </c>
      <c r="ES845" s="2114" t="s">
        <v>110</v>
      </c>
      <c r="ET845" s="2114" t="s">
        <v>1109</v>
      </c>
      <c r="EU845" s="2114" t="s">
        <v>1110</v>
      </c>
      <c r="EV845" s="2114" t="s">
        <v>1167</v>
      </c>
      <c r="EW845" s="2114" t="s">
        <v>1168</v>
      </c>
      <c r="EX845" s="2114" t="s">
        <v>125</v>
      </c>
      <c r="EY845" s="2114" t="s">
        <v>1169</v>
      </c>
      <c r="EZ845" s="2114" t="s">
        <v>1170</v>
      </c>
      <c r="FA845" s="2114" t="s">
        <v>1171</v>
      </c>
      <c r="FB845" s="2114" t="s">
        <v>1172</v>
      </c>
      <c r="FC845" s="2114" t="s">
        <v>3907</v>
      </c>
      <c r="FD845" s="2114" t="s">
        <v>3908</v>
      </c>
      <c r="FE845" s="2114" t="s">
        <v>3909</v>
      </c>
      <c r="FF845" s="2114" t="s">
        <v>3910</v>
      </c>
      <c r="FG845" s="2114" t="s">
        <v>3911</v>
      </c>
      <c r="FH845" s="2114" t="s">
        <v>124</v>
      </c>
      <c r="FI845" s="2114" t="s">
        <v>877</v>
      </c>
      <c r="FJ845" s="2114" t="s">
        <v>878</v>
      </c>
      <c r="FK845" s="2114" t="s">
        <v>879</v>
      </c>
      <c r="FL845" s="2114" t="s">
        <v>880</v>
      </c>
      <c r="FM845" s="2114" t="s">
        <v>3912</v>
      </c>
      <c r="FN845" s="2114" t="s">
        <v>3913</v>
      </c>
      <c r="FO845" s="2114" t="s">
        <v>3914</v>
      </c>
      <c r="FP845" s="2114" t="s">
        <v>3915</v>
      </c>
      <c r="FQ845" s="2114" t="s">
        <v>3916</v>
      </c>
      <c r="FR845" s="2114" t="s">
        <v>123</v>
      </c>
      <c r="FS845" s="2114" t="s">
        <v>881</v>
      </c>
      <c r="FT845" s="2114" t="s">
        <v>882</v>
      </c>
      <c r="FU845" s="2114" t="s">
        <v>883</v>
      </c>
      <c r="FV845" s="2114" t="s">
        <v>884</v>
      </c>
      <c r="FW845" s="2114" t="s">
        <v>776</v>
      </c>
      <c r="FX845" s="2114" t="s">
        <v>777</v>
      </c>
      <c r="FY845" s="2114" t="s">
        <v>778</v>
      </c>
      <c r="FZ845" s="2114" t="s">
        <v>779</v>
      </c>
      <c r="GA845" s="2114" t="s">
        <v>780</v>
      </c>
      <c r="GB845" s="2114" t="s">
        <v>921</v>
      </c>
      <c r="GC845" s="2114" t="s">
        <v>922</v>
      </c>
      <c r="GD845" s="2114" t="s">
        <v>923</v>
      </c>
      <c r="GE845" s="2114" t="s">
        <v>924</v>
      </c>
      <c r="GF845" s="2114" t="s">
        <v>2319</v>
      </c>
      <c r="GG845" s="2114" t="s">
        <v>1378</v>
      </c>
      <c r="GH845" s="2114" t="s">
        <v>1379</v>
      </c>
      <c r="GI845" s="2114" t="s">
        <v>1380</v>
      </c>
      <c r="GJ845" s="2114" t="s">
        <v>1381</v>
      </c>
      <c r="GK845" s="2114" t="s">
        <v>1382</v>
      </c>
      <c r="GL845" s="2114" t="s">
        <v>417</v>
      </c>
      <c r="GM845" s="2114" t="s">
        <v>418</v>
      </c>
      <c r="GN845" s="2114" t="s">
        <v>419</v>
      </c>
      <c r="GO845" s="2114" t="s">
        <v>420</v>
      </c>
      <c r="GP845" s="2114" t="s">
        <v>421</v>
      </c>
      <c r="GQ845" s="2114" t="s">
        <v>14</v>
      </c>
      <c r="GR845" s="2114" t="s">
        <v>15</v>
      </c>
      <c r="GS845" s="2114" t="s">
        <v>16</v>
      </c>
      <c r="GT845" s="2114" t="s">
        <v>17</v>
      </c>
      <c r="GU845" s="2114" t="s">
        <v>18</v>
      </c>
      <c r="GV845" s="2114" t="s">
        <v>213</v>
      </c>
      <c r="GW845" s="2114" t="s">
        <v>214</v>
      </c>
      <c r="GX845" s="2114" t="s">
        <v>215</v>
      </c>
      <c r="GY845" s="2114" t="s">
        <v>1727</v>
      </c>
      <c r="GZ845" s="2114" t="s">
        <v>1728</v>
      </c>
      <c r="HA845" s="2114" t="s">
        <v>1729</v>
      </c>
      <c r="HB845" s="2114" t="s">
        <v>563</v>
      </c>
      <c r="HC845" s="2114" t="s">
        <v>564</v>
      </c>
      <c r="HD845" s="2114" t="s">
        <v>565</v>
      </c>
      <c r="HE845" s="2114" t="s">
        <v>566</v>
      </c>
      <c r="HF845" s="2114" t="s">
        <v>19</v>
      </c>
      <c r="HG845" s="2114" t="s">
        <v>20</v>
      </c>
      <c r="HH845" s="2114" t="s">
        <v>21</v>
      </c>
      <c r="HI845" s="2114" t="s">
        <v>22</v>
      </c>
      <c r="HJ845" s="2114" t="s">
        <v>23</v>
      </c>
      <c r="HK845" s="2114" t="s">
        <v>473</v>
      </c>
      <c r="HL845" s="2114" t="s">
        <v>413</v>
      </c>
      <c r="HM845" s="2114" t="s">
        <v>414</v>
      </c>
      <c r="HN845" s="2114" t="s">
        <v>415</v>
      </c>
      <c r="HO845" s="2114" t="s">
        <v>416</v>
      </c>
      <c r="HP845" s="2114" t="s">
        <v>2108</v>
      </c>
      <c r="HQ845" s="2114" t="s">
        <v>2109</v>
      </c>
      <c r="HR845" s="2114" t="s">
        <v>2110</v>
      </c>
      <c r="HS845" s="2114" t="s">
        <v>1420</v>
      </c>
      <c r="HT845" s="2114" t="s">
        <v>1421</v>
      </c>
      <c r="HU845" s="2114" t="s">
        <v>24</v>
      </c>
      <c r="HV845" s="2114" t="s">
        <v>25</v>
      </c>
      <c r="HW845" s="2114" t="s">
        <v>26</v>
      </c>
      <c r="HX845" s="2114" t="s">
        <v>27</v>
      </c>
      <c r="HY845" s="2114" t="s">
        <v>28</v>
      </c>
      <c r="HZ845" s="2117"/>
      <c r="IA845" s="2117"/>
      <c r="IB845" s="2117"/>
      <c r="IC845" s="2117"/>
      <c r="ID845" s="2117"/>
      <c r="IE845" s="2117"/>
      <c r="IF845" s="2117"/>
      <c r="IG845" s="2117"/>
      <c r="IH845" s="2117"/>
      <c r="II845" s="2117"/>
      <c r="IJ845" s="2117"/>
      <c r="IK845" s="2117"/>
      <c r="IL845" s="2117"/>
      <c r="IM845" s="2117"/>
      <c r="IN845" s="2117"/>
      <c r="IO845" s="2117"/>
      <c r="IP845" s="2117"/>
      <c r="IQ845" s="2117"/>
      <c r="IR845" s="2117"/>
      <c r="IS845" s="2117"/>
      <c r="IT845" s="2117"/>
      <c r="IU845" s="2117"/>
      <c r="IV845" s="2117"/>
      <c r="IW845" s="2117"/>
      <c r="IX845" s="2117"/>
      <c r="IY845" s="2117"/>
      <c r="IZ845" s="2117"/>
      <c r="JA845" s="2117"/>
      <c r="JB845" s="2117"/>
      <c r="JC845" s="2117"/>
      <c r="JD845" s="2117"/>
      <c r="JE845" s="2117"/>
      <c r="JF845" s="2117"/>
      <c r="JG845" s="2117"/>
      <c r="JH845" s="2117"/>
      <c r="JI845" s="2117"/>
      <c r="JJ845" s="2117"/>
      <c r="JK845" s="2117"/>
      <c r="JL845" s="2117"/>
      <c r="JM845" s="2117"/>
      <c r="JN845" s="2117"/>
      <c r="JO845" s="2117"/>
      <c r="JP845" s="2117"/>
      <c r="JQ845" s="2117"/>
      <c r="JR845" s="2117"/>
      <c r="JS845" s="2117"/>
      <c r="JT845" s="2117"/>
      <c r="JU845" s="2117"/>
      <c r="JV845" s="2117"/>
      <c r="JW845" s="2117"/>
      <c r="JX845" s="2117"/>
      <c r="JY845" s="2117"/>
      <c r="JZ845" s="2117"/>
      <c r="KA845" s="2117"/>
      <c r="KB845" s="2117"/>
      <c r="KC845" s="2117"/>
      <c r="KD845" s="2117"/>
      <c r="KE845" s="2117"/>
      <c r="KF845" s="2117"/>
      <c r="KG845" s="2117"/>
      <c r="KH845" s="2117"/>
      <c r="KI845" s="2117"/>
      <c r="KJ845" s="2117"/>
      <c r="KK845" s="2117"/>
      <c r="KL845" s="2117"/>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4" t="s">
        <v>1559</v>
      </c>
      <c r="LH845" s="2114" t="s">
        <v>2406</v>
      </c>
      <c r="LI845" s="2114" t="s">
        <v>2407</v>
      </c>
      <c r="LJ845" s="2114" t="s">
        <v>368</v>
      </c>
      <c r="LK845" s="2114" t="s">
        <v>369</v>
      </c>
      <c r="LL845" s="2114" t="s">
        <v>370</v>
      </c>
      <c r="LM845" s="2114" t="s">
        <v>371</v>
      </c>
      <c r="LN845" s="2114" t="s">
        <v>372</v>
      </c>
      <c r="LO845" s="2114" t="s">
        <v>373</v>
      </c>
      <c r="LP845" s="2114" t="s">
        <v>374</v>
      </c>
      <c r="LQ845" s="2114" t="s">
        <v>194</v>
      </c>
      <c r="LR845" s="2114" t="s">
        <v>195</v>
      </c>
      <c r="LS845" s="2114" t="s">
        <v>196</v>
      </c>
      <c r="LT845" s="2114" t="s">
        <v>197</v>
      </c>
      <c r="LU845" s="2114" t="s">
        <v>198</v>
      </c>
      <c r="LV845" s="2114" t="s">
        <v>199</v>
      </c>
      <c r="LW845" s="2114" t="s">
        <v>200</v>
      </c>
      <c r="LX845" s="2114" t="s">
        <v>201</v>
      </c>
      <c r="LY845" s="2114" t="s">
        <v>202</v>
      </c>
      <c r="LZ845" s="2114" t="s">
        <v>203</v>
      </c>
      <c r="MA845" s="2114" t="s">
        <v>204</v>
      </c>
      <c r="MB845" s="2114" t="s">
        <v>205</v>
      </c>
      <c r="MC845" s="2114" t="s">
        <v>206</v>
      </c>
      <c r="MD845" s="2114" t="s">
        <v>207</v>
      </c>
      <c r="ME845" s="2114" t="s">
        <v>208</v>
      </c>
      <c r="MF845" s="2114"/>
      <c r="MG845" s="2114"/>
      <c r="MH845" s="2114"/>
      <c r="MI845" s="2114"/>
      <c r="MJ845" s="2114"/>
      <c r="MK845" s="1719"/>
      <c r="ML845" s="1719"/>
      <c r="MM845" s="1719"/>
      <c r="MN845" s="1719"/>
      <c r="MO845" s="1719"/>
      <c r="MP845" s="1719"/>
      <c r="MQ845" s="1719"/>
      <c r="MR845" s="1719"/>
      <c r="MS845" s="1719"/>
      <c r="MT845" s="1719"/>
      <c r="NP845" s="2113"/>
    </row>
    <row r="846" spans="1:380" s="1818" customFormat="1" ht="12.6" customHeight="1">
      <c r="A846" s="2118" t="str">
        <f>IF(A889&gt;0,"Finish Row!","")</f>
        <v/>
      </c>
      <c r="B846" s="1719" t="s">
        <v>7131</v>
      </c>
      <c r="D846" s="1905"/>
      <c r="E846" s="1905"/>
      <c r="F846" s="1905"/>
      <c r="G846" s="2110" t="str">
        <f>'Part VI-Revenues &amp; Expenses'!G6</f>
        <v>&lt;Select&gt;</v>
      </c>
      <c r="H846" s="2119" t="s">
        <v>6314</v>
      </c>
      <c r="I846" s="2119"/>
      <c r="J846" s="2119"/>
      <c r="K846" s="2117" t="s">
        <v>3257</v>
      </c>
      <c r="L846" s="2120" t="str">
        <f>'Part I-Project Information'!$B$7</f>
        <v>2021 Core App
May 10 Rev</v>
      </c>
      <c r="M846" s="2120"/>
      <c r="N846" s="2120"/>
      <c r="O846" s="2121" t="s">
        <v>7061</v>
      </c>
      <c r="P846" s="2122">
        <f>'Part VI-Revenues &amp; Expenses'!P6</f>
        <v>72000</v>
      </c>
      <c r="Q846" s="2114"/>
      <c r="R846" s="2488"/>
      <c r="X846" s="2114"/>
      <c r="Y846" s="2114"/>
      <c r="Z846" s="2114"/>
      <c r="AA846" s="2114"/>
      <c r="AB846" s="2114"/>
      <c r="AC846" s="2114"/>
      <c r="AD846" s="2114"/>
      <c r="AE846" s="2114"/>
      <c r="AF846" s="2114"/>
      <c r="AG846" s="2114"/>
      <c r="AH846" s="2114"/>
      <c r="AI846" s="2114"/>
      <c r="AJ846" s="2114"/>
      <c r="AK846" s="2114"/>
      <c r="AL846" s="2114"/>
      <c r="AM846" s="2114"/>
      <c r="AN846" s="2114"/>
      <c r="AO846" s="2114"/>
      <c r="AP846" s="2114"/>
      <c r="AQ846" s="2114"/>
      <c r="AR846" s="2114"/>
      <c r="AS846" s="2114"/>
      <c r="AT846" s="2114"/>
      <c r="AU846" s="2114"/>
      <c r="AV846" s="2114"/>
      <c r="AW846" s="2114"/>
      <c r="AX846" s="2114"/>
      <c r="AY846" s="2114"/>
      <c r="AZ846" s="2114"/>
      <c r="BA846" s="2114"/>
      <c r="BB846" s="2114"/>
      <c r="BC846" s="2114"/>
      <c r="BD846" s="2114"/>
      <c r="BE846" s="2114"/>
      <c r="BF846" s="2114"/>
      <c r="BG846" s="2114"/>
      <c r="BH846" s="2114"/>
      <c r="BI846" s="2114"/>
      <c r="BJ846" s="2114"/>
      <c r="BK846" s="2114"/>
      <c r="BL846" s="2114"/>
      <c r="BM846" s="2114"/>
      <c r="BN846" s="2114"/>
      <c r="BO846" s="2114"/>
      <c r="BP846" s="2114"/>
      <c r="BQ846" s="2114"/>
      <c r="BR846" s="2114"/>
      <c r="BS846" s="2114"/>
      <c r="BT846" s="2114"/>
      <c r="BU846" s="2114"/>
      <c r="BV846" s="2114"/>
      <c r="BW846" s="2114"/>
      <c r="BX846" s="2114"/>
      <c r="BY846" s="2114"/>
      <c r="BZ846" s="2114"/>
      <c r="CA846" s="2114"/>
      <c r="CB846" s="2114"/>
      <c r="CC846" s="2114"/>
      <c r="CD846" s="2114"/>
      <c r="CE846" s="2114"/>
      <c r="CF846" s="2114"/>
      <c r="CG846" s="2114"/>
      <c r="CH846" s="2114"/>
      <c r="CI846" s="2114"/>
      <c r="CJ846" s="2114"/>
      <c r="CK846" s="2114"/>
      <c r="CL846" s="2114"/>
      <c r="CM846" s="2114"/>
      <c r="CN846" s="2114"/>
      <c r="CO846" s="2114"/>
      <c r="CP846" s="2114"/>
      <c r="CQ846" s="2114"/>
      <c r="CR846" s="2114"/>
      <c r="CS846" s="2114"/>
      <c r="CT846" s="2114"/>
      <c r="CU846" s="2114"/>
      <c r="CV846" s="2114"/>
      <c r="CW846" s="2114"/>
      <c r="CX846" s="2114"/>
      <c r="CY846" s="2114"/>
      <c r="CZ846" s="2114"/>
      <c r="DA846" s="2114"/>
      <c r="DB846" s="2114"/>
      <c r="DC846" s="2114"/>
      <c r="DD846" s="2114"/>
      <c r="DE846" s="2114"/>
      <c r="DF846" s="2114"/>
      <c r="DG846" s="2114"/>
      <c r="DH846" s="2114"/>
      <c r="DI846" s="2114"/>
      <c r="DJ846" s="2114"/>
      <c r="DK846" s="2114"/>
      <c r="DL846" s="2114"/>
      <c r="DM846" s="2114"/>
      <c r="DN846" s="2114"/>
      <c r="DO846" s="2114"/>
      <c r="DP846" s="2114"/>
      <c r="DQ846" s="2114"/>
      <c r="DR846" s="2114"/>
      <c r="DS846" s="2114"/>
      <c r="DT846" s="2114"/>
      <c r="DU846" s="2114"/>
      <c r="DV846" s="2114"/>
      <c r="DW846" s="2114"/>
      <c r="DX846" s="2114"/>
      <c r="DY846" s="2114"/>
      <c r="DZ846" s="2114"/>
      <c r="EA846" s="2114"/>
      <c r="EB846" s="2114"/>
      <c r="EC846" s="2114"/>
      <c r="ED846" s="2114"/>
      <c r="EE846" s="2114"/>
      <c r="EF846" s="2114"/>
      <c r="EG846" s="2114"/>
      <c r="EH846" s="2114"/>
      <c r="EI846" s="2114"/>
      <c r="EJ846" s="2114"/>
      <c r="EK846" s="2114"/>
      <c r="EL846" s="2114"/>
      <c r="EM846" s="2114"/>
      <c r="EN846" s="2114"/>
      <c r="EO846" s="2114"/>
      <c r="EP846" s="2114"/>
      <c r="EQ846" s="2114"/>
      <c r="ER846" s="2114"/>
      <c r="ES846" s="2114"/>
      <c r="ET846" s="2114"/>
      <c r="EU846" s="2114"/>
      <c r="EV846" s="2114"/>
      <c r="EW846" s="2114"/>
      <c r="EX846" s="2114"/>
      <c r="EY846" s="2114"/>
      <c r="EZ846" s="2114"/>
      <c r="FA846" s="2114"/>
      <c r="FB846" s="2114"/>
      <c r="FC846" s="2114"/>
      <c r="FD846" s="2114"/>
      <c r="FE846" s="2114"/>
      <c r="FF846" s="2114"/>
      <c r="FG846" s="2114"/>
      <c r="FH846" s="2114"/>
      <c r="FI846" s="2114"/>
      <c r="FJ846" s="2114"/>
      <c r="FK846" s="2114"/>
      <c r="FL846" s="2114"/>
      <c r="FM846" s="2114"/>
      <c r="FN846" s="2114"/>
      <c r="FO846" s="2114"/>
      <c r="FP846" s="2114"/>
      <c r="FQ846" s="2114"/>
      <c r="FR846" s="2114"/>
      <c r="FS846" s="2114"/>
      <c r="FT846" s="2114"/>
      <c r="FU846" s="2114"/>
      <c r="FV846" s="2114"/>
      <c r="FW846" s="2114"/>
      <c r="FX846" s="2114"/>
      <c r="FY846" s="2114"/>
      <c r="FZ846" s="2114"/>
      <c r="GA846" s="2114"/>
      <c r="GB846" s="2114"/>
      <c r="GC846" s="2114"/>
      <c r="GD846" s="2114"/>
      <c r="GE846" s="2114"/>
      <c r="GF846" s="2114"/>
      <c r="GG846" s="2114"/>
      <c r="GH846" s="2114"/>
      <c r="GI846" s="2114"/>
      <c r="GJ846" s="2114"/>
      <c r="GK846" s="2114"/>
      <c r="GL846" s="2114"/>
      <c r="GM846" s="2114"/>
      <c r="GN846" s="2114"/>
      <c r="GO846" s="2114"/>
      <c r="GP846" s="2114"/>
      <c r="GQ846" s="2114"/>
      <c r="GR846" s="2114"/>
      <c r="GS846" s="2114"/>
      <c r="GT846" s="2114"/>
      <c r="GU846" s="2114"/>
      <c r="GV846" s="2114"/>
      <c r="GW846" s="2114"/>
      <c r="GX846" s="2114"/>
      <c r="GY846" s="2114"/>
      <c r="GZ846" s="2114"/>
      <c r="HA846" s="2114"/>
      <c r="HB846" s="2114"/>
      <c r="HC846" s="2114"/>
      <c r="HD846" s="2114"/>
      <c r="HE846" s="2114"/>
      <c r="HF846" s="2114"/>
      <c r="HG846" s="2114"/>
      <c r="HH846" s="2114"/>
      <c r="HI846" s="2114"/>
      <c r="HJ846" s="2114"/>
      <c r="HK846" s="2114"/>
      <c r="HL846" s="2114"/>
      <c r="HM846" s="2114"/>
      <c r="HN846" s="2114"/>
      <c r="HO846" s="2114"/>
      <c r="HP846" s="2114"/>
      <c r="HQ846" s="2114"/>
      <c r="HR846" s="2114"/>
      <c r="HS846" s="2114"/>
      <c r="HT846" s="2114"/>
      <c r="HU846" s="2114"/>
      <c r="HV846" s="2114"/>
      <c r="HW846" s="2114"/>
      <c r="HX846" s="2114"/>
      <c r="HY846" s="2114"/>
      <c r="HZ846" s="2117"/>
      <c r="IA846" s="2117"/>
      <c r="IB846" s="2117"/>
      <c r="IC846" s="2117"/>
      <c r="ID846" s="2117"/>
      <c r="IE846" s="2117"/>
      <c r="IF846" s="2117"/>
      <c r="IG846" s="2117"/>
      <c r="IH846" s="2117"/>
      <c r="II846" s="2117"/>
      <c r="IJ846" s="2117"/>
      <c r="IK846" s="2117"/>
      <c r="IL846" s="2117"/>
      <c r="IM846" s="2117"/>
      <c r="IN846" s="2117"/>
      <c r="IO846" s="2117"/>
      <c r="IP846" s="2117"/>
      <c r="IQ846" s="2117"/>
      <c r="IR846" s="2117"/>
      <c r="IS846" s="2117"/>
      <c r="IT846" s="2117"/>
      <c r="IU846" s="2117"/>
      <c r="IV846" s="2117"/>
      <c r="IW846" s="2117"/>
      <c r="IX846" s="2117"/>
      <c r="IY846" s="2117"/>
      <c r="IZ846" s="2117"/>
      <c r="JA846" s="2117"/>
      <c r="JB846" s="2117"/>
      <c r="JC846" s="2117"/>
      <c r="JD846" s="2117"/>
      <c r="JE846" s="2117"/>
      <c r="JF846" s="2117"/>
      <c r="JG846" s="2117"/>
      <c r="JH846" s="2117"/>
      <c r="JI846" s="2117"/>
      <c r="JJ846" s="2117"/>
      <c r="JK846" s="2117"/>
      <c r="JL846" s="2117"/>
      <c r="JM846" s="2117"/>
      <c r="JN846" s="2117"/>
      <c r="JO846" s="2117"/>
      <c r="JP846" s="2117"/>
      <c r="JQ846" s="2117"/>
      <c r="JR846" s="2117"/>
      <c r="JS846" s="2117"/>
      <c r="JT846" s="2117"/>
      <c r="JU846" s="2117"/>
      <c r="JV846" s="2117"/>
      <c r="JW846" s="2117"/>
      <c r="JX846" s="2117"/>
      <c r="JY846" s="2117"/>
      <c r="JZ846" s="2117"/>
      <c r="KA846" s="2117"/>
      <c r="KB846" s="2117"/>
      <c r="KC846" s="2117"/>
      <c r="KD846" s="2117"/>
      <c r="KE846" s="2117"/>
      <c r="KF846" s="2117"/>
      <c r="KG846" s="2117"/>
      <c r="KH846" s="2117"/>
      <c r="KI846" s="2117"/>
      <c r="KJ846" s="2117"/>
      <c r="KK846" s="2117"/>
      <c r="KL846" s="2117"/>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4"/>
      <c r="LH846" s="2114"/>
      <c r="LI846" s="2114"/>
      <c r="LJ846" s="2114"/>
      <c r="LK846" s="2114"/>
      <c r="LL846" s="2114"/>
      <c r="LM846" s="2114"/>
      <c r="LN846" s="2114"/>
      <c r="LO846" s="2114"/>
      <c r="LP846" s="2114"/>
      <c r="LQ846" s="2114"/>
      <c r="LR846" s="2114"/>
      <c r="LS846" s="2114"/>
      <c r="LT846" s="2114"/>
      <c r="LU846" s="2114"/>
      <c r="LV846" s="2114"/>
      <c r="LW846" s="2114"/>
      <c r="LX846" s="2114"/>
      <c r="LY846" s="2114"/>
      <c r="LZ846" s="2114"/>
      <c r="MA846" s="2114"/>
      <c r="MB846" s="2114"/>
      <c r="MC846" s="2114"/>
      <c r="MD846" s="2114"/>
      <c r="ME846" s="2114"/>
      <c r="MF846" s="2114"/>
      <c r="MG846" s="2114"/>
      <c r="MH846" s="2114"/>
      <c r="MI846" s="2114"/>
      <c r="MJ846" s="2114"/>
      <c r="MK846" s="1719" t="s">
        <v>3161</v>
      </c>
      <c r="ML846" s="1719" t="s">
        <v>3162</v>
      </c>
      <c r="MM846" s="1719" t="s">
        <v>3163</v>
      </c>
      <c r="MN846" s="1719" t="s">
        <v>3164</v>
      </c>
      <c r="MO846" s="1719" t="s">
        <v>3165</v>
      </c>
      <c r="MP846" s="2114" t="s">
        <v>6588</v>
      </c>
      <c r="MQ846" s="2114" t="s">
        <v>6589</v>
      </c>
      <c r="MR846" s="2114" t="s">
        <v>6590</v>
      </c>
      <c r="MS846" s="2114" t="s">
        <v>6591</v>
      </c>
      <c r="MT846" s="2114" t="s">
        <v>6592</v>
      </c>
      <c r="NP846" s="2113"/>
    </row>
    <row r="847" spans="1:380" s="1818" customFormat="1" ht="12.6" customHeight="1">
      <c r="A847" s="2118"/>
      <c r="B847" s="2123" t="s">
        <v>6313</v>
      </c>
      <c r="G847" s="2110" t="str">
        <f>'Part VI-Revenues &amp; Expenses'!G7</f>
        <v>No</v>
      </c>
      <c r="I847" s="1719" t="s">
        <v>4280</v>
      </c>
      <c r="J847" s="2117" t="s">
        <v>765</v>
      </c>
      <c r="K847" s="2117" t="s">
        <v>3308</v>
      </c>
      <c r="L847" s="2120"/>
      <c r="M847" s="2120"/>
      <c r="N847" s="2120"/>
      <c r="O847" s="2124" t="s">
        <v>6289</v>
      </c>
      <c r="P847" s="2125">
        <f>'Part VI-Revenues &amp; Expenses'!P7</f>
        <v>43922</v>
      </c>
      <c r="Q847" s="2114"/>
      <c r="R847" s="1818" t="s">
        <v>2548</v>
      </c>
      <c r="X847" s="2114"/>
      <c r="Y847" s="2114"/>
      <c r="Z847" s="2114"/>
      <c r="AA847" s="2114"/>
      <c r="AB847" s="2114"/>
      <c r="AC847" s="2114"/>
      <c r="AD847" s="2114"/>
      <c r="AE847" s="2114"/>
      <c r="AF847" s="2114"/>
      <c r="AG847" s="2114"/>
      <c r="AH847" s="2114"/>
      <c r="AI847" s="2114"/>
      <c r="AJ847" s="2114"/>
      <c r="AK847" s="2114"/>
      <c r="AL847" s="2114"/>
      <c r="AM847" s="2114"/>
      <c r="AN847" s="2114"/>
      <c r="AO847" s="2114"/>
      <c r="AP847" s="2114"/>
      <c r="AQ847" s="2114"/>
      <c r="AR847" s="2114"/>
      <c r="AS847" s="2114"/>
      <c r="AT847" s="2114"/>
      <c r="AU847" s="2114"/>
      <c r="AV847" s="2114"/>
      <c r="AW847" s="2114"/>
      <c r="AX847" s="2114"/>
      <c r="AY847" s="2114"/>
      <c r="AZ847" s="2114"/>
      <c r="BA847" s="2114"/>
      <c r="BB847" s="2114"/>
      <c r="BC847" s="2114"/>
      <c r="BD847" s="2114"/>
      <c r="BE847" s="2114"/>
      <c r="BF847" s="2114"/>
      <c r="BG847" s="2114"/>
      <c r="BH847" s="2114"/>
      <c r="BI847" s="2114"/>
      <c r="BJ847" s="2114"/>
      <c r="BK847" s="2114"/>
      <c r="BL847" s="2114"/>
      <c r="BM847" s="2114"/>
      <c r="BN847" s="2114"/>
      <c r="BO847" s="2114"/>
      <c r="BP847" s="2114"/>
      <c r="BQ847" s="2114"/>
      <c r="BR847" s="2114"/>
      <c r="BS847" s="2114"/>
      <c r="BT847" s="2114"/>
      <c r="BU847" s="2114"/>
      <c r="BV847" s="2114"/>
      <c r="BW847" s="2114"/>
      <c r="BX847" s="2114"/>
      <c r="BY847" s="2114"/>
      <c r="BZ847" s="2114"/>
      <c r="CA847" s="2114"/>
      <c r="CB847" s="2114"/>
      <c r="CC847" s="2114"/>
      <c r="CD847" s="2114"/>
      <c r="CE847" s="2114"/>
      <c r="CF847" s="2114"/>
      <c r="CG847" s="2114"/>
      <c r="CH847" s="2114"/>
      <c r="CI847" s="2114"/>
      <c r="CJ847" s="2114"/>
      <c r="CK847" s="2114"/>
      <c r="CL847" s="2114"/>
      <c r="CM847" s="2114"/>
      <c r="CN847" s="2114"/>
      <c r="CO847" s="2114"/>
      <c r="CP847" s="2114"/>
      <c r="CQ847" s="2114"/>
      <c r="CR847" s="2114"/>
      <c r="CS847" s="2114"/>
      <c r="CT847" s="2114"/>
      <c r="CU847" s="2114"/>
      <c r="CV847" s="2114"/>
      <c r="CW847" s="2114"/>
      <c r="CX847" s="2114"/>
      <c r="CY847" s="2114"/>
      <c r="CZ847" s="2114"/>
      <c r="DA847" s="2114"/>
      <c r="DB847" s="2114"/>
      <c r="DC847" s="2114"/>
      <c r="DD847" s="2114"/>
      <c r="DE847" s="2114"/>
      <c r="DF847" s="2114"/>
      <c r="DG847" s="2114"/>
      <c r="DH847" s="2114"/>
      <c r="DI847" s="2114"/>
      <c r="DJ847" s="2114"/>
      <c r="DK847" s="2114"/>
      <c r="DL847" s="2114"/>
      <c r="DM847" s="2114"/>
      <c r="DN847" s="2114"/>
      <c r="DO847" s="2114"/>
      <c r="DP847" s="2114"/>
      <c r="DQ847" s="2114"/>
      <c r="DR847" s="2114"/>
      <c r="DS847" s="2114"/>
      <c r="DT847" s="2114"/>
      <c r="DU847" s="2114"/>
      <c r="DV847" s="2114"/>
      <c r="DW847" s="2114"/>
      <c r="DX847" s="2114"/>
      <c r="DY847" s="2114"/>
      <c r="DZ847" s="2114"/>
      <c r="EA847" s="2114"/>
      <c r="EB847" s="2114"/>
      <c r="EC847" s="2114"/>
      <c r="ED847" s="2114"/>
      <c r="EE847" s="2114"/>
      <c r="EF847" s="2114"/>
      <c r="EG847" s="2114"/>
      <c r="EH847" s="2114"/>
      <c r="EI847" s="2114"/>
      <c r="EJ847" s="2114"/>
      <c r="EK847" s="2114"/>
      <c r="EL847" s="2114"/>
      <c r="EM847" s="2114"/>
      <c r="EN847" s="2114"/>
      <c r="EO847" s="2114"/>
      <c r="EP847" s="2114"/>
      <c r="EQ847" s="2114"/>
      <c r="ER847" s="2114"/>
      <c r="ES847" s="2114"/>
      <c r="ET847" s="2114"/>
      <c r="EU847" s="2114"/>
      <c r="EV847" s="2114"/>
      <c r="EW847" s="2114"/>
      <c r="EX847" s="2114"/>
      <c r="EY847" s="2114"/>
      <c r="EZ847" s="2114"/>
      <c r="FA847" s="2114"/>
      <c r="FB847" s="2114"/>
      <c r="FC847" s="2114"/>
      <c r="FD847" s="2114"/>
      <c r="FE847" s="2114"/>
      <c r="FF847" s="2114"/>
      <c r="FG847" s="2114"/>
      <c r="FH847" s="2114"/>
      <c r="FI847" s="2114"/>
      <c r="FJ847" s="2114"/>
      <c r="FK847" s="2114"/>
      <c r="FL847" s="2114"/>
      <c r="FM847" s="2114"/>
      <c r="FN847" s="2114"/>
      <c r="FO847" s="2114"/>
      <c r="FP847" s="2114"/>
      <c r="FQ847" s="2114"/>
      <c r="FR847" s="2114"/>
      <c r="FS847" s="2114"/>
      <c r="FT847" s="2114"/>
      <c r="FU847" s="2114"/>
      <c r="FV847" s="2114"/>
      <c r="FW847" s="2114"/>
      <c r="FX847" s="2114"/>
      <c r="FY847" s="2114"/>
      <c r="FZ847" s="2114"/>
      <c r="GA847" s="2114"/>
      <c r="GB847" s="2114"/>
      <c r="GC847" s="2114"/>
      <c r="GD847" s="2114"/>
      <c r="GE847" s="2114"/>
      <c r="GF847" s="2114"/>
      <c r="GG847" s="2114"/>
      <c r="GH847" s="2114"/>
      <c r="GI847" s="2114"/>
      <c r="GJ847" s="2114"/>
      <c r="GK847" s="2114"/>
      <c r="GL847" s="2114"/>
      <c r="GM847" s="2114"/>
      <c r="GN847" s="2114"/>
      <c r="GO847" s="2114"/>
      <c r="GP847" s="2114"/>
      <c r="GQ847" s="2114"/>
      <c r="GR847" s="2114"/>
      <c r="GS847" s="2114"/>
      <c r="GT847" s="2114"/>
      <c r="GU847" s="2114"/>
      <c r="GV847" s="2114"/>
      <c r="GW847" s="2114"/>
      <c r="GX847" s="2114"/>
      <c r="GY847" s="2114"/>
      <c r="GZ847" s="2114"/>
      <c r="HA847" s="2114"/>
      <c r="HB847" s="2114"/>
      <c r="HC847" s="2114"/>
      <c r="HD847" s="2114"/>
      <c r="HE847" s="2114"/>
      <c r="HF847" s="2114"/>
      <c r="HG847" s="2114"/>
      <c r="HH847" s="2114"/>
      <c r="HI847" s="2114"/>
      <c r="HJ847" s="2114"/>
      <c r="HK847" s="2114"/>
      <c r="HL847" s="2114"/>
      <c r="HM847" s="2114"/>
      <c r="HN847" s="2114"/>
      <c r="HO847" s="2114"/>
      <c r="HP847" s="2114"/>
      <c r="HQ847" s="2114"/>
      <c r="HR847" s="2114"/>
      <c r="HS847" s="2114"/>
      <c r="HT847" s="2114"/>
      <c r="HU847" s="2114"/>
      <c r="HV847" s="2114"/>
      <c r="HW847" s="2114"/>
      <c r="HX847" s="2114"/>
      <c r="HY847" s="2114"/>
      <c r="HZ847" s="2117"/>
      <c r="IA847" s="2117"/>
      <c r="IB847" s="2117"/>
      <c r="IC847" s="2117"/>
      <c r="ID847" s="2117"/>
      <c r="IE847" s="2117"/>
      <c r="IF847" s="2117"/>
      <c r="IG847" s="2117"/>
      <c r="IH847" s="2117"/>
      <c r="II847" s="2117"/>
      <c r="IJ847" s="2117"/>
      <c r="IK847" s="2117"/>
      <c r="IL847" s="2117"/>
      <c r="IM847" s="2117"/>
      <c r="IN847" s="2117"/>
      <c r="IO847" s="2117"/>
      <c r="IP847" s="2117"/>
      <c r="IQ847" s="2117"/>
      <c r="IR847" s="2117"/>
      <c r="IS847" s="2117"/>
      <c r="IT847" s="2117"/>
      <c r="IU847" s="2117"/>
      <c r="IV847" s="2117"/>
      <c r="IW847" s="2117"/>
      <c r="IX847" s="2117"/>
      <c r="IY847" s="2117"/>
      <c r="IZ847" s="2117"/>
      <c r="JA847" s="2117"/>
      <c r="JB847" s="2117"/>
      <c r="JC847" s="2117"/>
      <c r="JD847" s="2117"/>
      <c r="JE847" s="2117"/>
      <c r="JF847" s="2117"/>
      <c r="JG847" s="2117"/>
      <c r="JH847" s="2117"/>
      <c r="JI847" s="2117"/>
      <c r="JJ847" s="2117"/>
      <c r="JK847" s="2117"/>
      <c r="JL847" s="2117"/>
      <c r="JM847" s="2117"/>
      <c r="JN847" s="2117"/>
      <c r="JO847" s="2117"/>
      <c r="JP847" s="2117"/>
      <c r="JQ847" s="2117"/>
      <c r="JR847" s="2117"/>
      <c r="JS847" s="2117"/>
      <c r="JT847" s="2117"/>
      <c r="JU847" s="2117"/>
      <c r="JV847" s="2117"/>
      <c r="JW847" s="2117"/>
      <c r="JX847" s="2117"/>
      <c r="JY847" s="2117"/>
      <c r="JZ847" s="2117"/>
      <c r="KA847" s="2117"/>
      <c r="KB847" s="2117"/>
      <c r="KC847" s="2117"/>
      <c r="KD847" s="2117"/>
      <c r="KE847" s="2117"/>
      <c r="KF847" s="2117"/>
      <c r="KG847" s="2117"/>
      <c r="KH847" s="2117"/>
      <c r="KI847" s="2117"/>
      <c r="KJ847" s="2117"/>
      <c r="KK847" s="2117"/>
      <c r="KL847" s="2117"/>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4"/>
      <c r="LH847" s="2114"/>
      <c r="LI847" s="2114"/>
      <c r="LJ847" s="2114"/>
      <c r="LK847" s="2114"/>
      <c r="LL847" s="2114"/>
      <c r="LM847" s="2114"/>
      <c r="LN847" s="2114"/>
      <c r="LO847" s="2114"/>
      <c r="LP847" s="2114"/>
      <c r="LQ847" s="2114"/>
      <c r="LR847" s="2114"/>
      <c r="LS847" s="2114"/>
      <c r="LT847" s="2114"/>
      <c r="LU847" s="2114"/>
      <c r="LV847" s="2114"/>
      <c r="LW847" s="2114"/>
      <c r="LX847" s="2114"/>
      <c r="LY847" s="2114"/>
      <c r="LZ847" s="2114"/>
      <c r="MA847" s="2114"/>
      <c r="MB847" s="2114"/>
      <c r="MC847" s="2114"/>
      <c r="MD847" s="2114"/>
      <c r="ME847" s="2114"/>
      <c r="MF847" s="2114"/>
      <c r="MG847" s="2114"/>
      <c r="MH847" s="2114"/>
      <c r="MI847" s="2114"/>
      <c r="MJ847" s="2114"/>
      <c r="MK847" s="1719"/>
      <c r="ML847" s="1719"/>
      <c r="MM847" s="1719"/>
      <c r="MN847" s="1719"/>
      <c r="MO847" s="1719"/>
      <c r="MP847" s="2114"/>
      <c r="MQ847" s="2114"/>
      <c r="MR847" s="2114"/>
      <c r="MS847" s="2114"/>
      <c r="MT847" s="2114"/>
      <c r="NP847" s="2113"/>
    </row>
    <row r="848" spans="1:380" s="1818" customFormat="1" ht="12.6" customHeight="1">
      <c r="A848" s="2118"/>
      <c r="B848" s="2117" t="s">
        <v>3919</v>
      </c>
      <c r="I848" s="1719"/>
      <c r="J848" s="2117" t="s">
        <v>766</v>
      </c>
      <c r="K848" s="2117" t="s">
        <v>3309</v>
      </c>
      <c r="N848" s="2126" t="s">
        <v>6809</v>
      </c>
      <c r="O848" s="1942" t="str">
        <f>'Part VI-Revenues &amp; Expenses'!O8</f>
        <v>HUD</v>
      </c>
      <c r="P848" s="1942"/>
      <c r="Q848" s="2114"/>
      <c r="S848" s="2108" t="s">
        <v>2545</v>
      </c>
      <c r="X848" s="2114"/>
      <c r="Y848" s="2114"/>
      <c r="Z848" s="2114"/>
      <c r="AA848" s="2114"/>
      <c r="AB848" s="2114"/>
      <c r="AC848" s="2114"/>
      <c r="AD848" s="2114"/>
      <c r="AE848" s="2114"/>
      <c r="AF848" s="2114"/>
      <c r="AG848" s="2114"/>
      <c r="AH848" s="2114"/>
      <c r="AI848" s="2114"/>
      <c r="AJ848" s="2114"/>
      <c r="AK848" s="2114"/>
      <c r="AL848" s="2114"/>
      <c r="AM848" s="2114"/>
      <c r="AN848" s="2114"/>
      <c r="AO848" s="2114"/>
      <c r="AP848" s="2114"/>
      <c r="AQ848" s="2114"/>
      <c r="AR848" s="2114"/>
      <c r="AS848" s="2114"/>
      <c r="AT848" s="2114"/>
      <c r="AU848" s="2114"/>
      <c r="AV848" s="2114"/>
      <c r="AW848" s="2114"/>
      <c r="AX848" s="2114"/>
      <c r="AY848" s="2114"/>
      <c r="AZ848" s="2114"/>
      <c r="BA848" s="2114"/>
      <c r="BB848" s="2114"/>
      <c r="BC848" s="2114"/>
      <c r="BD848" s="2114"/>
      <c r="BE848" s="2114"/>
      <c r="BF848" s="2114"/>
      <c r="BG848" s="2114"/>
      <c r="BH848" s="2114"/>
      <c r="BI848" s="2114"/>
      <c r="BJ848" s="2114"/>
      <c r="BK848" s="2114"/>
      <c r="BL848" s="2114"/>
      <c r="BM848" s="2114"/>
      <c r="BN848" s="2114"/>
      <c r="BO848" s="2114"/>
      <c r="BP848" s="2114"/>
      <c r="BQ848" s="2114"/>
      <c r="BR848" s="2114"/>
      <c r="BS848" s="2114"/>
      <c r="BT848" s="2114"/>
      <c r="BU848" s="2114"/>
      <c r="BV848" s="2114"/>
      <c r="BW848" s="2114"/>
      <c r="BX848" s="2114"/>
      <c r="BY848" s="2114"/>
      <c r="BZ848" s="2114"/>
      <c r="CA848" s="2114"/>
      <c r="CB848" s="2114"/>
      <c r="CC848" s="2114"/>
      <c r="CD848" s="2114"/>
      <c r="CE848" s="2114"/>
      <c r="CF848" s="2114"/>
      <c r="CG848" s="2114"/>
      <c r="CH848" s="2114"/>
      <c r="CI848" s="2114"/>
      <c r="CJ848" s="2114"/>
      <c r="CK848" s="2114"/>
      <c r="CL848" s="2114"/>
      <c r="CM848" s="2114"/>
      <c r="CN848" s="2114"/>
      <c r="CO848" s="2114"/>
      <c r="CP848" s="2114"/>
      <c r="CQ848" s="2114"/>
      <c r="CR848" s="2114"/>
      <c r="CS848" s="2114"/>
      <c r="CT848" s="2114"/>
      <c r="CU848" s="2114"/>
      <c r="CV848" s="2114"/>
      <c r="CW848" s="2114"/>
      <c r="CX848" s="2114"/>
      <c r="CY848" s="2114"/>
      <c r="CZ848" s="2114"/>
      <c r="DA848" s="2114"/>
      <c r="DB848" s="2114"/>
      <c r="DC848" s="2114"/>
      <c r="DD848" s="2114"/>
      <c r="DE848" s="2114"/>
      <c r="DF848" s="2114"/>
      <c r="DG848" s="2114"/>
      <c r="DH848" s="2114"/>
      <c r="DI848" s="2114"/>
      <c r="DJ848" s="2114"/>
      <c r="DK848" s="2114"/>
      <c r="DL848" s="2114"/>
      <c r="DM848" s="2114"/>
      <c r="DN848" s="2114"/>
      <c r="DO848" s="2114"/>
      <c r="DP848" s="2114"/>
      <c r="DQ848" s="2114"/>
      <c r="DR848" s="2114"/>
      <c r="DS848" s="2114"/>
      <c r="DT848" s="2114"/>
      <c r="DU848" s="2114"/>
      <c r="DV848" s="2114"/>
      <c r="DW848" s="2114"/>
      <c r="DX848" s="2114"/>
      <c r="DY848" s="2114"/>
      <c r="DZ848" s="2114"/>
      <c r="EA848" s="2114"/>
      <c r="EB848" s="2114"/>
      <c r="EC848" s="2114"/>
      <c r="ED848" s="2114"/>
      <c r="EE848" s="2114"/>
      <c r="EF848" s="2114"/>
      <c r="EG848" s="2114"/>
      <c r="EH848" s="2114"/>
      <c r="EI848" s="2114"/>
      <c r="EJ848" s="2114"/>
      <c r="EK848" s="2114"/>
      <c r="EL848" s="2114"/>
      <c r="EM848" s="2114"/>
      <c r="EN848" s="2114"/>
      <c r="EO848" s="2114"/>
      <c r="EP848" s="2114"/>
      <c r="EQ848" s="2114"/>
      <c r="ER848" s="2114"/>
      <c r="ES848" s="2114"/>
      <c r="ET848" s="2114"/>
      <c r="EU848" s="2114"/>
      <c r="EV848" s="2114"/>
      <c r="EW848" s="2114"/>
      <c r="EX848" s="2114"/>
      <c r="EY848" s="2114"/>
      <c r="EZ848" s="2114"/>
      <c r="FA848" s="2114"/>
      <c r="FB848" s="2114"/>
      <c r="FC848" s="2114"/>
      <c r="FD848" s="2114"/>
      <c r="FE848" s="2114"/>
      <c r="FF848" s="2114"/>
      <c r="FG848" s="2114"/>
      <c r="FH848" s="2114"/>
      <c r="FI848" s="2114"/>
      <c r="FJ848" s="2114"/>
      <c r="FK848" s="2114"/>
      <c r="FL848" s="2114"/>
      <c r="FM848" s="2114"/>
      <c r="FN848" s="2114"/>
      <c r="FO848" s="2114"/>
      <c r="FP848" s="2114"/>
      <c r="FQ848" s="2114"/>
      <c r="FR848" s="2114"/>
      <c r="FS848" s="2114"/>
      <c r="FT848" s="2114"/>
      <c r="FU848" s="2114"/>
      <c r="FV848" s="2114"/>
      <c r="FW848" s="2114"/>
      <c r="FX848" s="2114"/>
      <c r="FY848" s="2114"/>
      <c r="FZ848" s="2114"/>
      <c r="GA848" s="2114"/>
      <c r="GB848" s="2114"/>
      <c r="GC848" s="2114"/>
      <c r="GD848" s="2114"/>
      <c r="GE848" s="2114"/>
      <c r="GF848" s="2114"/>
      <c r="GG848" s="2114"/>
      <c r="GH848" s="2114"/>
      <c r="GI848" s="2114"/>
      <c r="GJ848" s="2114"/>
      <c r="GK848" s="2114"/>
      <c r="GL848" s="2114"/>
      <c r="GM848" s="2114"/>
      <c r="GN848" s="2114"/>
      <c r="GO848" s="2114"/>
      <c r="GP848" s="2114"/>
      <c r="GQ848" s="2114"/>
      <c r="GR848" s="2114"/>
      <c r="GS848" s="2114"/>
      <c r="GT848" s="2114"/>
      <c r="GU848" s="2114"/>
      <c r="GV848" s="2114"/>
      <c r="GW848" s="2114"/>
      <c r="GX848" s="2114"/>
      <c r="GY848" s="2114"/>
      <c r="GZ848" s="2114"/>
      <c r="HA848" s="2114"/>
      <c r="HB848" s="2114"/>
      <c r="HC848" s="2114"/>
      <c r="HD848" s="2114"/>
      <c r="HE848" s="2114"/>
      <c r="HF848" s="2114"/>
      <c r="HG848" s="2114"/>
      <c r="HH848" s="2114"/>
      <c r="HI848" s="2114"/>
      <c r="HJ848" s="2114"/>
      <c r="HK848" s="2114"/>
      <c r="HL848" s="2114"/>
      <c r="HM848" s="2114"/>
      <c r="HN848" s="2114"/>
      <c r="HO848" s="2114"/>
      <c r="HP848" s="2114"/>
      <c r="HQ848" s="2114"/>
      <c r="HR848" s="2114"/>
      <c r="HS848" s="2114"/>
      <c r="HT848" s="2114"/>
      <c r="HU848" s="2114"/>
      <c r="HV848" s="2114"/>
      <c r="HW848" s="2114"/>
      <c r="HX848" s="2114"/>
      <c r="HY848" s="2114"/>
      <c r="HZ848" s="2117"/>
      <c r="IA848" s="2117"/>
      <c r="IB848" s="2117"/>
      <c r="IC848" s="2117"/>
      <c r="ID848" s="2117"/>
      <c r="IE848" s="2117"/>
      <c r="IF848" s="2117"/>
      <c r="IG848" s="2117"/>
      <c r="IH848" s="2117"/>
      <c r="II848" s="2117"/>
      <c r="IJ848" s="2117"/>
      <c r="IK848" s="2117"/>
      <c r="IL848" s="2117"/>
      <c r="IM848" s="2117"/>
      <c r="IN848" s="2117"/>
      <c r="IO848" s="2117"/>
      <c r="IP848" s="2117"/>
      <c r="IQ848" s="2117"/>
      <c r="IR848" s="2117"/>
      <c r="IS848" s="2117"/>
      <c r="IT848" s="2117"/>
      <c r="IU848" s="2117"/>
      <c r="IV848" s="2117"/>
      <c r="IW848" s="2117"/>
      <c r="IX848" s="2117"/>
      <c r="IY848" s="2488" t="s">
        <v>539</v>
      </c>
      <c r="IZ848" s="2488" t="s">
        <v>2330</v>
      </c>
      <c r="JA848" s="2488" t="s">
        <v>2331</v>
      </c>
      <c r="JB848" s="2488" t="s">
        <v>2332</v>
      </c>
      <c r="JC848" s="2488" t="s">
        <v>2333</v>
      </c>
      <c r="JD848" s="2488" t="s">
        <v>539</v>
      </c>
      <c r="JE848" s="2488" t="s">
        <v>2330</v>
      </c>
      <c r="JF848" s="2488" t="s">
        <v>2331</v>
      </c>
      <c r="JG848" s="2488" t="s">
        <v>2332</v>
      </c>
      <c r="JH848" s="2488" t="s">
        <v>2333</v>
      </c>
      <c r="JI848" s="2488" t="s">
        <v>539</v>
      </c>
      <c r="JJ848" s="2488" t="s">
        <v>2330</v>
      </c>
      <c r="JK848" s="2488" t="s">
        <v>2331</v>
      </c>
      <c r="JL848" s="2488" t="s">
        <v>2332</v>
      </c>
      <c r="JM848" s="2488" t="s">
        <v>2333</v>
      </c>
      <c r="JN848" s="2488" t="s">
        <v>539</v>
      </c>
      <c r="JO848" s="2488" t="s">
        <v>2330</v>
      </c>
      <c r="JP848" s="2488" t="s">
        <v>2331</v>
      </c>
      <c r="JQ848" s="2488" t="s">
        <v>2332</v>
      </c>
      <c r="JR848" s="2488" t="s">
        <v>2333</v>
      </c>
      <c r="JS848" s="2488" t="s">
        <v>539</v>
      </c>
      <c r="JT848" s="2488" t="s">
        <v>2330</v>
      </c>
      <c r="JU848" s="2488" t="s">
        <v>2331</v>
      </c>
      <c r="JV848" s="2488" t="s">
        <v>2332</v>
      </c>
      <c r="JW848" s="2488" t="s">
        <v>2333</v>
      </c>
      <c r="JX848" s="2488" t="s">
        <v>539</v>
      </c>
      <c r="JY848" s="2488" t="s">
        <v>2330</v>
      </c>
      <c r="JZ848" s="2488" t="s">
        <v>2331</v>
      </c>
      <c r="KA848" s="2488" t="s">
        <v>2332</v>
      </c>
      <c r="KB848" s="2488" t="s">
        <v>2333</v>
      </c>
      <c r="KC848" s="2488" t="s">
        <v>539</v>
      </c>
      <c r="KD848" s="2488" t="s">
        <v>2330</v>
      </c>
      <c r="KE848" s="2488" t="s">
        <v>2331</v>
      </c>
      <c r="KF848" s="2488" t="s">
        <v>2332</v>
      </c>
      <c r="KG848" s="2488" t="s">
        <v>2333</v>
      </c>
      <c r="KH848" s="2488" t="s">
        <v>539</v>
      </c>
      <c r="KI848" s="2488" t="s">
        <v>2330</v>
      </c>
      <c r="KJ848" s="2488" t="s">
        <v>2331</v>
      </c>
      <c r="KK848" s="2488" t="s">
        <v>2332</v>
      </c>
      <c r="KL848" s="2488" t="s">
        <v>2333</v>
      </c>
      <c r="KM848" s="2488" t="s">
        <v>539</v>
      </c>
      <c r="KN848" s="2488" t="s">
        <v>2330</v>
      </c>
      <c r="KO848" s="2488" t="s">
        <v>2331</v>
      </c>
      <c r="KP848" s="2488" t="s">
        <v>2332</v>
      </c>
      <c r="KQ848" s="2488" t="s">
        <v>2333</v>
      </c>
      <c r="KR848" s="2488" t="s">
        <v>539</v>
      </c>
      <c r="KS848" s="2488" t="s">
        <v>2330</v>
      </c>
      <c r="KT848" s="2488" t="s">
        <v>2331</v>
      </c>
      <c r="KU848" s="2488" t="s">
        <v>2332</v>
      </c>
      <c r="KV848" s="2488" t="s">
        <v>2333</v>
      </c>
      <c r="KW848" s="2488" t="s">
        <v>539</v>
      </c>
      <c r="KX848" s="2488" t="s">
        <v>2330</v>
      </c>
      <c r="KY848" s="2488" t="s">
        <v>2331</v>
      </c>
      <c r="KZ848" s="2488" t="s">
        <v>2332</v>
      </c>
      <c r="LA848" s="2488" t="s">
        <v>2333</v>
      </c>
      <c r="LB848" s="2488" t="s">
        <v>539</v>
      </c>
      <c r="LC848" s="2488" t="s">
        <v>2330</v>
      </c>
      <c r="LD848" s="2488" t="s">
        <v>2331</v>
      </c>
      <c r="LE848" s="2488" t="s">
        <v>2332</v>
      </c>
      <c r="LF848" s="2488" t="s">
        <v>2333</v>
      </c>
      <c r="LG848" s="2114"/>
      <c r="LH848" s="2114"/>
      <c r="LI848" s="2114"/>
      <c r="LJ848" s="2114"/>
      <c r="LK848" s="2114"/>
      <c r="LL848" s="2114"/>
      <c r="LM848" s="2114"/>
      <c r="LN848" s="2114"/>
      <c r="LO848" s="2114"/>
      <c r="LP848" s="2114"/>
      <c r="LQ848" s="2114"/>
      <c r="LR848" s="2114"/>
      <c r="LS848" s="2114"/>
      <c r="LT848" s="2114"/>
      <c r="LU848" s="2114"/>
      <c r="LV848" s="2114"/>
      <c r="LW848" s="2114"/>
      <c r="LX848" s="2114"/>
      <c r="LY848" s="2114"/>
      <c r="LZ848" s="2114"/>
      <c r="MA848" s="2114"/>
      <c r="MB848" s="2114"/>
      <c r="MC848" s="2114"/>
      <c r="MD848" s="2114"/>
      <c r="ME848" s="2114"/>
      <c r="MF848" s="2114"/>
      <c r="MG848" s="2114"/>
      <c r="MH848" s="2114"/>
      <c r="MI848" s="2114"/>
      <c r="MJ848" s="2114"/>
      <c r="MK848" s="1719"/>
      <c r="ML848" s="1719"/>
      <c r="MM848" s="1719"/>
      <c r="MN848" s="1719"/>
      <c r="MO848" s="1719"/>
      <c r="MP848" s="2114"/>
      <c r="MQ848" s="2114"/>
      <c r="MR848" s="2114"/>
      <c r="MS848" s="2114"/>
      <c r="MT848" s="2114"/>
      <c r="NP848" s="2113"/>
    </row>
    <row r="849" spans="1:380" s="2114" customFormat="1" ht="11.25" customHeight="1">
      <c r="A849" s="2118"/>
      <c r="B849" s="2117" t="s">
        <v>3920</v>
      </c>
      <c r="C849" s="2117" t="s">
        <v>164</v>
      </c>
      <c r="D849" s="2117" t="s">
        <v>519</v>
      </c>
      <c r="E849" s="2117" t="s">
        <v>1417</v>
      </c>
      <c r="F849" s="2117" t="s">
        <v>1417</v>
      </c>
      <c r="G849" s="1719" t="s">
        <v>6309</v>
      </c>
      <c r="H849" s="2488" t="s">
        <v>3443</v>
      </c>
      <c r="I849" s="1719"/>
      <c r="J849" s="2127" t="s">
        <v>6300</v>
      </c>
      <c r="K849" s="2117" t="s">
        <v>7132</v>
      </c>
      <c r="L849" s="1719" t="s">
        <v>138</v>
      </c>
      <c r="M849" s="1719"/>
      <c r="N849" s="2117" t="s">
        <v>2263</v>
      </c>
      <c r="O849" s="2117" t="s">
        <v>6812</v>
      </c>
      <c r="P849" s="2114" t="s">
        <v>7133</v>
      </c>
      <c r="R849" s="2117" t="s">
        <v>2544</v>
      </c>
      <c r="S849" s="2117" t="s">
        <v>2546</v>
      </c>
      <c r="T849" s="2117"/>
      <c r="HZ849" s="2114" t="s">
        <v>1405</v>
      </c>
      <c r="IA849" s="2488" t="s">
        <v>2330</v>
      </c>
      <c r="IB849" s="2488" t="s">
        <v>2331</v>
      </c>
      <c r="IC849" s="2488" t="s">
        <v>2332</v>
      </c>
      <c r="ID849" s="2488" t="s">
        <v>2333</v>
      </c>
      <c r="IE849" s="2114" t="s">
        <v>2384</v>
      </c>
      <c r="IF849" s="2114" t="s">
        <v>2384</v>
      </c>
      <c r="IG849" s="2114" t="s">
        <v>2384</v>
      </c>
      <c r="IH849" s="2114" t="s">
        <v>2384</v>
      </c>
      <c r="II849" s="2114" t="s">
        <v>2384</v>
      </c>
      <c r="IJ849" s="2114" t="s">
        <v>3121</v>
      </c>
      <c r="IK849" s="2114" t="s">
        <v>3121</v>
      </c>
      <c r="IL849" s="2114" t="s">
        <v>3121</v>
      </c>
      <c r="IM849" s="2114" t="s">
        <v>3121</v>
      </c>
      <c r="IN849" s="2114" t="s">
        <v>3121</v>
      </c>
      <c r="IO849" s="2488" t="s">
        <v>539</v>
      </c>
      <c r="IP849" s="2488" t="s">
        <v>2330</v>
      </c>
      <c r="IQ849" s="2488" t="s">
        <v>2331</v>
      </c>
      <c r="IR849" s="2488" t="s">
        <v>2332</v>
      </c>
      <c r="IS849" s="2488" t="s">
        <v>2333</v>
      </c>
      <c r="IT849" s="2488" t="s">
        <v>539</v>
      </c>
      <c r="IU849" s="2488" t="s">
        <v>2330</v>
      </c>
      <c r="IV849" s="2488" t="s">
        <v>2331</v>
      </c>
      <c r="IW849" s="2488" t="s">
        <v>2332</v>
      </c>
      <c r="IX849" s="2488" t="s">
        <v>2333</v>
      </c>
      <c r="IY849" s="2114" t="s">
        <v>6593</v>
      </c>
      <c r="IZ849" s="2114" t="s">
        <v>6593</v>
      </c>
      <c r="JA849" s="2114" t="s">
        <v>6593</v>
      </c>
      <c r="JB849" s="2114" t="s">
        <v>6593</v>
      </c>
      <c r="JC849" s="2114" t="s">
        <v>6593</v>
      </c>
      <c r="JD849" s="2114" t="s">
        <v>6594</v>
      </c>
      <c r="JE849" s="2114" t="s">
        <v>6594</v>
      </c>
      <c r="JF849" s="2114" t="s">
        <v>6594</v>
      </c>
      <c r="JG849" s="2114" t="s">
        <v>6594</v>
      </c>
      <c r="JH849" s="2114" t="s">
        <v>6594</v>
      </c>
      <c r="JI849" s="2114" t="s">
        <v>6596</v>
      </c>
      <c r="JJ849" s="2114" t="s">
        <v>6596</v>
      </c>
      <c r="JK849" s="2114" t="s">
        <v>6596</v>
      </c>
      <c r="JL849" s="2114" t="s">
        <v>6596</v>
      </c>
      <c r="JM849" s="2114" t="s">
        <v>6596</v>
      </c>
      <c r="JN849" s="2114" t="s">
        <v>6597</v>
      </c>
      <c r="JO849" s="2114" t="s">
        <v>6597</v>
      </c>
      <c r="JP849" s="2114" t="s">
        <v>6597</v>
      </c>
      <c r="JQ849" s="2114" t="s">
        <v>6597</v>
      </c>
      <c r="JR849" s="2114" t="s">
        <v>6597</v>
      </c>
      <c r="JS849" s="2114" t="s">
        <v>6598</v>
      </c>
      <c r="JT849" s="2114" t="s">
        <v>6598</v>
      </c>
      <c r="JU849" s="2114" t="s">
        <v>6598</v>
      </c>
      <c r="JV849" s="2114" t="s">
        <v>6598</v>
      </c>
      <c r="JW849" s="2114" t="s">
        <v>6598</v>
      </c>
      <c r="JX849" s="2114" t="s">
        <v>6813</v>
      </c>
      <c r="JY849" s="2114" t="s">
        <v>6813</v>
      </c>
      <c r="JZ849" s="2114" t="s">
        <v>6813</v>
      </c>
      <c r="KA849" s="2114" t="s">
        <v>6813</v>
      </c>
      <c r="KB849" s="2114" t="s">
        <v>6813</v>
      </c>
      <c r="KC849" s="2114" t="s">
        <v>7062</v>
      </c>
      <c r="KD849" s="2114" t="s">
        <v>7062</v>
      </c>
      <c r="KE849" s="2114" t="s">
        <v>7062</v>
      </c>
      <c r="KF849" s="2114" t="s">
        <v>7062</v>
      </c>
      <c r="KG849" s="2114" t="s">
        <v>7062</v>
      </c>
      <c r="KH849" s="2114" t="s">
        <v>7063</v>
      </c>
      <c r="KI849" s="2114" t="s">
        <v>7063</v>
      </c>
      <c r="KJ849" s="2114" t="s">
        <v>7063</v>
      </c>
      <c r="KK849" s="2114" t="s">
        <v>7063</v>
      </c>
      <c r="KL849" s="2114" t="s">
        <v>7063</v>
      </c>
      <c r="KM849" s="2114" t="s">
        <v>6600</v>
      </c>
      <c r="KN849" s="2114" t="s">
        <v>6600</v>
      </c>
      <c r="KO849" s="2114" t="s">
        <v>6600</v>
      </c>
      <c r="KP849" s="2114" t="s">
        <v>6600</v>
      </c>
      <c r="KQ849" s="2114" t="s">
        <v>6600</v>
      </c>
      <c r="KR849" s="2114" t="s">
        <v>6814</v>
      </c>
      <c r="KS849" s="2114" t="s">
        <v>6814</v>
      </c>
      <c r="KT849" s="2114" t="s">
        <v>6814</v>
      </c>
      <c r="KU849" s="2114" t="s">
        <v>6814</v>
      </c>
      <c r="KV849" s="2114" t="s">
        <v>6814</v>
      </c>
      <c r="KW849" s="2114" t="s">
        <v>7064</v>
      </c>
      <c r="KX849" s="2114" t="s">
        <v>7064</v>
      </c>
      <c r="KY849" s="2114" t="s">
        <v>7064</v>
      </c>
      <c r="KZ849" s="2114" t="s">
        <v>7064</v>
      </c>
      <c r="LA849" s="2114" t="s">
        <v>7064</v>
      </c>
      <c r="LB849" s="2114" t="s">
        <v>7065</v>
      </c>
      <c r="LC849" s="2114" t="s">
        <v>7065</v>
      </c>
      <c r="LD849" s="2114" t="s">
        <v>7065</v>
      </c>
      <c r="LE849" s="2114" t="s">
        <v>7065</v>
      </c>
      <c r="LF849" s="2114" t="s">
        <v>7065</v>
      </c>
      <c r="MK849" s="1719"/>
      <c r="ML849" s="1719"/>
      <c r="MM849" s="1719"/>
      <c r="MN849" s="1719"/>
      <c r="MO849" s="1719"/>
      <c r="NP849" s="1926"/>
    </row>
    <row r="850" spans="1:380" s="2114" customFormat="1" ht="11.25" customHeight="1">
      <c r="A850" s="2118"/>
      <c r="B850" s="2128" t="s">
        <v>4128</v>
      </c>
      <c r="C850" s="2117" t="s">
        <v>163</v>
      </c>
      <c r="D850" s="2117" t="s">
        <v>165</v>
      </c>
      <c r="E850" s="2117" t="s">
        <v>1418</v>
      </c>
      <c r="F850" s="2117" t="s">
        <v>1231</v>
      </c>
      <c r="G850" s="1719"/>
      <c r="H850" s="2117" t="s">
        <v>6310</v>
      </c>
      <c r="I850" s="1719"/>
      <c r="J850" s="2127"/>
      <c r="K850" s="2129" t="s">
        <v>338</v>
      </c>
      <c r="L850" s="2117" t="s">
        <v>1469</v>
      </c>
      <c r="M850" s="2117" t="s">
        <v>513</v>
      </c>
      <c r="N850" s="2117" t="s">
        <v>1417</v>
      </c>
      <c r="O850" s="2117" t="s">
        <v>6829</v>
      </c>
      <c r="R850" s="2117" t="s">
        <v>1419</v>
      </c>
      <c r="S850" s="2117" t="s">
        <v>2547</v>
      </c>
      <c r="T850" s="1852" t="s">
        <v>1761</v>
      </c>
      <c r="W850" s="1852"/>
      <c r="IA850" s="2488" t="s">
        <v>2383</v>
      </c>
      <c r="IB850" s="2488" t="s">
        <v>2383</v>
      </c>
      <c r="IC850" s="2488" t="s">
        <v>2383</v>
      </c>
      <c r="ID850" s="2488" t="s">
        <v>2383</v>
      </c>
      <c r="IO850" s="2488" t="s">
        <v>2385</v>
      </c>
      <c r="IP850" s="2488" t="s">
        <v>2385</v>
      </c>
      <c r="IQ850" s="2488" t="s">
        <v>2385</v>
      </c>
      <c r="IR850" s="2488" t="s">
        <v>2385</v>
      </c>
      <c r="IS850" s="2488" t="s">
        <v>2385</v>
      </c>
      <c r="IT850" s="2488" t="s">
        <v>3122</v>
      </c>
      <c r="IU850" s="2488" t="s">
        <v>3122</v>
      </c>
      <c r="IV850" s="2488" t="s">
        <v>3122</v>
      </c>
      <c r="IW850" s="2488" t="s">
        <v>3122</v>
      </c>
      <c r="IX850" s="2488" t="s">
        <v>3122</v>
      </c>
      <c r="MK850" s="1719"/>
      <c r="ML850" s="1719"/>
      <c r="MM850" s="1719"/>
      <c r="MN850" s="1719"/>
      <c r="MO850" s="1719"/>
      <c r="NP850" s="1926"/>
    </row>
    <row r="851" spans="1:380" s="1852" customFormat="1" ht="13.9" customHeight="1">
      <c r="A851" s="2108" t="str">
        <f>IF(AND(E851&gt;0,OR(B851="",C851="",D851="",F851="",G851="", H851="",I851="",N851="",O851="",P851="",Q851="")),1,"")</f>
        <v/>
      </c>
      <c r="B851" s="2130" t="str">
        <f>'Part VI-Revenues &amp; Expenses'!B11</f>
        <v>N/A-CS</v>
      </c>
      <c r="C851" s="2131">
        <f>'Part VI-Revenues &amp; Expenses'!C11</f>
        <v>0</v>
      </c>
      <c r="D851" s="2132">
        <f>'Part VI-Revenues &amp; Expenses'!D11</f>
        <v>0</v>
      </c>
      <c r="E851" s="2133">
        <f>'Part VI-Revenues &amp; Expenses'!E11</f>
        <v>0</v>
      </c>
      <c r="F851" s="2133">
        <f>'Part VI-Revenues &amp; Expenses'!F11</f>
        <v>0</v>
      </c>
      <c r="G851" s="2133">
        <f>'Part VI-Revenues &amp; Expenses'!G11</f>
        <v>0</v>
      </c>
      <c r="H851" s="2133">
        <f>'Part VI-Revenues &amp; Expenses'!H11</f>
        <v>0</v>
      </c>
      <c r="I851" s="2133">
        <f>'Part VI-Revenues &amp; Expenses'!I11</f>
        <v>0</v>
      </c>
      <c r="J851" s="2133">
        <f>'Part VI-Revenues &amp; Expenses'!J11</f>
        <v>0</v>
      </c>
      <c r="K851" s="2134">
        <f>'Part VI-Revenues &amp; Expenses'!K11</f>
        <v>0</v>
      </c>
      <c r="L851" s="2135">
        <f t="shared" ref="L851:L888" si="0">MAX(0,H851-I851-J851)</f>
        <v>0</v>
      </c>
      <c r="M851" s="2135">
        <f t="shared" ref="M851:M888" si="1">MAX(0,E851*L851)</f>
        <v>0</v>
      </c>
      <c r="N851" s="1916">
        <f>'Part VI-Revenues &amp; Expenses'!N11</f>
        <v>0</v>
      </c>
      <c r="O851" s="2136">
        <f>'Part VI-Revenues &amp; Expenses'!O11</f>
        <v>0</v>
      </c>
      <c r="P851" s="1916">
        <f>'Part VI-Revenues &amp; Expenses'!P11</f>
        <v>0</v>
      </c>
      <c r="Q851" s="2137">
        <f>'Part VI-Revenues &amp; Expenses'!Q11</f>
        <v>0</v>
      </c>
      <c r="R851" s="2138"/>
      <c r="S851" s="2139"/>
      <c r="T851" s="2043"/>
      <c r="U851" s="2043"/>
      <c r="V851" s="2043"/>
      <c r="W851" s="2043"/>
      <c r="X851" s="1852" t="str">
        <f t="shared" ref="X851:X888" si="2">IF(AND(C851="Efficiency",B851=80,NOT(N851="Common Space")),E851,"")</f>
        <v/>
      </c>
      <c r="Y851" s="1852" t="str">
        <f t="shared" ref="Y851:Y888" si="3">IF(AND(C851=1,B851=80,NOT(N851="Common Space")),E851,"")</f>
        <v/>
      </c>
      <c r="Z851" s="1852" t="str">
        <f t="shared" ref="Z851:Z888" si="4">IF(AND(C851=2,B851=80,NOT(N851="Common Space")),E851,"")</f>
        <v/>
      </c>
      <c r="AA851" s="1852" t="str">
        <f t="shared" ref="AA851:AA888" si="5">IF(AND(C851=3,B851=80,NOT(N851="Common Space")),E851,"")</f>
        <v/>
      </c>
      <c r="AB851" s="1852" t="str">
        <f t="shared" ref="AB851:AB888" si="6">IF(AND(C851=4,B851=80,NOT(N851="Common Space")),E851,"")</f>
        <v/>
      </c>
      <c r="AC851" s="1852" t="str">
        <f t="shared" ref="AC851:AC888" si="7">IF(AND(C851="Efficiency",B851=70,NOT(N851="Common Space")),E851,"")</f>
        <v/>
      </c>
      <c r="AD851" s="1852" t="str">
        <f t="shared" ref="AD851:AD888" si="8">IF(AND(C851=1,B851=70,NOT(N851="Common Space")),E851,"")</f>
        <v/>
      </c>
      <c r="AE851" s="1852" t="str">
        <f t="shared" ref="AE851:AE888" si="9">IF(AND(C851=2,B851=70,NOT(N851="Common Space")),E851,"")</f>
        <v/>
      </c>
      <c r="AF851" s="1852" t="str">
        <f t="shared" ref="AF851:AF888" si="10">IF(AND(C851=3,B851=70,NOT(N851="Common Space")),E851,"")</f>
        <v/>
      </c>
      <c r="AG851" s="1852" t="str">
        <f t="shared" ref="AG851:AG888" si="11">IF(AND(C851=4,B851=70,NOT(N851="Common Space")),E851,"")</f>
        <v/>
      </c>
      <c r="AH851" s="1852" t="str">
        <f t="shared" ref="AH851:AH888" si="12">IF(AND(C851="Efficiency",B851=60,NOT(N851="Common Space")),E851,"")</f>
        <v/>
      </c>
      <c r="AI851" s="1852" t="str">
        <f t="shared" ref="AI851:AI888" si="13">IF(AND(C851=1,B851=60,NOT(N851="Common Space")),E851,"")</f>
        <v/>
      </c>
      <c r="AJ851" s="1852" t="str">
        <f t="shared" ref="AJ851:AJ888" si="14">IF(AND(C851=2,B851=60,NOT(N851="Common Space")),E851,"")</f>
        <v/>
      </c>
      <c r="AK851" s="1852" t="str">
        <f t="shared" ref="AK851:AK888" si="15">IF(AND(C851=3,B851=60,NOT(N851="Common Space")),E851,"")</f>
        <v/>
      </c>
      <c r="AL851" s="1852" t="str">
        <f t="shared" ref="AL851:AL888" si="16">IF(AND(C851=4,B851=60,NOT(N851="Common Space")),E851,"")</f>
        <v/>
      </c>
      <c r="AM851" s="1852" t="str">
        <f t="shared" ref="AM851:AM888" si="17">IF(AND(C851="Efficiency",B851=50,NOT(N851="Common Space")),E851,"")</f>
        <v/>
      </c>
      <c r="AN851" s="1852" t="str">
        <f t="shared" ref="AN851:AN888" si="18">IF(AND(C851=1,B851=50,NOT(N851="Common Space")),E851,"")</f>
        <v/>
      </c>
      <c r="AO851" s="1852" t="str">
        <f t="shared" ref="AO851:AO888" si="19">IF(AND(C851=2,B851=50,NOT(N851="Common Space")),E851,"")</f>
        <v/>
      </c>
      <c r="AP851" s="1852" t="str">
        <f t="shared" ref="AP851:AP888" si="20">IF(AND(C851=3,B851=50,NOT(N851="Common Space")),E851,"")</f>
        <v/>
      </c>
      <c r="AQ851" s="1852" t="str">
        <f t="shared" ref="AQ851:AQ888" si="21">IF(AND(C851=4,B851=50,NOT(N851="Common Space")),E851,"")</f>
        <v/>
      </c>
      <c r="AR851" s="1852" t="str">
        <f t="shared" ref="AR851:AR888" si="22">IF(AND(C851="Efficiency",B851=40,NOT(N851="Common Space")),E851,"")</f>
        <v/>
      </c>
      <c r="AS851" s="1852" t="str">
        <f t="shared" ref="AS851:AS888" si="23">IF(AND(C851=1,B851=40,NOT(N851="Common Space")),E851,"")</f>
        <v/>
      </c>
      <c r="AT851" s="1852" t="str">
        <f t="shared" ref="AT851:AT888" si="24">IF(AND(C851=2,B851=40,NOT(N851="Common Space")),E851,"")</f>
        <v/>
      </c>
      <c r="AU851" s="1852" t="str">
        <f t="shared" ref="AU851:AU888" si="25">IF(AND(C851=3,B851=40,NOT(N851="Common Space")),E851,"")</f>
        <v/>
      </c>
      <c r="AV851" s="1852" t="str">
        <f t="shared" ref="AV851:AV888" si="26">IF(AND(C851=4,B851=40,NOT(N851="Common Space")),E851,"")</f>
        <v/>
      </c>
      <c r="AW851" s="1852" t="str">
        <f t="shared" ref="AW851:AW888" si="27">IF(AND(C851="Efficiency",B851=30,NOT(N851="Common Space")),E851,"")</f>
        <v/>
      </c>
      <c r="AX851" s="1852" t="str">
        <f t="shared" ref="AX851:AX888" si="28">IF(AND(C851=1,B851=30,NOT(N851="Common Space")),E851,"")</f>
        <v/>
      </c>
      <c r="AY851" s="1852" t="str">
        <f t="shared" ref="AY851:AY888" si="29">IF(AND(C851=2,B851=30,NOT(N851="Common Space")),E851,"")</f>
        <v/>
      </c>
      <c r="AZ851" s="1852" t="str">
        <f t="shared" ref="AZ851:AZ888" si="30">IF(AND(C851=3,B851=30,NOT(N851="Common Space")),E851,"")</f>
        <v/>
      </c>
      <c r="BA851" s="1852" t="str">
        <f t="shared" ref="BA851:BA888" si="31">IF(AND(C851=4,B851=30,NOT(N851="Common Space")),E851,"")</f>
        <v/>
      </c>
      <c r="BB851" s="1852" t="str">
        <f t="shared" ref="BB851:BB888" si="32">IF(AND(C851="Efficiency",B851=20,NOT(N851="Common Space")),E851,"")</f>
        <v/>
      </c>
      <c r="BC851" s="1852" t="str">
        <f t="shared" ref="BC851:BC888" si="33">IF(AND(C851=1,B851=20,NOT(N851="Common Space")),E851,"")</f>
        <v/>
      </c>
      <c r="BD851" s="1852" t="str">
        <f t="shared" ref="BD851:BD888" si="34">IF(AND(C851=2,B851=20,NOT(N851="Common Space")),E851,"")</f>
        <v/>
      </c>
      <c r="BE851" s="1852" t="str">
        <f t="shared" ref="BE851:BE888" si="35">IF(AND(C851=3,B851=20,NOT(N851="Common Space")),E851,"")</f>
        <v/>
      </c>
      <c r="BF851" s="1852" t="str">
        <f t="shared" ref="BF851:BF888" si="36">IF(AND(C851=4,B851=20,NOT(N851="Common Space")),E851,"")</f>
        <v/>
      </c>
      <c r="BG851" s="1852" t="str">
        <f t="shared" ref="BG851:BG888" si="37">IF(AND(C851="Efficiency",B851="Unrestricted",NOT(N851="Common Space")),E851,"")</f>
        <v/>
      </c>
      <c r="BH851" s="1852" t="str">
        <f t="shared" ref="BH851:BH888" si="38">IF(AND(C851=1,B851="Unrestricted",NOT(N851="Common Space")),E851,"")</f>
        <v/>
      </c>
      <c r="BI851" s="1852" t="str">
        <f t="shared" ref="BI851:BI888" si="39">IF(AND(C851=2,B851="Unrestricted",NOT(N851="Common Space")),E851,"")</f>
        <v/>
      </c>
      <c r="BJ851" s="1852" t="str">
        <f t="shared" ref="BJ851:BJ888" si="40">IF(AND(C851=3,B851="Unrestricted",NOT(N851="Common Space")),E851,"")</f>
        <v/>
      </c>
      <c r="BK851" s="1852" t="str">
        <f t="shared" ref="BK851:BK888" si="41">IF(AND(C851=4,B851="Unrestricted",NOT(N851="Common Space")),E851,"")</f>
        <v/>
      </c>
      <c r="BL851" s="1852" t="str">
        <f t="shared" ref="BL851:BL888" si="42">IF(OR(AND($C851="Efficiency",NOT($K851=""),NOT($K851="PHA Oper Sub"),$B851=20,NOT($N851="Common Space")),AND($C851="Efficiency",NOT($K851=""),NOT($K851="PHA Oper Sub"),$B851="HOME 20",NOT($N851="Common Space"))),$E851,"")</f>
        <v/>
      </c>
      <c r="BM851" s="1852" t="str">
        <f t="shared" ref="BM851:BM888" si="43">IF(OR(AND($C851=1,NOT($K851=""),NOT($K851="PHA Oper Sub"),$B851=20,NOT($N851="Common Space")),AND($C851=1,NOT($K851=""),NOT($K851="PHA Oper Sub"),$B851="HOME 20",NOT($N851="Common Space"))),$E851,"")</f>
        <v/>
      </c>
      <c r="BN851" s="1852" t="str">
        <f t="shared" ref="BN851:BN888" si="44">IF(OR(AND($C851=2,NOT($K851=""),NOT($K851="PHA Oper Sub"),$B851=20,NOT($N851="Common Space")),AND($C851=2,NOT($K851=""),NOT($K851="PHA Oper Sub"),$B851="HOME 20",NOT($N851="Common Space"))),$E851,"")</f>
        <v/>
      </c>
      <c r="BO851" s="1852" t="str">
        <f t="shared" ref="BO851:BO888" si="45">IF(OR(AND($C851=3,NOT($K851=""),NOT($K851="PHA Oper Sub"),$B851=20,NOT($N851="Common Space")),AND($C851=3,NOT($K851=""),NOT($K851="PHA Oper Sub"),$B851="HOME 20",NOT($N851="Common Space"))),$E851,"")</f>
        <v/>
      </c>
      <c r="BP851" s="1852" t="str">
        <f t="shared" ref="BP851:BP888" si="46">IF(OR(AND($C851=4,NOT($K851=""),NOT($K851="PHA Oper Sub"),$B851=20,NOT($N851="Common Space")),AND($C851=4,NOT($K851=""),NOT($K851="PHA Oper Sub"),$B851="HOME 20",NOT($N851="Common Space"))),$E851,"")</f>
        <v/>
      </c>
      <c r="BQ851" s="1852" t="str">
        <f t="shared" ref="BQ851:BQ888" si="47">IF(OR(AND($C851="Efficiency",NOT($K851=""),NOT($K851="PHA Oper Sub"),$B851=30,NOT($N851="Common Space")),AND($C851="Efficiency",NOT($K851=""),NOT($K851="PHA Oper Sub"),$B851="HOME 30",NOT($N851="Common Space"))),$E851,"")</f>
        <v/>
      </c>
      <c r="BR851" s="1852" t="str">
        <f t="shared" ref="BR851:BR888" si="48">IF(OR(AND($C851=1,NOT($K851=""),NOT($K851="PHA Oper Sub"),$B851=30,NOT($N851="Common Space")),AND($C851=1,NOT($K851=""),NOT($K851="PHA Oper Sub"),$B851="HOME 30",NOT($N851="Common Space"))),$E851,"")</f>
        <v/>
      </c>
      <c r="BS851" s="1852" t="str">
        <f t="shared" ref="BS851:BS888" si="49">IF(OR(AND($C851=2,NOT($K851=""),NOT($K851="PHA Oper Sub"),$B851=30,NOT($N851="Common Space")),AND($C851=2,NOT($K851=""),NOT($K851="PHA Oper Sub"),$B851="HOME 30",NOT($N851="Common Space"))),$E851,"")</f>
        <v/>
      </c>
      <c r="BT851" s="1852" t="str">
        <f t="shared" ref="BT851:BT888" si="50">IF(OR(AND($C851=3,NOT($K851=""),NOT($K851="PHA Oper Sub"),$B851=30,NOT($N851="Common Space")),AND($C851=3,NOT($K851=""),NOT($K851="PHA Oper Sub"),$B851="HOME 30",NOT($N851="Common Space"))),$E851,"")</f>
        <v/>
      </c>
      <c r="BU851" s="1852" t="str">
        <f t="shared" ref="BU851:BU888" si="51">IF(OR(AND($C851=4,NOT($K851=""),NOT($K851="PHA Oper Sub"),$B851=30,NOT($N851="Common Space")),AND($C851=4,NOT($K851=""),NOT($K851="PHA Oper Sub"),$B851="HOME 30",NOT($N851="Common Space"))),$E851,"")</f>
        <v/>
      </c>
      <c r="BV851" s="1852" t="str">
        <f t="shared" ref="BV851:BV888" si="52">IF(OR(AND($C851="Efficiency",NOT($K851=""),NOT($K851="PHA Oper Sub"),$B851=40,NOT($N851="Common Space")),AND($C851="Efficiency",NOT($K851=""),NOT($K851="PHA Oper Sub"),$B851="HOME 40",NOT($N851="Common Space"))),$E851,"")</f>
        <v/>
      </c>
      <c r="BW851" s="1852" t="str">
        <f t="shared" ref="BW851:BW888" si="53">IF(OR(AND($C851=1,NOT($K851=""),NOT($K851="PHA Oper Sub"),$B851=40,NOT($N851="Common Space")),AND($C851=1,NOT($K851=""),NOT($K851="PHA Oper Sub"),$B851="HOME 40",NOT($N851="Common Space"))),$E851,"")</f>
        <v/>
      </c>
      <c r="BX851" s="1852" t="str">
        <f t="shared" ref="BX851:BX888" si="54">IF(OR(AND($C851=2,NOT($K851=""),NOT($K851="PHA Oper Sub"),$B851=40,NOT($N851="Common Space")),AND($C851=2,NOT($K851=""),NOT($K851="PHA Oper Sub"),$B851="HOME 40",NOT($N851="Common Space"))),$E851,"")</f>
        <v/>
      </c>
      <c r="BY851" s="1852" t="str">
        <f t="shared" ref="BY851:BY888" si="55">IF(OR(AND($C851=3,NOT($K851=""),NOT($K851="PHA Oper Sub"),$B851=40,NOT($N851="Common Space")),AND($C851=3,NOT($K851=""),NOT($K851="PHA Oper Sub"),$B851="HOME 40",NOT($N851="Common Space"))),$E851,"")</f>
        <v/>
      </c>
      <c r="BZ851" s="1852" t="str">
        <f t="shared" ref="BZ851:BZ888" si="56">IF(OR(AND($C851=4,NOT($K851=""),NOT($K851="PHA Oper Sub"),$B851=40,NOT($N851="Common Space")),AND($C851=4,NOT($K851=""),NOT($K851="PHA Oper Sub"),$B851="HOME 40",NOT($N851="Common Space"))),$E851,"")</f>
        <v/>
      </c>
      <c r="CA851" s="1852" t="str">
        <f t="shared" ref="CA851:CA888" si="57">IF(OR(AND($C851="Efficiency",NOT($K851=""),NOT($K851="PHA Oper Sub"),NOT($K851=0),$B851=50,NOT($N851="Common Space")),AND($C851="Efficiency",NOT($K851=""),NOT($K851=0),NOT($K851="PHA Oper Sub"),$B851="HOME 50",NOT($N851="Common Space"))),$E851,"")</f>
        <v/>
      </c>
      <c r="CB851" s="1852" t="str">
        <f t="shared" ref="CB851:CB888" si="58">IF(OR(AND($C851=1,NOT($K851=""),NOT($K851=0),NOT($K851="PHA Oper Sub"),$B851=50,NOT($N851="Common Space")),AND($C851=1,NOT($K851=""),NOT($K851=0),NOT($K851="PHA Oper Sub"),$B851="HOME 50",NOT($N851="Common Space"))),$E851,"")</f>
        <v/>
      </c>
      <c r="CC851" s="1852" t="str">
        <f t="shared" ref="CC851:CC888" si="59">IF(OR(AND($C851=2,NOT($K851=""),NOT($K851=0),NOT($K851="PHA Oper Sub"),$B851=50,NOT($N851="Common Space")),AND($C851=2,NOT($K851=""),NOT($K851=0),NOT($K851="PHA Oper Sub"),$B851="HOME 50",NOT($N851="Common Space"))),$E851,"")</f>
        <v/>
      </c>
      <c r="CD851" s="1852" t="str">
        <f t="shared" ref="CD851:CD888" si="60">IF(OR(AND($C851=3,NOT($K851=""),NOT($K851=0),NOT($K851="PHA Oper Sub"),$B851=50,NOT($N851="Common Space")),AND($C851=3,NOT($K851=""),NOT($K851=0),NOT($K851="PHA Oper Sub"),$B851="HOME 50",NOT($N851="Common Space"))),$E851,"")</f>
        <v/>
      </c>
      <c r="CE851" s="1852" t="str">
        <f t="shared" ref="CE851:CE888" si="61">IF(OR(AND($C851=4,NOT($K851=""),NOT($K851=0),NOT($K851="PHA Oper Sub"),$B851=50,NOT($N851="Common Space")),AND($C851=4,NOT($K851=""),NOT($K851=0),NOT($K851="PHA Oper Sub"),$B851="HOME 50",NOT($N851="Common Space"))),$E851,"")</f>
        <v/>
      </c>
      <c r="CF851" s="1852" t="str">
        <f t="shared" ref="CF851:CF888" si="62">IF(OR(AND($C851="Efficiency",NOT($K851=""),NOT($K851=0),NOT($K851="PHA Oper Sub"),$B851=60,NOT($N851="Common Space")),AND($C851="Efficiency",NOT($K851=""),NOT($K851=0),NOT($K851="PHA Oper Sub"),$B851="HOME 60",NOT($N851="Common Space"))),$E851,"")</f>
        <v/>
      </c>
      <c r="CG851" s="1852" t="str">
        <f t="shared" ref="CG851:CG888" si="63">IF(OR(AND($C851=1,NOT($K851=""),NOT($K851=0),NOT($K851="PHA Oper Sub"),$B851=60,NOT($N851="Common Space")),AND($C851=1,NOT($K851=""),NOT($K851=0),NOT($K851="PHA Oper Sub"),$B851="HOME 60",NOT($N851="Common Space"))),$E851,"")</f>
        <v/>
      </c>
      <c r="CH851" s="1852" t="str">
        <f t="shared" ref="CH851:CH888" si="64">IF(OR(AND($C851=2,NOT($K851=""),NOT($K851=0),NOT($K851="PHA Oper Sub"),$B851=60,NOT($N851="Common Space")),AND($C851=2,NOT($K851=""),NOT($K851=0),NOT($K851="PHA Oper Sub"),$B851="HOME 60",NOT($N851="Common Space"))),$E851,"")</f>
        <v/>
      </c>
      <c r="CI851" s="1852" t="str">
        <f t="shared" ref="CI851:CI888" si="65">IF(OR(AND($C851=3,NOT($K851=""),NOT($K851=0),NOT($K851="PHA Oper Sub"),$B851=60,NOT($N851="Common Space")),AND($C851=3,NOT($K851=""),NOT($K851=0),NOT($K851="PHA Oper Sub"),$B851="HOME 60",NOT($N851="Common Space"))),$E851,"")</f>
        <v/>
      </c>
      <c r="CJ851" s="1852" t="str">
        <f t="shared" ref="CJ851:CJ888" si="66">IF(OR(AND($C851=4,NOT($K851=""),NOT($K851=0),NOT($K851="PHA Oper Sub"),$B851=60,NOT($N851="Common Space")),AND($C851=4,NOT($K851=""),NOT($K851=0),NOT($K851="PHA Oper Sub"),$B851="HOME 60",NOT($N851="Common Space"))),$E851,"")</f>
        <v/>
      </c>
      <c r="CK851" s="1852" t="str">
        <f t="shared" ref="CK851:CK888" si="67">IF(OR(AND($C851="Efficiency",NOT($K851=""),NOT($K851="PHA Oper Sub"),$B851=70,NOT($N851="Common Space")),AND($C851="Efficiency",NOT($K851=""),NOT($K851="PHA Oper Sub"),$B851="HOME 70",NOT($N851="Common Space"))),$E851,"")</f>
        <v/>
      </c>
      <c r="CL851" s="1852" t="str">
        <f t="shared" ref="CL851:CL888" si="68">IF(OR(AND($C851=1,NOT($K851=""),NOT($K851="PHA Oper Sub"),$B851=70,NOT($N851="Common Space")),AND($C851=1,NOT($K851=""),NOT($K851="PHA Oper Sub"),$B851="HOME 70",NOT($N851="Common Space"))),$E851,"")</f>
        <v/>
      </c>
      <c r="CM851" s="1852" t="str">
        <f t="shared" ref="CM851:CM888" si="69">IF(OR(AND($C851=2,NOT($K851=""),NOT($K851="PHA Oper Sub"),$B851=70,NOT($N851="Common Space")),AND($C851=2,NOT($K851=""),NOT($K851="PHA Oper Sub"),$B851="HOME 70",NOT($N851="Common Space"))),$E851,"")</f>
        <v/>
      </c>
      <c r="CN851" s="1852" t="str">
        <f t="shared" ref="CN851:CN888" si="70">IF(OR(AND($C851=3,NOT($K851=""),NOT($K851="PHA Oper Sub"),$B851=70,NOT($N851="Common Space")),AND($C851=3,NOT($K851=""),NOT($K851="PHA Oper Sub"),$B851="HOME 70",NOT($N851="Common Space"))),$E851,"")</f>
        <v/>
      </c>
      <c r="CO851" s="1852" t="str">
        <f t="shared" ref="CO851:CO888" si="71">IF(OR(AND($C851=4,NOT($K851=""),NOT($K851="PHA Oper Sub"),$B851=70,NOT($N851="Common Space")),AND($C851=4,NOT($K851=""),NOT($K851="PHA Oper Sub"),$B851="HOME 70",NOT($N851="Common Space"))),$E851,"")</f>
        <v/>
      </c>
      <c r="CP851" s="1852" t="str">
        <f t="shared" ref="CP851:CP888" si="72">IF(OR(AND($C851="Efficiency",NOT($K851=""),NOT($K851="PHA Oper Sub"),$B851=80,NOT($N851="Common Space")),AND($C851="Efficiency",NOT($K851=""),NOT($K851="PHA Oper Sub"),$B851="HOME 80",NOT($N851="Common Space"))),$E851,"")</f>
        <v/>
      </c>
      <c r="CQ851" s="1852" t="str">
        <f t="shared" ref="CQ851:CQ888" si="73">IF(OR(AND($C851=1,NOT($K851=""),NOT($K851="PHA Oper Sub"),$B851=80,NOT($N851="Common Space")),AND($C851=1,NOT($K851=""),NOT($K851="PHA Oper Sub"),$B851="HOME 80",NOT($N851="Common Space"))),$E851,"")</f>
        <v/>
      </c>
      <c r="CR851" s="1852" t="str">
        <f t="shared" ref="CR851:CR888" si="74">IF(OR(AND($C851=2,NOT($K851=""),NOT($K851="PHA Oper Sub"),$B851=80,NOT($N851="Common Space")),AND($C851=2,NOT($K851=""),NOT($K851="PHA Oper Sub"),$B851="HOME 80",NOT($N851="Common Space"))),$E851,"")</f>
        <v/>
      </c>
      <c r="CS851" s="1852" t="str">
        <f t="shared" ref="CS851:CS888" si="75">IF(OR(AND($C851=3,NOT($K851=""),NOT($K851="PHA Oper Sub"),$B851=80,NOT($N851="Common Space")),AND($C851=3,NOT($K851=""),NOT($K851="PHA Oper Sub"),$B851="HOME 80",NOT($N851="Common Space"))),$E851,"")</f>
        <v/>
      </c>
      <c r="CT851" s="1852" t="str">
        <f t="shared" ref="CT851:CT888" si="76">IF(OR(AND($C851=4,NOT($K851=""),NOT($K851="PHA Oper Sub"),$B851=80,NOT($N851="Common Space")),AND($C851=4,NOT($K851=""),NOT($K851="PHA Oper Sub"),$B851="HOME 80",NOT($N851="Common Space"))),$E851,"")</f>
        <v/>
      </c>
      <c r="CU851" s="1852" t="str">
        <f t="shared" ref="CU851:CU888" si="77">IF(OR(AND($C851="Efficiency",$K851="PHA Oper Sub",$B851=20,NOT($N851="Common Space")),AND($C851="Efficiency",$K851="PHA Oper Sub",$B851="HOME 20",NOT($N851="Common Space"))),$E851,"")</f>
        <v/>
      </c>
      <c r="CV851" s="1852" t="str">
        <f t="shared" ref="CV851:CV888" si="78">IF(OR(AND($C851=1,$K851="PHA Oper Sub",$B851=20,NOT($N851="Common Space")),AND($C851=1,$K851="PHA Oper Sub",$B851="HOME 20",NOT($N851="Common Space"))),$E851,"")</f>
        <v/>
      </c>
      <c r="CW851" s="1852" t="str">
        <f t="shared" ref="CW851:CW888" si="79">IF(OR(AND($C851=2,$K851="PHA Oper Sub",$B851=20,NOT($N851="Common Space")),AND($C851=2,$K851="PHA Oper Sub",$B851="HOME 20",NOT($N851="Common Space"))),$E851,"")</f>
        <v/>
      </c>
      <c r="CX851" s="1852" t="str">
        <f t="shared" ref="CX851:CX888" si="80">IF(OR(AND($C851=3,$K851="PHA Oper Sub",$B851=20,NOT($N851="Common Space")),AND($C851=3,$K851="PHA Oper Sub",$B851="HOME 20",NOT($N851="Common Space"))),$E851,"")</f>
        <v/>
      </c>
      <c r="CY851" s="1852" t="str">
        <f t="shared" ref="CY851:CY888" si="81">IF(OR(AND($C851=4,$K851="PHA Oper Sub",$B851=20,NOT($N851="Common Space")),AND($C851=4,$K851="PHA Oper Sub",$B851="HOME 20",NOT($N851="Common Space"))),$E851,"")</f>
        <v/>
      </c>
      <c r="CZ851" s="1852" t="str">
        <f t="shared" ref="CZ851:CZ888" si="82">IF(OR(AND($C851="Efficiency",$K851="PHA Oper Sub",$B851=30,NOT($N851="Common Space")),AND($C851="Efficiency",$K851="PHA Oper Sub",$B851="HOME 30",NOT($N851="Common Space"))),$E851,"")</f>
        <v/>
      </c>
      <c r="DA851" s="1852" t="str">
        <f t="shared" ref="DA851:DA888" si="83">IF(OR(AND($C851=1,$K851="PHA Oper Sub",$B851=30,NOT($N851="Common Space")),AND($C851=1,$K851="PHA Oper Sub",$B851="HOME 30",NOT($N851="Common Space"))),$E851,"")</f>
        <v/>
      </c>
      <c r="DB851" s="1852" t="str">
        <f t="shared" ref="DB851:DB888" si="84">IF(OR(AND($C851=2,$K851="PHA Oper Sub",$B851=30,NOT($N851="Common Space")),AND($C851=2,$K851="PHA Oper Sub",$B851="HOME 30",NOT($N851="Common Space"))),$E851,"")</f>
        <v/>
      </c>
      <c r="DC851" s="1852" t="str">
        <f t="shared" ref="DC851:DC888" si="85">IF(OR(AND($C851=3,$K851="PHA Oper Sub",$B851=30,NOT($N851="Common Space")),AND($C851=3,$K851="PHA Oper Sub",$B851="HOME 30",NOT($N851="Common Space"))),$E851,"")</f>
        <v/>
      </c>
      <c r="DD851" s="1852" t="str">
        <f t="shared" ref="DD851:DD888" si="86">IF(OR(AND($C851=4,$K851="PHA Oper Sub",$B851=30,NOT($N851="Common Space")),AND($C851=4,$K851="PHA Oper Sub",$B851="HOME 30",NOT($N851="Common Space"))),$E851,"")</f>
        <v/>
      </c>
      <c r="DE851" s="1852" t="str">
        <f t="shared" ref="DE851:DE888" si="87">IF(OR(AND($C851="Efficiency",$K851="PHA Oper Sub",$B851=40,NOT($N851="Common Space")),AND($C851="Efficiency",$K851="PHA Oper Sub",$B851="HOME 40",NOT($N851="Common Space"))),$E851,"")</f>
        <v/>
      </c>
      <c r="DF851" s="1852" t="str">
        <f t="shared" ref="DF851:DF888" si="88">IF(OR(AND($C851=1,$K851="PHA Oper Sub",$B851=40,NOT($N851="Common Space")),AND($C851=1,$K851="PHA Oper Sub",$B851="HOME 40",NOT($N851="Common Space"))),$E851,"")</f>
        <v/>
      </c>
      <c r="DG851" s="1852" t="str">
        <f t="shared" ref="DG851:DG888" si="89">IF(OR(AND($C851=2,$K851="PHA Oper Sub",$B851=40,NOT($N851="Common Space")),AND($C851=2,$K851="PHA Oper Sub",$B851="HOME 40",NOT($N851="Common Space"))),$E851,"")</f>
        <v/>
      </c>
      <c r="DH851" s="1852" t="str">
        <f t="shared" ref="DH851:DH888" si="90">IF(OR(AND($C851=3,$K851="PHA Oper Sub",$B851=40,NOT($N851="Common Space")),AND($C851=3,$K851="PHA Oper Sub",$B851="HOME 40",NOT($N851="Common Space"))),$E851,"")</f>
        <v/>
      </c>
      <c r="DI851" s="1852" t="str">
        <f t="shared" ref="DI851:DI888" si="91">IF(OR(AND($C851=4,$K851="PHA Oper Sub",$B851=40,NOT($N851="Common Space")),AND($C851=4,$K851="PHA Oper Sub",$B851="HOME 40",NOT($N851="Common Space"))),$E851,"")</f>
        <v/>
      </c>
      <c r="DJ851" s="1852" t="str">
        <f t="shared" ref="DJ851:DJ888" si="92">IF(OR(AND($C851="Efficiency",$K851="PHA Oper Sub",$B851=50,NOT($N851="Common Space")),AND($C851="Efficiency",$K851="PHA Oper Sub",$B851="HOME 50",NOT($N851="Common Space"))),$E851,"")</f>
        <v/>
      </c>
      <c r="DK851" s="1852" t="str">
        <f t="shared" ref="DK851:DK888" si="93">IF(OR(AND($C851=1,$K851="PHA Oper Sub",$B851=50,NOT($N851="Common Space")),AND($C851=1,$K851="PHA Oper Sub",$B851="HOME 50",NOT($N851="Common Space"))),$E851,"")</f>
        <v/>
      </c>
      <c r="DL851" s="1852" t="str">
        <f t="shared" ref="DL851:DL888" si="94">IF(OR(AND($C851=2,$K851="PHA Oper Sub",$B851=50,NOT($N851="Common Space")),AND($C851=2,$K851="PHA Oper Sub",$B851="HOME 50",NOT($N851="Common Space"))),$E851,"")</f>
        <v/>
      </c>
      <c r="DM851" s="1852" t="str">
        <f t="shared" ref="DM851:DM888" si="95">IF(OR(AND($C851=3,$K851="PHA Oper Sub",$B851=50,NOT($N851="Common Space")),AND($C851=3,$K851="PHA Oper Sub",$B851="HOME 50",NOT($N851="Common Space"))),$E851,"")</f>
        <v/>
      </c>
      <c r="DN851" s="1852" t="str">
        <f t="shared" ref="DN851:DN888" si="96">IF(OR(AND($C851=4,$K851="PHA Oper Sub",$B851=50,NOT($N851="Common Space")),AND($C851=4,$K851="PHA Oper Sub",$B851="HOME 50",NOT($N851="Common Space"))),$E851,"")</f>
        <v/>
      </c>
      <c r="DO851" s="1852" t="str">
        <f t="shared" ref="DO851:DO888" si="97">IF(OR(AND($C851="Efficiency",$K851="PHA Oper Sub",$B851=60,NOT($N851="Common Space")),AND($C851="Efficiency",$K851="PHA Oper Sub",$B851="HOME 60",NOT($N851="Common Space"))),$E851,"")</f>
        <v/>
      </c>
      <c r="DP851" s="1852" t="str">
        <f t="shared" ref="DP851:DP888" si="98">IF(OR(AND($C851=1,$K851="PHA Oper Sub",$B851=60,NOT($N851="Common Space")),AND($C851=1,$K851="PHA Oper Sub",$B851="HOME 60",NOT($N851="Common Space"))),$E851,"")</f>
        <v/>
      </c>
      <c r="DQ851" s="1852" t="str">
        <f t="shared" ref="DQ851:DQ888" si="99">IF(OR(AND($C851=2,$K851="PHA Oper Sub",$B851=60,NOT($N851="Common Space")),AND($C851=2,$K851="PHA Oper Sub",$B851="HOME 60",NOT($N851="Common Space"))),$E851,"")</f>
        <v/>
      </c>
      <c r="DR851" s="1852" t="str">
        <f t="shared" ref="DR851:DR888" si="100">IF(OR(AND($C851=3,$K851="PHA Oper Sub",$B851=60,NOT($N851="Common Space")),AND($C851=3,$K851="PHA Oper Sub",$B851="HOME 60",NOT($N851="Common Space"))),$E851,"")</f>
        <v/>
      </c>
      <c r="DS851" s="1852" t="str">
        <f t="shared" ref="DS851:DS888" si="101">IF(OR(AND($C851=4,$K851="PHA Oper Sub",$B851=60,NOT($N851="Common Space")),AND($C851=4,$K851="PHA Oper Sub",$B851="HOME 60",NOT($N851="Common Space"))),$E851,"")</f>
        <v/>
      </c>
      <c r="DT851" s="1852" t="str">
        <f t="shared" ref="DT851:DT888" si="102">IF(OR(AND($C851="Efficiency",$K851="PHA Oper Sub",$B851=70,NOT($N851="Common Space")),AND($C851="Efficiency",$K851="PHA Oper Sub",$B851="HOME 70",NOT($N851="Common Space"))),$E851,"")</f>
        <v/>
      </c>
      <c r="DU851" s="1852" t="str">
        <f t="shared" ref="DU851:DU888" si="103">IF(OR(AND($C851=1,$K851="PHA Oper Sub",$B851=70,NOT($N851="Common Space")),AND($C851=1,$K851="PHA Oper Sub",$B851="HOME 70",NOT($N851="Common Space"))),$E851,"")</f>
        <v/>
      </c>
      <c r="DV851" s="1852" t="str">
        <f t="shared" ref="DV851:DV888" si="104">IF(OR(AND($C851=2,$K851="PHA Oper Sub",$B851=70,NOT($N851="Common Space")),AND($C851=2,$K851="PHA Oper Sub",$B851="HOME 70",NOT($N851="Common Space"))),$E851,"")</f>
        <v/>
      </c>
      <c r="DW851" s="1852" t="str">
        <f t="shared" ref="DW851:DW888" si="105">IF(OR(AND($C851=3,$K851="PHA Oper Sub",$B851=70,NOT($N851="Common Space")),AND($C851=3,$K851="PHA Oper Sub",$B851="HOME 70",NOT($N851="Common Space"))),$E851,"")</f>
        <v/>
      </c>
      <c r="DX851" s="1852" t="str">
        <f t="shared" ref="DX851:DX888" si="106">IF(OR(AND($C851=4,$K851="PHA Oper Sub",$B851=70,NOT($N851="Common Space")),AND($C851=4,$K851="PHA Oper Sub",$B851="HOME 70",NOT($N851="Common Space"))),$E851,"")</f>
        <v/>
      </c>
      <c r="DY851" s="1852" t="str">
        <f t="shared" ref="DY851:DY888" si="107">IF(OR(AND($C851="Efficiency",$K851="PHA Oper Sub",$B851=80,NOT($N851="Common Space")),AND($C851="Efficiency",$K851="PHA Oper Sub",$B851="HOME 80",NOT($N851="Common Space"))),$E851,"")</f>
        <v/>
      </c>
      <c r="DZ851" s="1852" t="str">
        <f t="shared" ref="DZ851:DZ888" si="108">IF(OR(AND($C851=1,$K851="PHA Oper Sub",$B851=80,NOT($N851="Common Space")),AND($C851=1,$K851="PHA Oper Sub",$B851="HOME 80",NOT($N851="Common Space"))),$E851,"")</f>
        <v/>
      </c>
      <c r="EA851" s="1852" t="str">
        <f t="shared" ref="EA851:EA888" si="109">IF(OR(AND($C851=2,$K851="PHA Oper Sub",$B851=80,NOT($N851="Common Space")),AND($C851=2,$K851="PHA Oper Sub",$B851="HOME 80",NOT($N851="Common Space"))),$E851,"")</f>
        <v/>
      </c>
      <c r="EB851" s="1852" t="str">
        <f t="shared" ref="EB851:EB888" si="110">IF(OR(AND($C851=3,$K851="PHA Oper Sub",$B851=80,NOT($N851="Common Space")),AND($C851=3,$K851="PHA Oper Sub",$B851="HOME 80",NOT($N851="Common Space"))),$E851,"")</f>
        <v/>
      </c>
      <c r="EC851" s="1852" t="str">
        <f t="shared" ref="EC851:EC888" si="111">IF(OR(AND($C851=4,$K851="PHA Oper Sub",$B851=80,NOT($N851="Common Space")),AND($C851=4,$K851="PHA Oper Sub",$B851="HOME 80",NOT($N851="Common Space"))),$E851,"")</f>
        <v/>
      </c>
      <c r="ED851" s="1852" t="str">
        <f t="shared" ref="ED851:ED888" si="112">IF(AND(C851="Efficiency",N851="Common Space"),E851,"")</f>
        <v/>
      </c>
      <c r="EE851" s="1852" t="str">
        <f t="shared" ref="EE851:EE888" si="113">IF(AND(C851=1,N851="Common Space"),E851,"")</f>
        <v/>
      </c>
      <c r="EF851" s="1852" t="str">
        <f t="shared" ref="EF851:EF888" si="114">IF(AND(C851=2,N851="Common Space"),E851,"")</f>
        <v/>
      </c>
      <c r="EG851" s="1852" t="str">
        <f t="shared" ref="EG851:EG888" si="115">IF(AND(C851=3,N851="Common Space"),E851,"")</f>
        <v/>
      </c>
      <c r="EH851" s="1852" t="str">
        <f t="shared" ref="EH851:EH888" si="116">IF(AND(C851=4,N851="Common Space"),E851,"")</f>
        <v/>
      </c>
      <c r="EI851" s="1852" t="str">
        <f t="shared" ref="EI851:EI888" si="117">IF(OR(AND($C851="Efficiency",$B851=80,NOT($N851="Common Space")),AND($C851="Efficiency",$B851="HOME 80",NOT($N851="Common Space"))),$E851*$F851,"")</f>
        <v/>
      </c>
      <c r="EJ851" s="1852" t="str">
        <f t="shared" ref="EJ851:EJ888" si="118">IF(OR(AND($C851=1,$B851=80,NOT($N851="Common Space")),AND($C851=1,$B851="HOME 80",NOT($N851="Common Space"))),$E851*$F851,"")</f>
        <v/>
      </c>
      <c r="EK851" s="1852" t="str">
        <f t="shared" ref="EK851:EK888" si="119">IF(OR(AND($C851=2,$B851=80,NOT($N851="Common Space")),AND($C851=2,$B851="HOME 80",NOT($N851="Common Space"))),$E851*$F851,"")</f>
        <v/>
      </c>
      <c r="EL851" s="1852" t="str">
        <f t="shared" ref="EL851:EL888" si="120">IF(OR(AND($C851=3,$B851=80,NOT($N851="Common Space")),AND($C851=3,$B851="HOME 80",NOT($N851="Common Space"))),$E851*$F851,"")</f>
        <v/>
      </c>
      <c r="EM851" s="1852" t="str">
        <f t="shared" ref="EM851:EM888" si="121">IF(OR(AND($C851=4,$B851=80,NOT($N851="Common Space")),AND($C851=4,$B851="HOME 80",NOT($N851="Common Space"))),$E851*$F851,"")</f>
        <v/>
      </c>
      <c r="EN851" s="1852" t="str">
        <f t="shared" ref="EN851:EN888" si="122">IF(OR(AND($C851="Efficiency",$B851=70,NOT($N851="Common Space")),AND($C851="Efficiency",$B851="HOME 70",NOT($N851="Common Space"))),$E851*$F851,"")</f>
        <v/>
      </c>
      <c r="EO851" s="1852" t="str">
        <f t="shared" ref="EO851:EO888" si="123">IF(OR(AND($C851=1,$B851=70,NOT($N851="Common Space")),AND($C851=1,$B851="HOME 70",NOT($N851="Common Space"))),$E851*$F851,"")</f>
        <v/>
      </c>
      <c r="EP851" s="1852" t="str">
        <f t="shared" ref="EP851:EP888" si="124">IF(OR(AND($C851=2,$B851=70,NOT($N851="Common Space")),AND($C851=2,$B851="HOME 70",NOT($N851="Common Space"))),$E851*$F851,"")</f>
        <v/>
      </c>
      <c r="EQ851" s="1852" t="str">
        <f t="shared" ref="EQ851:EQ888" si="125">IF(OR(AND($C851=3,$B851=70,NOT($N851="Common Space")),AND($C851=3,$B851="HOME 70",NOT($N851="Common Space"))),$E851*$F851,"")</f>
        <v/>
      </c>
      <c r="ER851" s="1852" t="str">
        <f t="shared" ref="ER851:ER888" si="126">IF(OR(AND($C851=4,$B851=70,NOT($N851="Common Space")),AND($C851=4,$B851="HOME 70",NOT($N851="Common Space"))),$E851*$F851,"")</f>
        <v/>
      </c>
      <c r="ES851" s="1852" t="str">
        <f t="shared" ref="ES851:ES888" si="127">IF(OR(AND($C851="Efficiency",$B851=60,NOT($N851="Common Space")),AND($C851="Efficiency",$B851="HOME 60",NOT($N851="Common Space"))),$E851*$F851,"")</f>
        <v/>
      </c>
      <c r="ET851" s="1852" t="str">
        <f t="shared" ref="ET851:ET888" si="128">IF(OR(AND($C851=1,$B851=60,NOT($N851="Common Space")),AND($C851=1,$B851="HOME 60",NOT($N851="Common Space"))),$E851*$F851,"")</f>
        <v/>
      </c>
      <c r="EU851" s="1852" t="str">
        <f t="shared" ref="EU851:EU888" si="129">IF(OR(AND($C851=2,$B851=60,NOT($N851="Common Space")),AND($C851=2,$B851="HOME 60",NOT($N851="Common Space"))),$E851*$F851,"")</f>
        <v/>
      </c>
      <c r="EV851" s="1852" t="str">
        <f t="shared" ref="EV851:EV888" si="130">IF(OR(AND($C851=3,$B851=60,NOT($N851="Common Space")),AND($C851=3,$B851="HOME 60",NOT($N851="Common Space"))),$E851*$F851,"")</f>
        <v/>
      </c>
      <c r="EW851" s="1852" t="str">
        <f t="shared" ref="EW851:EW888" si="131">IF(OR(AND($C851=4,$B851=60,NOT($N851="Common Space")),AND($C851=4,$B851="HOME 60",NOT($N851="Common Space"))),$E851*$F851,"")</f>
        <v/>
      </c>
      <c r="EX851" s="1852" t="str">
        <f t="shared" ref="EX851:EX888" si="132">IF(OR(AND($C851="Efficiency",$B851=50,NOT($N851="Common Space")),AND($C851="Efficiency",$B851="HOME 50",NOT($N851="Common Space"))),$E851*$F851,"")</f>
        <v/>
      </c>
      <c r="EY851" s="1852" t="str">
        <f t="shared" ref="EY851:EY888" si="133">IF(OR(AND($C851=1,$B851=50,NOT($N851="Common Space")),AND($C851=1,$B851="HOME 50",NOT($N851="Common Space"))),$E851*$F851,"")</f>
        <v/>
      </c>
      <c r="EZ851" s="1852" t="str">
        <f t="shared" ref="EZ851:EZ888" si="134">IF(OR(AND($C851=2,$B851=50,NOT($N851="Common Space")),AND($C851=2,$B851="HOME 50",NOT($N851="Common Space"))),$E851*$F851,"")</f>
        <v/>
      </c>
      <c r="FA851" s="1852" t="str">
        <f t="shared" ref="FA851:FA888" si="135">IF(OR(AND($C851=3,$B851=50,NOT($N851="Common Space")),AND($C851=3,$B851="HOME 50",NOT($N851="Common Space"))),$E851*$F851,"")</f>
        <v/>
      </c>
      <c r="FB851" s="1852" t="str">
        <f t="shared" ref="FB851:FB888" si="136">IF(OR(AND($C851=4,$B851=50,NOT($N851="Common Space")),AND($C851=4,$B851="HOME 50",NOT($N851="Common Space"))),$E851*$F851,"")</f>
        <v/>
      </c>
      <c r="FC851" s="1852" t="str">
        <f t="shared" ref="FC851:FC888" si="137">IF(OR(AND($C851="Efficiency",$B851=40,NOT($N851="Common Space")),AND($C851="Efficiency",$B851="HOME 40",NOT($N851="Common Space"))),$E851*$F851,"")</f>
        <v/>
      </c>
      <c r="FD851" s="1852" t="str">
        <f t="shared" ref="FD851:FD888" si="138">IF(OR(AND($C851=1,$B851=40,NOT($N851="Common Space")),AND($C851=1,$B851="HOME 40",NOT($N851="Common Space"))),$E851*$F851,"")</f>
        <v/>
      </c>
      <c r="FE851" s="1852" t="str">
        <f t="shared" ref="FE851:FE888" si="139">IF(OR(AND($C851=2,$B851=40,NOT($N851="Common Space")),AND($C851=2,$B851="HOME 40",NOT($N851="Common Space"))),$E851*$F851,"")</f>
        <v/>
      </c>
      <c r="FF851" s="1852" t="str">
        <f t="shared" ref="FF851:FF888" si="140">IF(OR(AND($C851=3,$B851=40,NOT($N851="Common Space")),AND($C851=3,$B851="HOME 40",NOT($N851="Common Space"))),$E851*$F851,"")</f>
        <v/>
      </c>
      <c r="FG851" s="1852" t="str">
        <f t="shared" ref="FG851:FG888" si="141">IF(OR(AND($C851=4,$B851=40,NOT($N851="Common Space")),AND($C851=4,$B851="HOME 40",NOT($N851="Common Space"))),$E851*$F851,"")</f>
        <v/>
      </c>
      <c r="FH851" s="1852" t="str">
        <f t="shared" ref="FH851:FH888" si="142">IF(OR(AND($C851="Efficiency",$B851=30,NOT($N851="Common Space")),AND($C851="Efficiency",$B851="HOME 30",NOT($N851="Common Space"))),$E851*$F851,"")</f>
        <v/>
      </c>
      <c r="FI851" s="1852" t="str">
        <f t="shared" ref="FI851:FI888" si="143">IF(OR(AND($C851=1,$B851=30,NOT($N851="Common Space")),AND($C851=1,$B851="HOME 30",NOT($N851="Common Space"))),$E851*$F851,"")</f>
        <v/>
      </c>
      <c r="FJ851" s="1852" t="str">
        <f t="shared" ref="FJ851:FJ888" si="144">IF(OR(AND($C851=2,$B851=30,NOT($N851="Common Space")),AND($C851=2,$B851="HOME 30",NOT($N851="Common Space"))),$E851*$F851,"")</f>
        <v/>
      </c>
      <c r="FK851" s="1852" t="str">
        <f t="shared" ref="FK851:FK888" si="145">IF(OR(AND($C851=3,$B851=30,NOT($N851="Common Space")),AND($C851=3,$B851="HOME 30",NOT($N851="Common Space"))),$E851*$F851,"")</f>
        <v/>
      </c>
      <c r="FL851" s="1852" t="str">
        <f t="shared" ref="FL851:FL888" si="146">IF(OR(AND($C851=4,$B851=30,NOT($N851="Common Space")),AND($C851=4,$B851="HOME 30",NOT($N851="Common Space"))),$E851*$F851,"")</f>
        <v/>
      </c>
      <c r="FM851" s="1852" t="str">
        <f t="shared" ref="FM851:FM888" si="147">IF(OR(AND($C851="Efficiency",$B851=20,NOT($N851="Common Space")),AND($C851="Efficiency",$B851="HOME 20",NOT($N851="Common Space"))),$E851*$F851,"")</f>
        <v/>
      </c>
      <c r="FN851" s="1852" t="str">
        <f t="shared" ref="FN851:FN888" si="148">IF(OR(AND($C851=1,$B851=20,NOT($N851="Common Space")),AND($C851=1,$B851="HOME 20",NOT($N851="Common Space"))),$E851*$F851,"")</f>
        <v/>
      </c>
      <c r="FO851" s="1852" t="str">
        <f t="shared" ref="FO851:FO888" si="149">IF(OR(AND($C851=2,$B851=20,NOT($N851="Common Space")),AND($C851=2,$B851="HOME 20",NOT($N851="Common Space"))),$E851*$F851,"")</f>
        <v/>
      </c>
      <c r="FP851" s="1852" t="str">
        <f t="shared" ref="FP851:FP888" si="150">IF(OR(AND($C851=3,$B851=20,NOT($N851="Common Space")),AND($C851=3,$B851="HOME 20",NOT($N851="Common Space"))),$E851*$F851,"")</f>
        <v/>
      </c>
      <c r="FQ851" s="1852" t="str">
        <f t="shared" ref="FQ851:FQ888" si="151">IF(OR(AND($C851=4,$B851=20,NOT($N851="Common Space")),AND($C851=4,$B851="HOME 20",NOT($N851="Common Space"))),$E851*$F851,"")</f>
        <v/>
      </c>
      <c r="FR851" s="1852" t="str">
        <f t="shared" ref="FR851:FR888" si="152">IF(AND(C851="Efficiency",B851="Unrestricted",NOT(N851="Common Space")),E851*F851,"")</f>
        <v/>
      </c>
      <c r="FS851" s="1852" t="str">
        <f t="shared" ref="FS851:FS888" si="153">IF(AND(C851=1,B851="Unrestricted",NOT(N851="Common Space")),E851*F851,"")</f>
        <v/>
      </c>
      <c r="FT851" s="1852" t="str">
        <f t="shared" ref="FT851:FT888" si="154">IF(AND(C851=2,B851="Unrestricted",NOT(N851="Common Space")),E851*F851,"")</f>
        <v/>
      </c>
      <c r="FU851" s="1852" t="str">
        <f t="shared" ref="FU851:FU888" si="155">IF(AND(C851=3,B851="Unrestricted",NOT(N851="Common Space")),E851*F851,"")</f>
        <v/>
      </c>
      <c r="FV851" s="1852" t="str">
        <f t="shared" ref="FV851:FV888" si="156">IF(AND(C851=4,B851="Unrestricted",NOT(N851="Common Space")),E851*F851,"")</f>
        <v/>
      </c>
      <c r="FW851" s="1852" t="str">
        <f t="shared" ref="FW851:FW888" si="157">IF(AND(C851="Efficiency",NOT(K851=""),NOT($K851=0),NOT(N851="Common Space")),E851*F851,"")</f>
        <v/>
      </c>
      <c r="FX851" s="1852" t="str">
        <f t="shared" ref="FX851:FX888" si="158">IF(AND(C851=1,NOT(K851=""),NOT($K851=0),NOT(N851="Common Space")),E851*F851,"")</f>
        <v/>
      </c>
      <c r="FY851" s="1852" t="str">
        <f t="shared" ref="FY851:FY888" si="159">IF(AND(C851=2,NOT(K851=""),NOT($K851=0),NOT(N851="Common Space")),E851*F851,"")</f>
        <v/>
      </c>
      <c r="FZ851" s="1852" t="str">
        <f t="shared" ref="FZ851:FZ888" si="160">IF(AND(C851=3,NOT(K851=""),NOT($K851=0),NOT(N851="Common Space")),E851*F851,"")</f>
        <v/>
      </c>
      <c r="GA851" s="1852" t="str">
        <f t="shared" ref="GA851:GA888" si="161">IF(AND(C851=4,NOT(K851=""),NOT($K851=0),NOT(N851="Common Space")),E851*F851,"")</f>
        <v/>
      </c>
      <c r="GB851" s="1852" t="str">
        <f t="shared" ref="GB851:GB888" si="162">IF(AND(C851="Efficiency",N851="Common Space"),E851*F851,"")</f>
        <v/>
      </c>
      <c r="GC851" s="1852" t="str">
        <f t="shared" ref="GC851:GC888" si="163">IF(AND(C851=1,N851="Common Space"),E851*F851,"")</f>
        <v/>
      </c>
      <c r="GD851" s="1852" t="str">
        <f t="shared" ref="GD851:GD888" si="164">IF(AND(C851=2,N851="Common Space"),E851*F851,"")</f>
        <v/>
      </c>
      <c r="GE851" s="1852" t="str">
        <f t="shared" ref="GE851:GE888" si="165">IF(AND(C851=3,N851="Common Space"),E851*F851,"")</f>
        <v/>
      </c>
      <c r="GF851" s="1852" t="str">
        <f t="shared" ref="GF851:GF888" si="166">IF(AND(C851=4,N851="Common Space"),E851*F851,"")</f>
        <v/>
      </c>
      <c r="GG851" s="1852" t="str">
        <f t="shared" ref="GG851:GG888" si="167">IF(AND($C851="Efficiency", $P851="New Construction",NOT($B851="Unrestricted"),NOT($B851="NSP 120"),NOT($B851="N/A-CS"),NOT($N851="Common Space")),$E851,"")</f>
        <v/>
      </c>
      <c r="GH851" s="1852" t="str">
        <f t="shared" ref="GH851:GH888" si="168">IF(AND($C851=1, $P851="New Construction",NOT($B851="Unrestricted"),NOT($B851="NSP 120"),NOT($B851="N/A-CS"),NOT($N851="Common Space")),$E851,"")</f>
        <v/>
      </c>
      <c r="GI851" s="1852" t="str">
        <f t="shared" ref="GI851:GI888" si="169">IF(AND($C851=2, $P851="New Construction",NOT($B851="Unrestricted"),NOT($B851="NSP 120"),NOT($B851="N/A-CS"),NOT($N851="Common Space")),$E851,"")</f>
        <v/>
      </c>
      <c r="GJ851" s="1852" t="str">
        <f t="shared" ref="GJ851:GJ888" si="170">IF(AND($C851=3, $P851="New Construction",NOT($B851="Unrestricted"),NOT($B851="NSP 120"),NOT($B851="N/A-CS"),NOT($N851="Common Space")),$E851,"")</f>
        <v/>
      </c>
      <c r="GK851" s="1852" t="str">
        <f t="shared" ref="GK851:GK888" si="171">IF(AND($C851=4, $P851="New Construction",NOT($B851="Unrestricted"),NOT($B851="NSP 120"),NOT($B851="N/A-CS"),NOT($N851="Common Space")),$E851,"")</f>
        <v/>
      </c>
      <c r="GL851" s="1852" t="str">
        <f t="shared" ref="GL851:GL888" si="172">IF(AND($C851="Efficiency", $P851="New Construction",$B851="Unrestricted",NOT($B851="N/A-CS"),NOT($N851="Common Space")),$E851,"")</f>
        <v/>
      </c>
      <c r="GM851" s="1852" t="str">
        <f t="shared" ref="GM851:GM888" si="173">IF(AND($C851=1, $P851="New Construction",$B851="Unrestricted",NOT($B851="N/A-CS"),NOT($N851="Common Space")),$E851,"")</f>
        <v/>
      </c>
      <c r="GN851" s="1852" t="str">
        <f t="shared" ref="GN851:GN888" si="174">IF(AND($C851=2, $P851="New Construction",$B851="Unrestricted",NOT($B851="N/A-CS"),NOT($N851="Common Space")),$E851,"")</f>
        <v/>
      </c>
      <c r="GO851" s="1852" t="str">
        <f t="shared" ref="GO851:GO888" si="175">IF(AND($C851=3, $P851="New Construction",$B851="Unrestricted",NOT($B851="N/A-CS"),NOT($N851="Common Space")),$E851,"")</f>
        <v/>
      </c>
      <c r="GP851" s="1852" t="str">
        <f t="shared" ref="GP851:GP888" si="176">IF(AND($C851=4, $P851="New Construction",$B851="Unrestricted",NOT($B851="N/A-CS"),NOT($N851="Common Space")),$E851,"")</f>
        <v/>
      </c>
      <c r="GQ851" s="1852" t="str">
        <f t="shared" ref="GQ851:GQ888" si="177">IF(AND($C851="Efficiency", $P851="New Construction",$B851="N/A-CS",$N851="Common Space"),$E851,"")</f>
        <v/>
      </c>
      <c r="GR851" s="1852" t="str">
        <f t="shared" ref="GR851:GR888" si="178">IF(AND($C851=1, $P851="New Construction",$B851="N/A-CS",$N851="Common Space"),$E851,"")</f>
        <v/>
      </c>
      <c r="GS851" s="1852" t="str">
        <f t="shared" ref="GS851:GS888" si="179">IF(AND($C851=2, $P851="New Construction",$B851="N/A-CS",$N851="Common Space"),$E851,"")</f>
        <v/>
      </c>
      <c r="GT851" s="1852" t="str">
        <f t="shared" ref="GT851:GT888" si="180">IF(AND($C851=3, $P851="New Construction",$B851="N/A-CS",$N851="Common Space"),$E851,"")</f>
        <v/>
      </c>
      <c r="GU851" s="1852" t="str">
        <f t="shared" ref="GU851:GU888" si="181">IF(AND($C851=4, $P851="New Construction",$B851="N/A-CS",$N851="Common Space"),$E851,"")</f>
        <v/>
      </c>
      <c r="GV851" s="1852" t="str">
        <f t="shared" ref="GV851:GV888" si="182">IF(AND($C851="Efficiency", $P851="Acquisition/Rehab",NOT($B851="Unrestricted"),NOT($B851="NSP 120"),NOT($B851="N/A-CS"),NOT($N851="Common Space")),$E851,"")</f>
        <v/>
      </c>
      <c r="GW851" s="1852" t="str">
        <f t="shared" ref="GW851:GW888" si="183">IF(AND($C851=1, $P851="Acquisition/Rehab",NOT($B851="Unrestricted"),NOT($B851="NSP 120"),NOT($B851="N/A-CS"),NOT($N851="Common Space")),$E851,"")</f>
        <v/>
      </c>
      <c r="GX851" s="1852" t="str">
        <f t="shared" ref="GX851:GX888" si="184">IF(AND($C851=2, $P851="Acquisition/Rehab",NOT($B851="Unrestricted"),NOT($B851="NSP 120"),NOT($B851="N/A-CS"),NOT($N851="Common Space")),$E851,"")</f>
        <v/>
      </c>
      <c r="GY851" s="1852" t="str">
        <f t="shared" ref="GY851:GY888" si="185">IF(AND($C851=3, $P851="Acquisition/Rehab",NOT($B851="Unrestricted"),NOT($B851="NSP 120"),NOT($B851="N/A-CS"),NOT($N851="Common Space")),$E851,"")</f>
        <v/>
      </c>
      <c r="GZ851" s="1852" t="str">
        <f t="shared" ref="GZ851:GZ888" si="186">IF(AND($C851=4, $P851="Acquisition/Rehab",NOT($B851="Unrestricted"),NOT($B851="NSP 120"),NOT($B851="N/A-CS"),NOT($N851="Common Space")),$E851,"")</f>
        <v/>
      </c>
      <c r="HA851" s="1852" t="str">
        <f t="shared" ref="HA851:HA888" si="187">IF(AND($C851="Efficiency", $P851="Acquisition/Rehab",$B851="Unrestricted",NOT($B851="N/A-CS"),NOT($N851="Common Space")),$E851,"")</f>
        <v/>
      </c>
      <c r="HB851" s="1852" t="str">
        <f t="shared" ref="HB851:HB888" si="188">IF(AND($C851=1, $P851="Acquisition/Rehab",$B851="Unrestricted",NOT($B851="N/A-CS"),NOT($N851="Common Space")),$E851,"")</f>
        <v/>
      </c>
      <c r="HC851" s="1852" t="str">
        <f t="shared" ref="HC851:HC888" si="189">IF(AND($C851=2, $P851="Acquisition/Rehab",$B851="Unrestricted",NOT($B851="N/A-CS"),NOT($N851="Common Space")),$E851,"")</f>
        <v/>
      </c>
      <c r="HD851" s="1852" t="str">
        <f t="shared" ref="HD851:HD888" si="190">IF(AND($C851=3, $P851="Acquisition/Rehab",$B851="Unrestricted",NOT($B851="N/A-CS"),NOT($N851="Common Space")),$E851,"")</f>
        <v/>
      </c>
      <c r="HE851" s="1852" t="str">
        <f t="shared" ref="HE851:HE888" si="191">IF(AND($C851=4, $P851="Acquisition/Rehab",$B851="Unrestricted",NOT($B851="N/A-CS"),NOT($N851="Common Space")),$E851,"")</f>
        <v/>
      </c>
      <c r="HF851" s="1852" t="str">
        <f t="shared" ref="HF851:HF888" si="192">IF(AND($C851="Efficiency", $P851="Acquisition/Rehab",$B851="N/A-CS",$N851="Common Space"),$E851,"")</f>
        <v/>
      </c>
      <c r="HG851" s="1852" t="str">
        <f t="shared" ref="HG851:HG888" si="193">IF(AND($C851=1, $P851="Acquisition/Rehab",$B851="N/A-CS",$N851="Common Space"),$E851,"")</f>
        <v/>
      </c>
      <c r="HH851" s="1852" t="str">
        <f t="shared" ref="HH851:HH888" si="194">IF(AND($C851=2, $P851="Acquisition/Rehab",$B851="N/A-CS",$N851="Common Space"),$E851,"")</f>
        <v/>
      </c>
      <c r="HI851" s="1852" t="str">
        <f t="shared" ref="HI851:HI888" si="195">IF(AND($C851=3, $P851="Acquisition/Rehab",$B851="N/A-CS",$N851="Common Space"),$E851,"")</f>
        <v/>
      </c>
      <c r="HJ851" s="1852" t="str">
        <f t="shared" ref="HJ851:HJ888" si="196">IF(AND($C851=4, $P851="Acquisition/Rehab",$B851="N/A-CS",$N851="Common Space"),$E851,"")</f>
        <v/>
      </c>
      <c r="HK851" s="1852" t="str">
        <f t="shared" ref="HK851:HK888" si="197">IF(AND($C851="Efficiency", $P851="Rehabilitation",NOT($B851="Unrestricted"),NOT($B851="NSP 120"),NOT($B851="N/A-CS"),NOT($N851="Common Space")),$E851,"")</f>
        <v/>
      </c>
      <c r="HL851" s="1852" t="str">
        <f t="shared" ref="HL851:HL888" si="198">IF(AND($C851=1, $P851="Rehabilitation",NOT($B851="Unrestricted"),NOT($B851="NSP 120"),NOT($B851="N/A-CS"),NOT($N851="Common Space")),$E851,"")</f>
        <v/>
      </c>
      <c r="HM851" s="1852" t="str">
        <f t="shared" ref="HM851:HM888" si="199">IF(AND($C851=2, $P851="Rehabilitation",NOT($B851="Unrestricted"),NOT($B851="NSP 120"),NOT($B851="N/A-CS"),NOT($N851="Common Space")),$E851,"")</f>
        <v/>
      </c>
      <c r="HN851" s="1852" t="str">
        <f t="shared" ref="HN851:HN888" si="200">IF(AND($C851=3, $P851="Rehabilitation",NOT($B851="Unrestricted"),NOT($B851="NSP 120"),NOT($B851="N/A-CS"),NOT($N851="Common Space")),$E851,"")</f>
        <v/>
      </c>
      <c r="HO851" s="1852" t="str">
        <f t="shared" ref="HO851:HO888" si="201">IF(AND($C851=4, $P851="Rehabilitation",NOT($B851="Unrestricted"),NOT($B851="NSP 120"),NOT($B851="N/A-CS"),NOT($N851="Common Space")),$E851,"")</f>
        <v/>
      </c>
      <c r="HP851" s="1852" t="str">
        <f t="shared" ref="HP851:HP888" si="202">IF(AND($C851="Efficiency", $P851="Rehabilitation",$B851="Unrestricted",NOT($B851="N/A-CS"),NOT($N851="Common Space")),$E851,"")</f>
        <v/>
      </c>
      <c r="HQ851" s="1852" t="str">
        <f t="shared" ref="HQ851:HQ888" si="203">IF(AND($C851=1, $P851="Rehabilitation",$B851="Unrestricted",NOT($B851="N/A-CS"),NOT($N851="Common Space")),$E851,"")</f>
        <v/>
      </c>
      <c r="HR851" s="1852" t="str">
        <f t="shared" ref="HR851:HR888" si="204">IF(AND($C851=2, $P851="Rehabilitation",$B851="Unrestricted",NOT($B851="N/A-CS"),NOT($N851="Common Space")),$E851,"")</f>
        <v/>
      </c>
      <c r="HS851" s="1852" t="str">
        <f t="shared" ref="HS851:HS888" si="205">IF(AND($C851=3, $P851="Rehabilitation",$B851="Unrestricted",NOT($B851="N/A-CS"),NOT($N851="Common Space")),$E851,"")</f>
        <v/>
      </c>
      <c r="HT851" s="1852" t="str">
        <f t="shared" ref="HT851:HT888" si="206">IF(AND($C851=4, $P851="Rehabilitation",$B851="Unrestricted",NOT($B851="N/A-CS"),NOT($N851="Common Space")),$E851,"")</f>
        <v/>
      </c>
      <c r="HU851" s="1852" t="str">
        <f t="shared" ref="HU851:HU888" si="207">IF(AND($C851="Efficiency", $P851="Rehabilitation",$B851="N/A-CS",$N851="Common Space"),$E851,"")</f>
        <v/>
      </c>
      <c r="HV851" s="1852" t="str">
        <f t="shared" ref="HV851:HV888" si="208">IF(AND($C851=1, $P851="Rehabilitation",$B851="N/A-CS",$N851="Common Space"),$E851,"")</f>
        <v/>
      </c>
      <c r="HW851" s="1852" t="str">
        <f t="shared" ref="HW851:HW888" si="209">IF(AND($C851=2, $P851="Rehabilitation",$B851="N/A-CS",$N851="Common Space"),$E851,"")</f>
        <v/>
      </c>
      <c r="HX851" s="1852" t="str">
        <f t="shared" ref="HX851:HX888" si="210">IF(AND($C851=3, $P851="Rehabilitation",$B851="N/A-CS",$N851="Common Space"),$E851,"")</f>
        <v/>
      </c>
      <c r="HY851" s="1852" t="str">
        <f t="shared" ref="HY851:HY888" si="211">IF(AND($C851=4, $P851="Rehabilitation",$B851="N/A-CS",$N851="Common Space"),$E851,"")</f>
        <v/>
      </c>
      <c r="HZ851" s="2140" t="str">
        <f t="shared" ref="HZ851:HZ888" si="212">IF(AND($C851="Efficiency", NOT(OR($O851="SF Detached",$O851="Mfd Home",$O851="Semi-Detached",$O851="Row House/TH"))),$E851,"")</f>
        <v/>
      </c>
      <c r="IA851" s="2140" t="str">
        <f t="shared" ref="IA851:IA888" si="213">IF(AND($C851=1, NOT(OR($O851="SF Detached",$O851="Mfd Home",$O851="Semi-Detached",$O851="Row House/TH"))),$E851,"")</f>
        <v/>
      </c>
      <c r="IB851" s="2140" t="str">
        <f t="shared" ref="IB851:IB888" si="214">IF(AND($C851=2, NOT(OR($O851="SF Detached",$O851="Mfd Home",$O851="Semi-Detached",$O851="Row House/TH"))),$E851,"")</f>
        <v/>
      </c>
      <c r="IC851" s="2140" t="str">
        <f t="shared" ref="IC851:IC888" si="215">IF(AND($C851=3, NOT(OR($O851="SF Detached",$O851="Mfd Home",$O851="Semi-Detached",$O851="Row House/TH"))),$E851,"")</f>
        <v/>
      </c>
      <c r="ID851" s="2140" t="str">
        <f t="shared" ref="ID851:ID888" si="216">IF(AND($C851=4, NOT(OR($O851="SF Detached",$O851="Mfd Home",$O851="Semi-Detached",$O851="Row House/TH"))),$E851,"")</f>
        <v/>
      </c>
      <c r="IE851" s="2140" t="str">
        <f t="shared" ref="IE851:IE888" si="217">IF(AND($C851="Efficiency", $O851="SF Detached",NOT($Q851="Yes")),$E851,"")</f>
        <v/>
      </c>
      <c r="IF851" s="2140" t="str">
        <f t="shared" ref="IF851:IF888" si="218">IF(AND($C851=1, $O851="SF Detached",NOT($Q851="Yes")),$E851,"")</f>
        <v/>
      </c>
      <c r="IG851" s="2140" t="str">
        <f t="shared" ref="IG851:IG888" si="219">IF(AND($C851=2, $O851="SF Detached",NOT($Q851="Yes")),$E851,"")</f>
        <v/>
      </c>
      <c r="IH851" s="2140" t="str">
        <f t="shared" ref="IH851:IH888" si="220">IF(AND($C851=3, $O851="SF Detached",NOT($Q851="Yes")),$E851,"")</f>
        <v/>
      </c>
      <c r="II851" s="2140" t="str">
        <f t="shared" ref="II851:II888" si="221">IF(AND($C851=4, $O851="SF Detached",NOT($Q851="Yes")),$E851,"")</f>
        <v/>
      </c>
      <c r="IJ851" s="2140" t="str">
        <f t="shared" ref="IJ851:IJ888" si="222">IF(AND($C851="Efficiency", $O851="SF Detached",$Q851="Yes"),$E851,"")</f>
        <v/>
      </c>
      <c r="IK851" s="2140" t="str">
        <f t="shared" ref="IK851:IK888" si="223">IF(AND($C851=1, $O851="SF Detached",$Q851="Yes"),$E851,"")</f>
        <v/>
      </c>
      <c r="IL851" s="2140" t="str">
        <f t="shared" ref="IL851:IL888" si="224">IF(AND($C851=2, $O851="SF Detached",$Q851="Yes"),$E851,"")</f>
        <v/>
      </c>
      <c r="IM851" s="2140" t="str">
        <f t="shared" ref="IM851:IM888" si="225">IF(AND($C851=3, $O851="SF Detached",$Q851="Yes"),$E851,"")</f>
        <v/>
      </c>
      <c r="IN851" s="2140" t="str">
        <f t="shared" ref="IN851:IN888" si="226">IF(AND($C851=4, $O851="SF Detached",$Q851="Yes"),$E851,"")</f>
        <v/>
      </c>
      <c r="IO851" s="2140" t="str">
        <f t="shared" ref="IO851:IO888" si="227">IF(AND($C851="Efficiency", $O851="Mfd Home",NOT($Q851="Yes")),$E851,"")</f>
        <v/>
      </c>
      <c r="IP851" s="2140" t="str">
        <f t="shared" ref="IP851:IP888" si="228">IF(AND($C851=1, $O851="Mfd Home",NOT($Q851="Yes")),$E851,"")</f>
        <v/>
      </c>
      <c r="IQ851" s="2140" t="str">
        <f t="shared" ref="IQ851:IQ888" si="229">IF(AND($C851=2, $O851="Mfd Home",NOT($Q851="Yes")),$E851,"")</f>
        <v/>
      </c>
      <c r="IR851" s="2140" t="str">
        <f t="shared" ref="IR851:IR888" si="230">IF(AND($C851=3, $O851="Mfd Home",NOT($Q851="Yes")),$E851,"")</f>
        <v/>
      </c>
      <c r="IS851" s="2140" t="str">
        <f t="shared" ref="IS851:IS888" si="231">IF(AND($C851=4, $O851="Mfd Home",NOT($Q851="Yes")),$E851,"")</f>
        <v/>
      </c>
      <c r="IT851" s="2140" t="str">
        <f t="shared" ref="IT851:IT888" si="232">IF(AND($C851="Efficiency", $O851="Mfd Home",$Q851="Yes"),$E851,"")</f>
        <v/>
      </c>
      <c r="IU851" s="2140" t="str">
        <f t="shared" ref="IU851:IU888" si="233">IF(AND($C851=1, $O851="Mfd Home",$Q851="Yes"),$E851,"")</f>
        <v/>
      </c>
      <c r="IV851" s="2140" t="str">
        <f t="shared" ref="IV851:IV888" si="234">IF(AND($C851=2, $O851="Mfd Home",$Q851="Yes"),$E851,"")</f>
        <v/>
      </c>
      <c r="IW851" s="2140" t="str">
        <f t="shared" ref="IW851:IW888" si="235">IF(AND($C851=3, $O851="Mfd Home",$Q851="Yes"),$E851,"")</f>
        <v/>
      </c>
      <c r="IX851" s="2140" t="str">
        <f t="shared" ref="IX851:IX888" si="236">IF(AND($C851=4, $O851="Mfd Home",$Q851="Yes"),$E851,"")</f>
        <v/>
      </c>
      <c r="IY851" s="2140" t="str">
        <f t="shared" ref="IY851:IY888" si="237">IF(AND($C851="Efficiency", $O851="Semi-Detached",NOT($Q851="Yes")),$E851,"")</f>
        <v/>
      </c>
      <c r="IZ851" s="2140" t="str">
        <f t="shared" ref="IZ851:IZ888" si="238">IF(AND($C851=1, $O851="Semi-Detached",NOT($Q851="Yes")),$E851,"")</f>
        <v/>
      </c>
      <c r="JA851" s="2140" t="str">
        <f t="shared" ref="JA851:JA888" si="239">IF(AND($C851=2, $O851="Semi-Detached",NOT($Q851="Yes")),$E851,"")</f>
        <v/>
      </c>
      <c r="JB851" s="2140" t="str">
        <f t="shared" ref="JB851:JB888" si="240">IF(AND($C851=3, $O851="Semi-Detached",NOT($Q851="Yes")),$E851,"")</f>
        <v/>
      </c>
      <c r="JC851" s="2140" t="str">
        <f t="shared" ref="JC851:JC888" si="241">IF(AND($C851=4, $O851="Semi-Detached",NOT($Q851="Yes")),$E851,"")</f>
        <v/>
      </c>
      <c r="JD851" s="2140" t="str">
        <f t="shared" ref="JD851:JD888" si="242">IF(AND($C851="Efficiency", $O851="Semi-Detached",$Q851="Yes"),$E851,"")</f>
        <v/>
      </c>
      <c r="JE851" s="2140" t="str">
        <f t="shared" ref="JE851:JE888" si="243">IF(AND($C851=1, $O851="Semi-Detached",$Q851="Yes"),$E851,"")</f>
        <v/>
      </c>
      <c r="JF851" s="2140" t="str">
        <f t="shared" ref="JF851:JF888" si="244">IF(AND($C851=2, $O851="Semi-Detached",$Q851="Yes"),$E851,"")</f>
        <v/>
      </c>
      <c r="JG851" s="2140" t="str">
        <f t="shared" ref="JG851:JG888" si="245">IF(AND($C851=3, $O851="Semi-Detached",$Q851="Yes"),$E851,"")</f>
        <v/>
      </c>
      <c r="JH851" s="2140" t="str">
        <f t="shared" ref="JH851:JH888" si="246">IF(AND($C851=4, $O851="Semi-Detached",$Q851="Yes"),$E851,"")</f>
        <v/>
      </c>
      <c r="JI851" s="2140" t="str">
        <f t="shared" ref="JI851:JI888" si="247">IF(AND($C851="Efficiency", $O851="Row House/TH",NOT($Q851="Yes")),$E851,"")</f>
        <v/>
      </c>
      <c r="JJ851" s="2140" t="str">
        <f t="shared" ref="JJ851:JJ888" si="248">IF(AND($C851=1, $O851="Row House/TH",NOT($Q851="Yes")),$E851,"")</f>
        <v/>
      </c>
      <c r="JK851" s="2140" t="str">
        <f t="shared" ref="JK851:JK888" si="249">IF(AND($C851=2, $O851="Row House/TH",NOT($Q851="Yes")),$E851,"")</f>
        <v/>
      </c>
      <c r="JL851" s="2140" t="str">
        <f t="shared" ref="JL851:JL888" si="250">IF(AND($C851=3, $O851="Row House/TH",NOT($Q851="Yes")),$E851,"")</f>
        <v/>
      </c>
      <c r="JM851" s="2140" t="str">
        <f t="shared" ref="JM851:JM888" si="251">IF(AND($C851=4, $O851="Row House/TH",NOT($Q851="Yes")),$E851,"")</f>
        <v/>
      </c>
      <c r="JN851" s="2140" t="str">
        <f t="shared" ref="JN851:JN888" si="252">IF(AND($C851="Efficiency", $O851="Row House/TH",$Q851="Yes"),$E851,"")</f>
        <v/>
      </c>
      <c r="JO851" s="2140" t="str">
        <f t="shared" ref="JO851:JO888" si="253">IF(AND($C851=1, $O851="Row House/TH",$Q851="Yes"),$E851,"")</f>
        <v/>
      </c>
      <c r="JP851" s="2140" t="str">
        <f t="shared" ref="JP851:JP888" si="254">IF(AND($C851=2, $O851="Row House/TH",$Q851="Yes"),$E851,"")</f>
        <v/>
      </c>
      <c r="JQ851" s="2140" t="str">
        <f t="shared" ref="JQ851:JQ888" si="255">IF(AND($C851=3, $O851="Row House/TH",$Q851="Yes"),$E851,"")</f>
        <v/>
      </c>
      <c r="JR851" s="2140" t="str">
        <f t="shared" ref="JR851:JR888" si="256">IF(AND($C851=4, $O851="Row House/TH",$Q851="Yes"),$E851,"")</f>
        <v/>
      </c>
      <c r="JS851" s="2140" t="str">
        <f t="shared" ref="JS851:JS888" si="257">IF(AND($C851="Efficiency", $O851="Low-Rise Apt",NOT($Q851="Yes")),$E851,"")</f>
        <v/>
      </c>
      <c r="JT851" s="2140" t="str">
        <f t="shared" ref="JT851:JT888" si="258">IF(AND($C851=1, $O851="Low-Rise Apt",NOT($Q851="Yes")),$E851,"")</f>
        <v/>
      </c>
      <c r="JU851" s="2140" t="str">
        <f t="shared" ref="JU851:JU888" si="259">IF(AND($C851=2, $O851="Low-Rise Apt",NOT($Q851="Yes")),$E851,"")</f>
        <v/>
      </c>
      <c r="JV851" s="2140" t="str">
        <f t="shared" ref="JV851:JV888" si="260">IF(AND($C851=3, $O851="Low-Rise Apt",NOT($Q851="Yes")),$E851,"")</f>
        <v/>
      </c>
      <c r="JW851" s="2140" t="str">
        <f t="shared" ref="JW851:JW888" si="261">IF(AND($C851=4, $O851="Low-Rise Apt",NOT($Q851="Yes")),$E851,"")</f>
        <v/>
      </c>
      <c r="JX851" s="2140" t="str">
        <f t="shared" ref="JX851:JX888" si="262">IF(AND($C851="Efficiency", $O851="Low-Rise Elevator",NOT($Q851="Yes")),$E851,"")</f>
        <v/>
      </c>
      <c r="JY851" s="2140" t="str">
        <f t="shared" ref="JY851:JY888" si="263">IF(AND($C851=1, $O851="Low-Rise Elevator",NOT($Q851="Yes")),$E851,"")</f>
        <v/>
      </c>
      <c r="JZ851" s="2140" t="str">
        <f t="shared" ref="JZ851:JZ888" si="264">IF(AND($C851=2, $O851="Low-Rise Elevator",NOT($Q851="Yes")),$E851,"")</f>
        <v/>
      </c>
      <c r="KA851" s="2140" t="str">
        <f t="shared" ref="KA851:KA888" si="265">IF(AND($C851=3, $O851="Low-Rise Elevator",NOT($Q851="Yes")),$E851,"")</f>
        <v/>
      </c>
      <c r="KB851" s="2140" t="str">
        <f t="shared" ref="KB851:KB888" si="266">IF(AND($C851=4, $O851="Low-Rise Elevator",NOT($Q851="Yes")),$E851,"")</f>
        <v/>
      </c>
      <c r="KC851" s="2140" t="str">
        <f t="shared" ref="KC851:KC888" si="267">IF(AND($C851="Efficiency", $O851="Low-Rise Apt",$Q851="Yes"),$E851,"")</f>
        <v/>
      </c>
      <c r="KD851" s="2140" t="str">
        <f t="shared" ref="KD851:KD888" si="268">IF(AND($C851=1, $O851="Low-Rise Apt",$Q851="Yes"),$E851,"")</f>
        <v/>
      </c>
      <c r="KE851" s="2140" t="str">
        <f t="shared" ref="KE851:KE888" si="269">IF(AND($C851=2, $O851="Low-Rise Apt",$Q851="Yes"),$E851,"")</f>
        <v/>
      </c>
      <c r="KF851" s="2140" t="str">
        <f t="shared" ref="KF851:KF888" si="270">IF(AND($C851=3, $O851="Low-Rise Apt",$Q851="Yes"),$E851,"")</f>
        <v/>
      </c>
      <c r="KG851" s="2140" t="str">
        <f t="shared" ref="KG851:KG888" si="271">IF(AND($C851=4, $O851="Low-Rise Apt",$Q851="Yes"),$E851,"")</f>
        <v/>
      </c>
      <c r="KH851" s="2140" t="str">
        <f t="shared" ref="KH851:KH888" si="272">IF(AND($C851="Efficiency", $O851="Low-Rise Elevator",$Q851="Yes"),$E851,"")</f>
        <v/>
      </c>
      <c r="KI851" s="2140" t="str">
        <f t="shared" ref="KI851:KI888" si="273">IF(AND($C851=1, $O851="Low-Rise Elevator",$Q851="Yes"),$E851,"")</f>
        <v/>
      </c>
      <c r="KJ851" s="2140" t="str">
        <f t="shared" ref="KJ851:KJ888" si="274">IF(AND($C851=2, $O851="Low-Rise Elevator",$Q851="Yes"),$E851,"")</f>
        <v/>
      </c>
      <c r="KK851" s="2140" t="str">
        <f t="shared" ref="KK851:KK888" si="275">IF(AND($C851=3, $O851="Low-Rise Elevator",$Q851="Yes"),$E851,"")</f>
        <v/>
      </c>
      <c r="KL851" s="2140" t="str">
        <f t="shared" ref="KL851:KL888" si="276">IF(AND($C851=4, $O851="Low-Rise Elevator",$Q851="Yes"),$E851,"")</f>
        <v/>
      </c>
      <c r="KM851" s="2140" t="str">
        <f t="shared" ref="KM851:KM888" si="277">IF(AND($C851="Efficiency", $O851="High-Rise Apt",NOT($Q851="Yes")),$E851,"")</f>
        <v/>
      </c>
      <c r="KN851" s="2140" t="str">
        <f t="shared" ref="KN851:KN888" si="278">IF(AND($C851=1, $O851="High-Rise Apt",NOT($Q851="Yes")),$E851,"")</f>
        <v/>
      </c>
      <c r="KO851" s="2140" t="str">
        <f t="shared" ref="KO851:KO888" si="279">IF(AND($C851=2, $O851="High-Rise Apt",NOT($Q851="Yes")),$E851,"")</f>
        <v/>
      </c>
      <c r="KP851" s="2140" t="str">
        <f t="shared" ref="KP851:KP888" si="280">IF(AND($C851=3, $O851="High-Rise Apt",NOT($Q851="Yes")),$E851,"")</f>
        <v/>
      </c>
      <c r="KQ851" s="2140" t="str">
        <f t="shared" ref="KQ851:KQ888" si="281">IF(AND($C851=4, $O851="High-Rise Apt",NOT($Q851="Yes")),$E851,"")</f>
        <v/>
      </c>
      <c r="KR851" s="2140" t="str">
        <f t="shared" ref="KR851:KR888" si="282">IF(AND($C851="Efficiency", $O851="High-Rise Elevator",NOT($Q851="Yes")),$E851,"")</f>
        <v/>
      </c>
      <c r="KS851" s="2140" t="str">
        <f t="shared" ref="KS851:KS888" si="283">IF(AND($C851=1, $O851="High-Rise Elevator",NOT($Q851="Yes")),$E851,"")</f>
        <v/>
      </c>
      <c r="KT851" s="2140" t="str">
        <f t="shared" ref="KT851:KT888" si="284">IF(AND($C851=2, $O851="High-Rise Elevator",NOT($Q851="Yes")),$E851,"")</f>
        <v/>
      </c>
      <c r="KU851" s="2140" t="str">
        <f t="shared" ref="KU851:KU888" si="285">IF(AND($C851=3, $O851="High-Rise Elevator",NOT($Q851="Yes")),$E851,"")</f>
        <v/>
      </c>
      <c r="KV851" s="2140" t="str">
        <f t="shared" ref="KV851:KV888" si="286">IF(AND($C851=4, $O851="High-Rise Elevator",NOT($Q851="Yes")),$E851,"")</f>
        <v/>
      </c>
      <c r="KW851" s="2140" t="str">
        <f t="shared" ref="KW851:KW888" si="287">IF(AND($C851="Efficiency", $O851="High-Rise Apt",$Q851="Yes"),$E851,"")</f>
        <v/>
      </c>
      <c r="KX851" s="2140" t="str">
        <f t="shared" ref="KX851:KX888" si="288">IF(AND($C851=1, $O851="High-Rise Apt",$Q851="Yes"),$E851,"")</f>
        <v/>
      </c>
      <c r="KY851" s="2140" t="str">
        <f t="shared" ref="KY851:KY888" si="289">IF(AND($C851=2, $O851="High-Rise Apt",$Q851="Yes"),$E851,"")</f>
        <v/>
      </c>
      <c r="KZ851" s="2140" t="str">
        <f t="shared" ref="KZ851:KZ888" si="290">IF(AND($C851=3, $O851="High-Rise Apt",$Q851="Yes"),$E851,"")</f>
        <v/>
      </c>
      <c r="LA851" s="2140" t="str">
        <f t="shared" ref="LA851:LA888" si="291">IF(AND($C851=4, $O851="High-Rise Apt",$Q851="Yes"),$E851,"")</f>
        <v/>
      </c>
      <c r="LB851" s="2140" t="str">
        <f t="shared" ref="LB851:LB888" si="292">IF(AND($C851="Efficiency", $O851="High-Rise Elevator",$Q851="Yes"),$E851,"")</f>
        <v/>
      </c>
      <c r="LC851" s="2140" t="str">
        <f t="shared" ref="LC851:LC888" si="293">IF(AND($C851=1, $O851="High-Rise Elevator",$Q851="Yes"),$E851,"")</f>
        <v/>
      </c>
      <c r="LD851" s="2140" t="str">
        <f t="shared" ref="LD851:LD888" si="294">IF(AND($C851=2, $O851="High-Rise Elevator",$Q851="Yes"),$E851,"")</f>
        <v/>
      </c>
      <c r="LE851" s="2140" t="str">
        <f t="shared" ref="LE851:LE888" si="295">IF(AND($C851=3, $O851="High-Rise Elevator",$Q851="Yes"),$E851,"")</f>
        <v/>
      </c>
      <c r="LF851" s="2140" t="str">
        <f t="shared" ref="LF851:LF888" si="296">IF(AND($C851=4, $O851="High-Rise Elevator",$Q851="Yes"),$E851,"")</f>
        <v/>
      </c>
      <c r="LG851" s="2051" t="str">
        <f t="shared" ref="LG851:LG888" si="297">IF(AND($B851="NSP 120% AMI",$C851="Efficiency", NOT($N851="Common Space")),$E851,"")</f>
        <v/>
      </c>
      <c r="LH851" s="2051" t="str">
        <f t="shared" ref="LH851:LH888" si="298">IF(AND($B851="NSP 120% AMI",$C851=1,NOT($N851="Common Space")),$E851,"")</f>
        <v/>
      </c>
      <c r="LI851" s="2051" t="str">
        <f t="shared" ref="LI851:LI888" si="299">IF(AND($B851="NSP 120% AMI",$C851=2,NOT($N851="Common Space")),$E851,"")</f>
        <v/>
      </c>
      <c r="LJ851" s="2051" t="str">
        <f t="shared" ref="LJ851:LJ888" si="300">IF(AND($B851="NSP 120% AMI",$C851=3,NOT($N851="Common Space")),$E851,"")</f>
        <v/>
      </c>
      <c r="LK851" s="2051" t="str">
        <f t="shared" ref="LK851:LK888" si="301">IF(AND($B851="NSP 120% AMI",$C851=4,NOT($N851="Common Space")),$E851,"")</f>
        <v/>
      </c>
      <c r="LL851" s="1852" t="str">
        <f t="shared" ref="LL851:LL888" si="302">IF(AND(C851="Efficiency",B851="NSP 120% AMI",NOT(N851="Common Space")),E851*F851,"")</f>
        <v/>
      </c>
      <c r="LM851" s="1852" t="str">
        <f t="shared" ref="LM851:LM888" si="303">IF(AND(C851=1,B851="NSP 120% AMI",NOT(N851="Common Space")),E851*F851,"")</f>
        <v/>
      </c>
      <c r="LN851" s="1852" t="str">
        <f t="shared" ref="LN851:LN888" si="304">IF(AND(C851=2,B851="NSP 120% AMI",NOT(N851="Common Space")),E851*F851,"")</f>
        <v/>
      </c>
      <c r="LO851" s="1852" t="str">
        <f t="shared" ref="LO851:LO888" si="305">IF(AND(C851=3,B851="NSP 120% AMI",NOT(N851="Common Space")),E851*F851,"")</f>
        <v/>
      </c>
      <c r="LP851" s="1852" t="str">
        <f t="shared" ref="LP851:LP888" si="306">IF(AND(C851=4,B851="NSP 120% AMI",NOT(N851="Common Space")),E851*F851,"")</f>
        <v/>
      </c>
      <c r="LQ851" s="1852" t="str">
        <f t="shared" ref="LQ851:LQ888" si="307">IF(AND($C851="Efficiency", $P851="New Construction",$B851="NSP 120% AMI",NOT($N851="Common Space")),$E851,"")</f>
        <v/>
      </c>
      <c r="LR851" s="1852" t="str">
        <f t="shared" ref="LR851:LR888" si="308">IF(AND($C851=1, $P851="New Construction",$B851="NSP 120% AMI",NOT($N851="Common Space")),$E851,"")</f>
        <v/>
      </c>
      <c r="LS851" s="1852" t="str">
        <f t="shared" ref="LS851:LS888" si="309">IF(AND($C851=2, $P851="New Construction",$B851="NSP 120% AMI",NOT($N851="Common Space")),$E851,"")</f>
        <v/>
      </c>
      <c r="LT851" s="1852" t="str">
        <f t="shared" ref="LT851:LT888" si="310">IF(AND($C851=3, $P851="New Construction",$B851="NSP 120% AMI",NOT($N851="Common Space")),$E851,"")</f>
        <v/>
      </c>
      <c r="LU851" s="1852" t="str">
        <f t="shared" ref="LU851:LU888" si="311">IF(AND($C851=4, $P851="New Construction",$B851="NSP 120% AMI",NOT($N851="Common Space")),$E851,"")</f>
        <v/>
      </c>
      <c r="LV851" s="1852" t="str">
        <f t="shared" ref="LV851:LV888" si="312">IF(AND($C851="Efficiency", $P851="Acquisition/Rehab",$B851="NSP 120% AMI",NOT($N851="Common Space")),$E851,"")</f>
        <v/>
      </c>
      <c r="LW851" s="1852" t="str">
        <f t="shared" ref="LW851:LW888" si="313">IF(AND($C851=1, $P851="Acquisition/Rehab",$B851="NSP 120% AMI",NOT($N851="Common Space")),$E851,"")</f>
        <v/>
      </c>
      <c r="LX851" s="1852" t="str">
        <f t="shared" ref="LX851:LX888" si="314">IF(AND($C851=2, $P851="Acquisition/Rehab",$B851="NSP 120% AMI",NOT($N851="Common Space")),$E851,"")</f>
        <v/>
      </c>
      <c r="LY851" s="1852" t="str">
        <f t="shared" ref="LY851:LY888" si="315">IF(AND($C851=3, $P851="Acquisition/Rehab",$B851="NSP 120% AMI",NOT($N851="Common Space")),$E851,"")</f>
        <v/>
      </c>
      <c r="LZ851" s="1852" t="str">
        <f t="shared" ref="LZ851:LZ888" si="316">IF(AND($C851=4, $P851="Acquisition/Rehab",$B851="NSP 120% AMI",NOT($N851="Common Space")),$E851,"")</f>
        <v/>
      </c>
      <c r="MA851" s="1852" t="str">
        <f t="shared" ref="MA851:MA888" si="317">IF(AND($C851="Efficiency", $P851="Rehabilitation",$B851="NSP 120% AMI",NOT($N851="Common Space")),$E851,"")</f>
        <v/>
      </c>
      <c r="MB851" s="1852" t="str">
        <f t="shared" ref="MB851:MB888" si="318">IF(AND($C851=1, $P851="Rehabilitation",$B851="NSP 120% AMI",NOT($N851="Common Space")),$E851,"")</f>
        <v/>
      </c>
      <c r="MC851" s="1852" t="str">
        <f t="shared" ref="MC851:MC888" si="319">IF(AND($C851=2, $P851="Rehabilitation",$B851="NSP 120% AMI",NOT($N851="Common Space")),$E851,"")</f>
        <v/>
      </c>
      <c r="MD851" s="1852" t="str">
        <f t="shared" ref="MD851:MD888" si="320">IF(AND($C851=3, $P851="Rehabilitation",$B851="NSP 120% AMI",NOT($N851="Common Space")),$E851,"")</f>
        <v/>
      </c>
      <c r="ME851" s="1852" t="str">
        <f t="shared" ref="ME851:ME888" si="321">IF(AND($C851=4, $P851="Rehabilitation",$B851="NSP 120% AMI",NOT($N851="Common Space")),$E851,"")</f>
        <v/>
      </c>
      <c r="MF851" s="2051">
        <f>IF(AND($C851="Efficiency",$E851&gt;0,OR($O851="Low-Rise Apt",$O851="Low-Rise Elevator",$O851="High-Rise Apt",$O851="High-Rise Elevator",$O851="Row House/TH"),OR($P851="Acquisition/Rehab",$P851="Rehabilitation"),NOT($Q851="Yes")),$E851,0)</f>
        <v>0</v>
      </c>
      <c r="MG851" s="2051">
        <f>IF(AND($C851=1,$E851&gt;0,OR($O851="Low-Rise Apt",$O851="Low-Rise Elevator",$O851="High-Rise Apt",$O851="High-Rise Elevator",$O851="Row House/TH"),OR($P851="Acquisition/Rehab",$P851="Rehabilitation"),NOT($Q851="Yes")),$E851,0)</f>
        <v>0</v>
      </c>
      <c r="MH851" s="2051">
        <f>IF(AND($C851=2,$E851&gt;0,OR($O851="Low-Rise Apt",$O851="Low-Rise Elevator",$O851="High-Rise Apt",$O851="High-Rise Elevator",$O851="Row House/TH"),OR($P851="Acquisition/Rehab",$P851="Rehabilitation"),NOT($Q851="Yes")),$E851,0)</f>
        <v>0</v>
      </c>
      <c r="MI851" s="2051">
        <f>IF(AND($C851=3,$E851&gt;0,OR($O851="Low-Rise Apt",$O851="Low-Rise Elevator",$O851="High-Rise Apt",$O851="High-Rise Elevator",$O851="Row House/TH"),OR($P851="Acquisition/Rehab",$P851="Rehabilitation"),NOT($Q851="Yes")),$E851,0)</f>
        <v>0</v>
      </c>
      <c r="MJ851" s="2051">
        <f>IF(AND($C851=4,$E851&gt;0,OR($O851="Low-Rise Apt",$O851="Low-Rise Elevator",$O851="High-Rise Apt",$O851="High-Rise Elevator",$O851="Row House/TH"),OR($P851="Acquisition/Rehab",$P851="Rehabilitation"),NOT($Q851="Yes")),$E851,0)</f>
        <v>0</v>
      </c>
      <c r="MK851" s="2051">
        <f>IF(AND($C851="Efficiency",$E851&gt;0,OR($O851="Low-Rise Apt",$O851="Low-Rise Elevator",$O851="High-Rise Apt",$O851="High-Rise Elevator",$O851="Row House/TH"),$P851="New Construction"),$E851,0)</f>
        <v>0</v>
      </c>
      <c r="ML851" s="2051">
        <f>IF(AND($C851=1,$E851&gt;0,OR($O851="Low-Rise Apt",$O851="Low-Rise Elevator",$O851="High-Rise Apt",$O851="High-Rise Elevator",$O851="Row House/TH"),$P851="New Construction"),$E851,0)</f>
        <v>0</v>
      </c>
      <c r="MM851" s="2051">
        <f>IF(AND($C851=2,$E851&gt;0,OR($O851="Low-Rise Apt",$O851="Low-Rise Elevator",$O851="High-Rise Apt",$O851="High-Rise Elevator",$O851="Row House/TH"),$P851="New Construction"),$E851,0)</f>
        <v>0</v>
      </c>
      <c r="MN851" s="2051">
        <f>IF(AND($C851=3,$E851&gt;0,OR($O851="Low-Rise Apt",$O851="Low-Rise Elevator",$O851="High-Rise Apt",$O851="High-Rise Elevator",$O851="Row House/TH"),$P851="New Construction"),$E851,0)</f>
        <v>0</v>
      </c>
      <c r="MO851" s="2051">
        <f>IF(AND($C851=4,$E851&gt;0,OR($O851="Low-Rise Apt",$O851="Low-Rise Elevator",$O851="High-Rise Apt",$O851="High-Rise Elevator",$O851="Row House/TH"),$P851="New Construction"),$E851,0)</f>
        <v>0</v>
      </c>
      <c r="MP851" s="2051">
        <f t="shared" ref="MP851:MP888" si="322">IF(AND($C851="Efficiency",$E851&gt;0,OR($O851="SF Detached",$O851="Semi-Detached",$O851="Mfd Home"),NOT($Q851="Yes")),$E851,0)</f>
        <v>0</v>
      </c>
      <c r="MQ851" s="2051">
        <f t="shared" ref="MQ851:MQ888" si="323">IF(AND($C851=1,$E851&gt;0,OR($O851="SF Detached",$O851="Semi-Detached",$O851="Mfd Home"),NOT($Q851="Yes")),$E851,0)</f>
        <v>0</v>
      </c>
      <c r="MR851" s="2051">
        <f t="shared" ref="MR851:MR888" si="324">IF(AND($C851=2,$E851&gt;0,OR($O851="SF Detached",$O851="Semi-Detached",$O851="Mfd Home"),NOT($Q851="Yes")),$E851,0)</f>
        <v>0</v>
      </c>
      <c r="MS851" s="2051">
        <f t="shared" ref="MS851:MS888" si="325">IF(AND($C851=3,$E851&gt;0,OR($O851="SF Detached",$O851="Semi-Detached",$O851="Mfd Home"),NOT($Q851="Yes")),$E851,0)</f>
        <v>0</v>
      </c>
      <c r="MT851" s="2051">
        <f t="shared" ref="MT851:MT888" si="326">IF(AND($C851=4,$E851&gt;0,OR($O851="SF Detached",$O851="Semi-Detached",$O851="Mfd Home"),NOT($Q851="Yes")),$E851,0)</f>
        <v>0</v>
      </c>
      <c r="NP851" s="1924" t="s">
        <v>6720</v>
      </c>
    </row>
    <row r="852" spans="1:380" s="1852" customFormat="1" ht="13.9" customHeight="1">
      <c r="A852" s="2108" t="str">
        <f t="shared" ref="A852:A888" si="327">IF(AND(E852&gt;0,OR(B852="",C852="",D852="",F852="",G852="", H852="",I852="",N852="",O852="",P852="",Q852="")),1,"")</f>
        <v/>
      </c>
      <c r="B852" s="2130" t="str">
        <f>'Part VI-Revenues &amp; Expenses'!B12</f>
        <v>N/A-CS</v>
      </c>
      <c r="C852" s="2131">
        <f>'Part VI-Revenues &amp; Expenses'!C12</f>
        <v>0</v>
      </c>
      <c r="D852" s="2132">
        <f>'Part VI-Revenues &amp; Expenses'!D12</f>
        <v>0</v>
      </c>
      <c r="E852" s="2133">
        <f>'Part VI-Revenues &amp; Expenses'!E12</f>
        <v>0</v>
      </c>
      <c r="F852" s="2133">
        <f>'Part VI-Revenues &amp; Expenses'!F12</f>
        <v>0</v>
      </c>
      <c r="G852" s="2133">
        <f>'Part VI-Revenues &amp; Expenses'!G12</f>
        <v>0</v>
      </c>
      <c r="H852" s="2133">
        <f>'Part VI-Revenues &amp; Expenses'!H12</f>
        <v>0</v>
      </c>
      <c r="I852" s="2133">
        <f>'Part VI-Revenues &amp; Expenses'!I12</f>
        <v>0</v>
      </c>
      <c r="J852" s="2133">
        <f>'Part VI-Revenues &amp; Expenses'!J12</f>
        <v>0</v>
      </c>
      <c r="K852" s="2134">
        <f>'Part VI-Revenues &amp; Expenses'!K12</f>
        <v>0</v>
      </c>
      <c r="L852" s="2135">
        <f t="shared" si="0"/>
        <v>0</v>
      </c>
      <c r="M852" s="2135">
        <f t="shared" si="1"/>
        <v>0</v>
      </c>
      <c r="N852" s="1916">
        <f>'Part VI-Revenues &amp; Expenses'!N12</f>
        <v>0</v>
      </c>
      <c r="O852" s="2136">
        <f>'Part VI-Revenues &amp; Expenses'!O12</f>
        <v>0</v>
      </c>
      <c r="P852" s="1916">
        <f>'Part VI-Revenues &amp; Expenses'!P12</f>
        <v>0</v>
      </c>
      <c r="Q852" s="2137">
        <f>'Part VI-Revenues &amp; Expenses'!Q12</f>
        <v>0</v>
      </c>
      <c r="R852" s="2138"/>
      <c r="S852" s="2139"/>
      <c r="T852" s="2043"/>
      <c r="U852" s="2043"/>
      <c r="V852" s="2043"/>
      <c r="W852" s="2043"/>
      <c r="X852" s="1852" t="str">
        <f t="shared" si="2"/>
        <v/>
      </c>
      <c r="Y852" s="1852" t="str">
        <f t="shared" si="3"/>
        <v/>
      </c>
      <c r="Z852" s="1852" t="str">
        <f t="shared" si="4"/>
        <v/>
      </c>
      <c r="AA852" s="1852" t="str">
        <f t="shared" si="5"/>
        <v/>
      </c>
      <c r="AB852" s="1852" t="str">
        <f t="shared" si="6"/>
        <v/>
      </c>
      <c r="AC852" s="1852" t="str">
        <f t="shared" si="7"/>
        <v/>
      </c>
      <c r="AD852" s="1852" t="str">
        <f t="shared" si="8"/>
        <v/>
      </c>
      <c r="AE852" s="1852" t="str">
        <f t="shared" si="9"/>
        <v/>
      </c>
      <c r="AF852" s="1852" t="str">
        <f t="shared" si="10"/>
        <v/>
      </c>
      <c r="AG852" s="1852" t="str">
        <f t="shared" si="11"/>
        <v/>
      </c>
      <c r="AH852" s="1852" t="str">
        <f t="shared" si="12"/>
        <v/>
      </c>
      <c r="AI852" s="1852" t="str">
        <f t="shared" si="13"/>
        <v/>
      </c>
      <c r="AJ852" s="1852" t="str">
        <f t="shared" si="14"/>
        <v/>
      </c>
      <c r="AK852" s="1852" t="str">
        <f t="shared" si="15"/>
        <v/>
      </c>
      <c r="AL852" s="1852" t="str">
        <f t="shared" si="16"/>
        <v/>
      </c>
      <c r="AM852" s="1852" t="str">
        <f t="shared" si="17"/>
        <v/>
      </c>
      <c r="AN852" s="1852" t="str">
        <f t="shared" si="18"/>
        <v/>
      </c>
      <c r="AO852" s="1852" t="str">
        <f t="shared" si="19"/>
        <v/>
      </c>
      <c r="AP852" s="1852" t="str">
        <f t="shared" si="20"/>
        <v/>
      </c>
      <c r="AQ852" s="1852" t="str">
        <f t="shared" si="21"/>
        <v/>
      </c>
      <c r="AR852" s="1852" t="str">
        <f t="shared" si="22"/>
        <v/>
      </c>
      <c r="AS852" s="1852" t="str">
        <f t="shared" si="23"/>
        <v/>
      </c>
      <c r="AT852" s="1852" t="str">
        <f t="shared" si="24"/>
        <v/>
      </c>
      <c r="AU852" s="1852" t="str">
        <f t="shared" si="25"/>
        <v/>
      </c>
      <c r="AV852" s="1852" t="str">
        <f t="shared" si="26"/>
        <v/>
      </c>
      <c r="AW852" s="1852" t="str">
        <f t="shared" si="27"/>
        <v/>
      </c>
      <c r="AX852" s="1852" t="str">
        <f t="shared" si="28"/>
        <v/>
      </c>
      <c r="AY852" s="1852" t="str">
        <f t="shared" si="29"/>
        <v/>
      </c>
      <c r="AZ852" s="1852" t="str">
        <f t="shared" si="30"/>
        <v/>
      </c>
      <c r="BA852" s="1852" t="str">
        <f t="shared" si="31"/>
        <v/>
      </c>
      <c r="BB852" s="1852" t="str">
        <f t="shared" si="32"/>
        <v/>
      </c>
      <c r="BC852" s="1852" t="str">
        <f t="shared" si="33"/>
        <v/>
      </c>
      <c r="BD852" s="1852" t="str">
        <f t="shared" si="34"/>
        <v/>
      </c>
      <c r="BE852" s="1852" t="str">
        <f t="shared" si="35"/>
        <v/>
      </c>
      <c r="BF852" s="1852" t="str">
        <f t="shared" si="36"/>
        <v/>
      </c>
      <c r="BG852" s="1852" t="str">
        <f t="shared" si="37"/>
        <v/>
      </c>
      <c r="BH852" s="1852" t="str">
        <f t="shared" si="38"/>
        <v/>
      </c>
      <c r="BI852" s="1852" t="str">
        <f t="shared" si="39"/>
        <v/>
      </c>
      <c r="BJ852" s="1852" t="str">
        <f t="shared" si="40"/>
        <v/>
      </c>
      <c r="BK852" s="1852" t="str">
        <f t="shared" si="41"/>
        <v/>
      </c>
      <c r="BL852" s="1852" t="str">
        <f t="shared" si="42"/>
        <v/>
      </c>
      <c r="BM852" s="1852" t="str">
        <f t="shared" si="43"/>
        <v/>
      </c>
      <c r="BN852" s="1852" t="str">
        <f t="shared" si="44"/>
        <v/>
      </c>
      <c r="BO852" s="1852" t="str">
        <f t="shared" si="45"/>
        <v/>
      </c>
      <c r="BP852" s="1852" t="str">
        <f t="shared" si="46"/>
        <v/>
      </c>
      <c r="BQ852" s="1852" t="str">
        <f t="shared" si="47"/>
        <v/>
      </c>
      <c r="BR852" s="1852" t="str">
        <f t="shared" si="48"/>
        <v/>
      </c>
      <c r="BS852" s="1852" t="str">
        <f t="shared" si="49"/>
        <v/>
      </c>
      <c r="BT852" s="1852" t="str">
        <f t="shared" si="50"/>
        <v/>
      </c>
      <c r="BU852" s="1852" t="str">
        <f t="shared" si="51"/>
        <v/>
      </c>
      <c r="BV852" s="1852" t="str">
        <f t="shared" si="52"/>
        <v/>
      </c>
      <c r="BW852" s="1852" t="str">
        <f t="shared" si="53"/>
        <v/>
      </c>
      <c r="BX852" s="1852" t="str">
        <f t="shared" si="54"/>
        <v/>
      </c>
      <c r="BY852" s="1852" t="str">
        <f t="shared" si="55"/>
        <v/>
      </c>
      <c r="BZ852" s="1852" t="str">
        <f t="shared" si="56"/>
        <v/>
      </c>
      <c r="CA852" s="1852" t="str">
        <f t="shared" si="57"/>
        <v/>
      </c>
      <c r="CB852" s="1852" t="str">
        <f t="shared" si="58"/>
        <v/>
      </c>
      <c r="CC852" s="1852" t="str">
        <f t="shared" si="59"/>
        <v/>
      </c>
      <c r="CD852" s="1852" t="str">
        <f t="shared" si="60"/>
        <v/>
      </c>
      <c r="CE852" s="1852" t="str">
        <f t="shared" si="61"/>
        <v/>
      </c>
      <c r="CF852" s="1852" t="str">
        <f t="shared" si="62"/>
        <v/>
      </c>
      <c r="CG852" s="1852" t="str">
        <f t="shared" si="63"/>
        <v/>
      </c>
      <c r="CH852" s="1852" t="str">
        <f t="shared" si="64"/>
        <v/>
      </c>
      <c r="CI852" s="1852" t="str">
        <f t="shared" si="65"/>
        <v/>
      </c>
      <c r="CJ852" s="1852" t="str">
        <f t="shared" si="66"/>
        <v/>
      </c>
      <c r="CK852" s="1852" t="str">
        <f t="shared" si="67"/>
        <v/>
      </c>
      <c r="CL852" s="1852" t="str">
        <f t="shared" si="68"/>
        <v/>
      </c>
      <c r="CM852" s="1852" t="str">
        <f t="shared" si="69"/>
        <v/>
      </c>
      <c r="CN852" s="1852" t="str">
        <f t="shared" si="70"/>
        <v/>
      </c>
      <c r="CO852" s="1852" t="str">
        <f t="shared" si="71"/>
        <v/>
      </c>
      <c r="CP852" s="1852" t="str">
        <f t="shared" si="72"/>
        <v/>
      </c>
      <c r="CQ852" s="1852" t="str">
        <f t="shared" si="73"/>
        <v/>
      </c>
      <c r="CR852" s="1852" t="str">
        <f t="shared" si="74"/>
        <v/>
      </c>
      <c r="CS852" s="1852" t="str">
        <f t="shared" si="75"/>
        <v/>
      </c>
      <c r="CT852" s="1852" t="str">
        <f t="shared" si="76"/>
        <v/>
      </c>
      <c r="CU852" s="1852" t="str">
        <f t="shared" si="77"/>
        <v/>
      </c>
      <c r="CV852" s="1852" t="str">
        <f t="shared" si="78"/>
        <v/>
      </c>
      <c r="CW852" s="1852" t="str">
        <f t="shared" si="79"/>
        <v/>
      </c>
      <c r="CX852" s="1852" t="str">
        <f t="shared" si="80"/>
        <v/>
      </c>
      <c r="CY852" s="1852" t="str">
        <f t="shared" si="81"/>
        <v/>
      </c>
      <c r="CZ852" s="1852" t="str">
        <f t="shared" si="82"/>
        <v/>
      </c>
      <c r="DA852" s="1852" t="str">
        <f t="shared" si="83"/>
        <v/>
      </c>
      <c r="DB852" s="1852" t="str">
        <f t="shared" si="84"/>
        <v/>
      </c>
      <c r="DC852" s="1852" t="str">
        <f t="shared" si="85"/>
        <v/>
      </c>
      <c r="DD852" s="1852" t="str">
        <f t="shared" si="86"/>
        <v/>
      </c>
      <c r="DE852" s="1852" t="str">
        <f t="shared" si="87"/>
        <v/>
      </c>
      <c r="DF852" s="1852" t="str">
        <f t="shared" si="88"/>
        <v/>
      </c>
      <c r="DG852" s="1852" t="str">
        <f t="shared" si="89"/>
        <v/>
      </c>
      <c r="DH852" s="1852" t="str">
        <f t="shared" si="90"/>
        <v/>
      </c>
      <c r="DI852" s="1852" t="str">
        <f t="shared" si="91"/>
        <v/>
      </c>
      <c r="DJ852" s="1852" t="str">
        <f t="shared" si="92"/>
        <v/>
      </c>
      <c r="DK852" s="1852" t="str">
        <f t="shared" si="93"/>
        <v/>
      </c>
      <c r="DL852" s="1852" t="str">
        <f t="shared" si="94"/>
        <v/>
      </c>
      <c r="DM852" s="1852" t="str">
        <f t="shared" si="95"/>
        <v/>
      </c>
      <c r="DN852" s="1852" t="str">
        <f t="shared" si="96"/>
        <v/>
      </c>
      <c r="DO852" s="1852" t="str">
        <f t="shared" si="97"/>
        <v/>
      </c>
      <c r="DP852" s="1852" t="str">
        <f t="shared" si="98"/>
        <v/>
      </c>
      <c r="DQ852" s="1852" t="str">
        <f t="shared" si="99"/>
        <v/>
      </c>
      <c r="DR852" s="1852" t="str">
        <f t="shared" si="100"/>
        <v/>
      </c>
      <c r="DS852" s="1852" t="str">
        <f t="shared" si="101"/>
        <v/>
      </c>
      <c r="DT852" s="1852" t="str">
        <f t="shared" si="102"/>
        <v/>
      </c>
      <c r="DU852" s="1852" t="str">
        <f t="shared" si="103"/>
        <v/>
      </c>
      <c r="DV852" s="1852" t="str">
        <f t="shared" si="104"/>
        <v/>
      </c>
      <c r="DW852" s="1852" t="str">
        <f t="shared" si="105"/>
        <v/>
      </c>
      <c r="DX852" s="1852" t="str">
        <f t="shared" si="106"/>
        <v/>
      </c>
      <c r="DY852" s="1852" t="str">
        <f t="shared" si="107"/>
        <v/>
      </c>
      <c r="DZ852" s="1852" t="str">
        <f t="shared" si="108"/>
        <v/>
      </c>
      <c r="EA852" s="1852" t="str">
        <f t="shared" si="109"/>
        <v/>
      </c>
      <c r="EB852" s="1852" t="str">
        <f t="shared" si="110"/>
        <v/>
      </c>
      <c r="EC852" s="1852" t="str">
        <f t="shared" si="111"/>
        <v/>
      </c>
      <c r="ED852" s="1852" t="str">
        <f t="shared" si="112"/>
        <v/>
      </c>
      <c r="EE852" s="1852" t="str">
        <f t="shared" si="113"/>
        <v/>
      </c>
      <c r="EF852" s="1852" t="str">
        <f t="shared" si="114"/>
        <v/>
      </c>
      <c r="EG852" s="1852" t="str">
        <f t="shared" si="115"/>
        <v/>
      </c>
      <c r="EH852" s="1852" t="str">
        <f t="shared" si="116"/>
        <v/>
      </c>
      <c r="EI852" s="1852" t="str">
        <f t="shared" si="117"/>
        <v/>
      </c>
      <c r="EJ852" s="1852" t="str">
        <f t="shared" si="118"/>
        <v/>
      </c>
      <c r="EK852" s="1852" t="str">
        <f t="shared" si="119"/>
        <v/>
      </c>
      <c r="EL852" s="1852" t="str">
        <f t="shared" si="120"/>
        <v/>
      </c>
      <c r="EM852" s="1852" t="str">
        <f t="shared" si="121"/>
        <v/>
      </c>
      <c r="EN852" s="1852" t="str">
        <f t="shared" si="122"/>
        <v/>
      </c>
      <c r="EO852" s="1852" t="str">
        <f t="shared" si="123"/>
        <v/>
      </c>
      <c r="EP852" s="1852" t="str">
        <f t="shared" si="124"/>
        <v/>
      </c>
      <c r="EQ852" s="1852" t="str">
        <f t="shared" si="125"/>
        <v/>
      </c>
      <c r="ER852" s="1852" t="str">
        <f t="shared" si="126"/>
        <v/>
      </c>
      <c r="ES852" s="1852" t="str">
        <f t="shared" si="127"/>
        <v/>
      </c>
      <c r="ET852" s="1852" t="str">
        <f t="shared" si="128"/>
        <v/>
      </c>
      <c r="EU852" s="1852" t="str">
        <f t="shared" si="129"/>
        <v/>
      </c>
      <c r="EV852" s="1852" t="str">
        <f t="shared" si="130"/>
        <v/>
      </c>
      <c r="EW852" s="1852" t="str">
        <f t="shared" si="131"/>
        <v/>
      </c>
      <c r="EX852" s="1852" t="str">
        <f t="shared" si="132"/>
        <v/>
      </c>
      <c r="EY852" s="1852" t="str">
        <f t="shared" si="133"/>
        <v/>
      </c>
      <c r="EZ852" s="1852" t="str">
        <f t="shared" si="134"/>
        <v/>
      </c>
      <c r="FA852" s="1852" t="str">
        <f t="shared" si="135"/>
        <v/>
      </c>
      <c r="FB852" s="1852" t="str">
        <f t="shared" si="136"/>
        <v/>
      </c>
      <c r="FC852" s="1852" t="str">
        <f t="shared" si="137"/>
        <v/>
      </c>
      <c r="FD852" s="1852" t="str">
        <f t="shared" si="138"/>
        <v/>
      </c>
      <c r="FE852" s="1852" t="str">
        <f t="shared" si="139"/>
        <v/>
      </c>
      <c r="FF852" s="1852" t="str">
        <f t="shared" si="140"/>
        <v/>
      </c>
      <c r="FG852" s="1852" t="str">
        <f t="shared" si="141"/>
        <v/>
      </c>
      <c r="FH852" s="1852" t="str">
        <f t="shared" si="142"/>
        <v/>
      </c>
      <c r="FI852" s="1852" t="str">
        <f t="shared" si="143"/>
        <v/>
      </c>
      <c r="FJ852" s="1852" t="str">
        <f t="shared" si="144"/>
        <v/>
      </c>
      <c r="FK852" s="1852" t="str">
        <f t="shared" si="145"/>
        <v/>
      </c>
      <c r="FL852" s="1852" t="str">
        <f t="shared" si="146"/>
        <v/>
      </c>
      <c r="FM852" s="1852" t="str">
        <f t="shared" si="147"/>
        <v/>
      </c>
      <c r="FN852" s="1852" t="str">
        <f t="shared" si="148"/>
        <v/>
      </c>
      <c r="FO852" s="1852" t="str">
        <f t="shared" si="149"/>
        <v/>
      </c>
      <c r="FP852" s="1852" t="str">
        <f t="shared" si="150"/>
        <v/>
      </c>
      <c r="FQ852" s="1852" t="str">
        <f t="shared" si="151"/>
        <v/>
      </c>
      <c r="FR852" s="1852" t="str">
        <f t="shared" si="152"/>
        <v/>
      </c>
      <c r="FS852" s="1852" t="str">
        <f t="shared" si="153"/>
        <v/>
      </c>
      <c r="FT852" s="1852" t="str">
        <f t="shared" si="154"/>
        <v/>
      </c>
      <c r="FU852" s="1852" t="str">
        <f t="shared" si="155"/>
        <v/>
      </c>
      <c r="FV852" s="1852" t="str">
        <f t="shared" si="156"/>
        <v/>
      </c>
      <c r="FW852" s="1852" t="str">
        <f t="shared" si="157"/>
        <v/>
      </c>
      <c r="FX852" s="1852" t="str">
        <f t="shared" si="158"/>
        <v/>
      </c>
      <c r="FY852" s="1852" t="str">
        <f t="shared" si="159"/>
        <v/>
      </c>
      <c r="FZ852" s="1852" t="str">
        <f t="shared" si="160"/>
        <v/>
      </c>
      <c r="GA852" s="1852" t="str">
        <f t="shared" si="161"/>
        <v/>
      </c>
      <c r="GB852" s="1852" t="str">
        <f t="shared" si="162"/>
        <v/>
      </c>
      <c r="GC852" s="1852" t="str">
        <f t="shared" si="163"/>
        <v/>
      </c>
      <c r="GD852" s="1852" t="str">
        <f t="shared" si="164"/>
        <v/>
      </c>
      <c r="GE852" s="1852" t="str">
        <f t="shared" si="165"/>
        <v/>
      </c>
      <c r="GF852" s="1852" t="str">
        <f t="shared" si="166"/>
        <v/>
      </c>
      <c r="GG852" s="1852" t="str">
        <f t="shared" si="167"/>
        <v/>
      </c>
      <c r="GH852" s="1852" t="str">
        <f t="shared" si="168"/>
        <v/>
      </c>
      <c r="GI852" s="1852" t="str">
        <f t="shared" si="169"/>
        <v/>
      </c>
      <c r="GJ852" s="1852" t="str">
        <f t="shared" si="170"/>
        <v/>
      </c>
      <c r="GK852" s="1852" t="str">
        <f t="shared" si="171"/>
        <v/>
      </c>
      <c r="GL852" s="1852" t="str">
        <f t="shared" si="172"/>
        <v/>
      </c>
      <c r="GM852" s="1852" t="str">
        <f t="shared" si="173"/>
        <v/>
      </c>
      <c r="GN852" s="1852" t="str">
        <f t="shared" si="174"/>
        <v/>
      </c>
      <c r="GO852" s="1852" t="str">
        <f t="shared" si="175"/>
        <v/>
      </c>
      <c r="GP852" s="1852" t="str">
        <f t="shared" si="176"/>
        <v/>
      </c>
      <c r="GQ852" s="1852" t="str">
        <f t="shared" si="177"/>
        <v/>
      </c>
      <c r="GR852" s="1852" t="str">
        <f t="shared" si="178"/>
        <v/>
      </c>
      <c r="GS852" s="1852" t="str">
        <f t="shared" si="179"/>
        <v/>
      </c>
      <c r="GT852" s="1852" t="str">
        <f t="shared" si="180"/>
        <v/>
      </c>
      <c r="GU852" s="1852" t="str">
        <f t="shared" si="181"/>
        <v/>
      </c>
      <c r="GV852" s="1852" t="str">
        <f t="shared" si="182"/>
        <v/>
      </c>
      <c r="GW852" s="1852" t="str">
        <f t="shared" si="183"/>
        <v/>
      </c>
      <c r="GX852" s="1852" t="str">
        <f t="shared" si="184"/>
        <v/>
      </c>
      <c r="GY852" s="1852" t="str">
        <f t="shared" si="185"/>
        <v/>
      </c>
      <c r="GZ852" s="1852" t="str">
        <f t="shared" si="186"/>
        <v/>
      </c>
      <c r="HA852" s="1852" t="str">
        <f t="shared" si="187"/>
        <v/>
      </c>
      <c r="HB852" s="1852" t="str">
        <f t="shared" si="188"/>
        <v/>
      </c>
      <c r="HC852" s="1852" t="str">
        <f t="shared" si="189"/>
        <v/>
      </c>
      <c r="HD852" s="1852" t="str">
        <f t="shared" si="190"/>
        <v/>
      </c>
      <c r="HE852" s="1852" t="str">
        <f t="shared" si="191"/>
        <v/>
      </c>
      <c r="HF852" s="1852" t="str">
        <f t="shared" si="192"/>
        <v/>
      </c>
      <c r="HG852" s="1852" t="str">
        <f t="shared" si="193"/>
        <v/>
      </c>
      <c r="HH852" s="1852" t="str">
        <f t="shared" si="194"/>
        <v/>
      </c>
      <c r="HI852" s="1852" t="str">
        <f t="shared" si="195"/>
        <v/>
      </c>
      <c r="HJ852" s="1852" t="str">
        <f t="shared" si="196"/>
        <v/>
      </c>
      <c r="HK852" s="1852" t="str">
        <f t="shared" si="197"/>
        <v/>
      </c>
      <c r="HL852" s="1852" t="str">
        <f t="shared" si="198"/>
        <v/>
      </c>
      <c r="HM852" s="1852" t="str">
        <f t="shared" si="199"/>
        <v/>
      </c>
      <c r="HN852" s="1852" t="str">
        <f t="shared" si="200"/>
        <v/>
      </c>
      <c r="HO852" s="1852" t="str">
        <f t="shared" si="201"/>
        <v/>
      </c>
      <c r="HP852" s="1852" t="str">
        <f t="shared" si="202"/>
        <v/>
      </c>
      <c r="HQ852" s="1852" t="str">
        <f t="shared" si="203"/>
        <v/>
      </c>
      <c r="HR852" s="1852" t="str">
        <f t="shared" si="204"/>
        <v/>
      </c>
      <c r="HS852" s="1852" t="str">
        <f t="shared" si="205"/>
        <v/>
      </c>
      <c r="HT852" s="1852" t="str">
        <f t="shared" si="206"/>
        <v/>
      </c>
      <c r="HU852" s="1852" t="str">
        <f t="shared" si="207"/>
        <v/>
      </c>
      <c r="HV852" s="1852" t="str">
        <f t="shared" si="208"/>
        <v/>
      </c>
      <c r="HW852" s="1852" t="str">
        <f t="shared" si="209"/>
        <v/>
      </c>
      <c r="HX852" s="1852" t="str">
        <f t="shared" si="210"/>
        <v/>
      </c>
      <c r="HY852" s="1852" t="str">
        <f t="shared" si="211"/>
        <v/>
      </c>
      <c r="HZ852" s="2140" t="str">
        <f t="shared" si="212"/>
        <v/>
      </c>
      <c r="IA852" s="2140" t="str">
        <f t="shared" si="213"/>
        <v/>
      </c>
      <c r="IB852" s="2140" t="str">
        <f t="shared" si="214"/>
        <v/>
      </c>
      <c r="IC852" s="2140" t="str">
        <f t="shared" si="215"/>
        <v/>
      </c>
      <c r="ID852" s="2140" t="str">
        <f t="shared" si="216"/>
        <v/>
      </c>
      <c r="IE852" s="2140" t="str">
        <f t="shared" si="217"/>
        <v/>
      </c>
      <c r="IF852" s="2140" t="str">
        <f t="shared" si="218"/>
        <v/>
      </c>
      <c r="IG852" s="2140" t="str">
        <f t="shared" si="219"/>
        <v/>
      </c>
      <c r="IH852" s="2140" t="str">
        <f t="shared" si="220"/>
        <v/>
      </c>
      <c r="II852" s="2140" t="str">
        <f t="shared" si="221"/>
        <v/>
      </c>
      <c r="IJ852" s="2140" t="str">
        <f t="shared" si="222"/>
        <v/>
      </c>
      <c r="IK852" s="2140" t="str">
        <f t="shared" si="223"/>
        <v/>
      </c>
      <c r="IL852" s="2140" t="str">
        <f t="shared" si="224"/>
        <v/>
      </c>
      <c r="IM852" s="2140" t="str">
        <f t="shared" si="225"/>
        <v/>
      </c>
      <c r="IN852" s="2140" t="str">
        <f t="shared" si="226"/>
        <v/>
      </c>
      <c r="IO852" s="2140" t="str">
        <f t="shared" si="227"/>
        <v/>
      </c>
      <c r="IP852" s="2140" t="str">
        <f t="shared" si="228"/>
        <v/>
      </c>
      <c r="IQ852" s="2140" t="str">
        <f t="shared" si="229"/>
        <v/>
      </c>
      <c r="IR852" s="2140" t="str">
        <f t="shared" si="230"/>
        <v/>
      </c>
      <c r="IS852" s="2140" t="str">
        <f t="shared" si="231"/>
        <v/>
      </c>
      <c r="IT852" s="2140" t="str">
        <f t="shared" si="232"/>
        <v/>
      </c>
      <c r="IU852" s="2140" t="str">
        <f t="shared" si="233"/>
        <v/>
      </c>
      <c r="IV852" s="2140" t="str">
        <f t="shared" si="234"/>
        <v/>
      </c>
      <c r="IW852" s="2140" t="str">
        <f t="shared" si="235"/>
        <v/>
      </c>
      <c r="IX852" s="2140" t="str">
        <f t="shared" si="236"/>
        <v/>
      </c>
      <c r="IY852" s="2140" t="str">
        <f t="shared" si="237"/>
        <v/>
      </c>
      <c r="IZ852" s="2140" t="str">
        <f t="shared" si="238"/>
        <v/>
      </c>
      <c r="JA852" s="2140" t="str">
        <f t="shared" si="239"/>
        <v/>
      </c>
      <c r="JB852" s="2140" t="str">
        <f t="shared" si="240"/>
        <v/>
      </c>
      <c r="JC852" s="2140" t="str">
        <f t="shared" si="241"/>
        <v/>
      </c>
      <c r="JD852" s="2140" t="str">
        <f t="shared" si="242"/>
        <v/>
      </c>
      <c r="JE852" s="2140" t="str">
        <f t="shared" si="243"/>
        <v/>
      </c>
      <c r="JF852" s="2140" t="str">
        <f t="shared" si="244"/>
        <v/>
      </c>
      <c r="JG852" s="2140" t="str">
        <f t="shared" si="245"/>
        <v/>
      </c>
      <c r="JH852" s="2140" t="str">
        <f t="shared" si="246"/>
        <v/>
      </c>
      <c r="JI852" s="2140" t="str">
        <f t="shared" si="247"/>
        <v/>
      </c>
      <c r="JJ852" s="2140" t="str">
        <f t="shared" si="248"/>
        <v/>
      </c>
      <c r="JK852" s="2140" t="str">
        <f t="shared" si="249"/>
        <v/>
      </c>
      <c r="JL852" s="2140" t="str">
        <f t="shared" si="250"/>
        <v/>
      </c>
      <c r="JM852" s="2140" t="str">
        <f t="shared" si="251"/>
        <v/>
      </c>
      <c r="JN852" s="2140" t="str">
        <f t="shared" si="252"/>
        <v/>
      </c>
      <c r="JO852" s="2140" t="str">
        <f t="shared" si="253"/>
        <v/>
      </c>
      <c r="JP852" s="2140" t="str">
        <f t="shared" si="254"/>
        <v/>
      </c>
      <c r="JQ852" s="2140" t="str">
        <f t="shared" si="255"/>
        <v/>
      </c>
      <c r="JR852" s="2140" t="str">
        <f t="shared" si="256"/>
        <v/>
      </c>
      <c r="JS852" s="2140" t="str">
        <f t="shared" si="257"/>
        <v/>
      </c>
      <c r="JT852" s="2140" t="str">
        <f t="shared" si="258"/>
        <v/>
      </c>
      <c r="JU852" s="2140" t="str">
        <f t="shared" si="259"/>
        <v/>
      </c>
      <c r="JV852" s="2140" t="str">
        <f t="shared" si="260"/>
        <v/>
      </c>
      <c r="JW852" s="2140" t="str">
        <f t="shared" si="261"/>
        <v/>
      </c>
      <c r="JX852" s="2140" t="str">
        <f t="shared" si="262"/>
        <v/>
      </c>
      <c r="JY852" s="2140" t="str">
        <f t="shared" si="263"/>
        <v/>
      </c>
      <c r="JZ852" s="2140" t="str">
        <f t="shared" si="264"/>
        <v/>
      </c>
      <c r="KA852" s="2140" t="str">
        <f t="shared" si="265"/>
        <v/>
      </c>
      <c r="KB852" s="2140" t="str">
        <f t="shared" si="266"/>
        <v/>
      </c>
      <c r="KC852" s="2140" t="str">
        <f t="shared" si="267"/>
        <v/>
      </c>
      <c r="KD852" s="2140" t="str">
        <f t="shared" si="268"/>
        <v/>
      </c>
      <c r="KE852" s="2140" t="str">
        <f t="shared" si="269"/>
        <v/>
      </c>
      <c r="KF852" s="2140" t="str">
        <f t="shared" si="270"/>
        <v/>
      </c>
      <c r="KG852" s="2140" t="str">
        <f t="shared" si="271"/>
        <v/>
      </c>
      <c r="KH852" s="2140" t="str">
        <f t="shared" si="272"/>
        <v/>
      </c>
      <c r="KI852" s="2140" t="str">
        <f t="shared" si="273"/>
        <v/>
      </c>
      <c r="KJ852" s="2140" t="str">
        <f t="shared" si="274"/>
        <v/>
      </c>
      <c r="KK852" s="2140" t="str">
        <f t="shared" si="275"/>
        <v/>
      </c>
      <c r="KL852" s="2140" t="str">
        <f t="shared" si="276"/>
        <v/>
      </c>
      <c r="KM852" s="2140" t="str">
        <f t="shared" si="277"/>
        <v/>
      </c>
      <c r="KN852" s="2140" t="str">
        <f t="shared" si="278"/>
        <v/>
      </c>
      <c r="KO852" s="2140" t="str">
        <f t="shared" si="279"/>
        <v/>
      </c>
      <c r="KP852" s="2140" t="str">
        <f t="shared" si="280"/>
        <v/>
      </c>
      <c r="KQ852" s="2140" t="str">
        <f t="shared" si="281"/>
        <v/>
      </c>
      <c r="KR852" s="2140" t="str">
        <f t="shared" si="282"/>
        <v/>
      </c>
      <c r="KS852" s="2140" t="str">
        <f t="shared" si="283"/>
        <v/>
      </c>
      <c r="KT852" s="2140" t="str">
        <f t="shared" si="284"/>
        <v/>
      </c>
      <c r="KU852" s="2140" t="str">
        <f t="shared" si="285"/>
        <v/>
      </c>
      <c r="KV852" s="2140" t="str">
        <f t="shared" si="286"/>
        <v/>
      </c>
      <c r="KW852" s="2140" t="str">
        <f t="shared" si="287"/>
        <v/>
      </c>
      <c r="KX852" s="2140" t="str">
        <f t="shared" si="288"/>
        <v/>
      </c>
      <c r="KY852" s="2140" t="str">
        <f t="shared" si="289"/>
        <v/>
      </c>
      <c r="KZ852" s="2140" t="str">
        <f t="shared" si="290"/>
        <v/>
      </c>
      <c r="LA852" s="2140" t="str">
        <f t="shared" si="291"/>
        <v/>
      </c>
      <c r="LB852" s="2140" t="str">
        <f t="shared" si="292"/>
        <v/>
      </c>
      <c r="LC852" s="2140" t="str">
        <f t="shared" si="293"/>
        <v/>
      </c>
      <c r="LD852" s="2140" t="str">
        <f t="shared" si="294"/>
        <v/>
      </c>
      <c r="LE852" s="2140" t="str">
        <f t="shared" si="295"/>
        <v/>
      </c>
      <c r="LF852" s="2140" t="str">
        <f t="shared" si="296"/>
        <v/>
      </c>
      <c r="LG852" s="2051" t="str">
        <f t="shared" si="297"/>
        <v/>
      </c>
      <c r="LH852" s="2051" t="str">
        <f t="shared" si="298"/>
        <v/>
      </c>
      <c r="LI852" s="2051" t="str">
        <f t="shared" si="299"/>
        <v/>
      </c>
      <c r="LJ852" s="2051" t="str">
        <f t="shared" si="300"/>
        <v/>
      </c>
      <c r="LK852" s="2051" t="str">
        <f t="shared" si="301"/>
        <v/>
      </c>
      <c r="LL852" s="1852" t="str">
        <f t="shared" si="302"/>
        <v/>
      </c>
      <c r="LM852" s="1852" t="str">
        <f t="shared" si="303"/>
        <v/>
      </c>
      <c r="LN852" s="1852" t="str">
        <f t="shared" si="304"/>
        <v/>
      </c>
      <c r="LO852" s="1852" t="str">
        <f t="shared" si="305"/>
        <v/>
      </c>
      <c r="LP852" s="1852" t="str">
        <f t="shared" si="306"/>
        <v/>
      </c>
      <c r="LQ852" s="1852" t="str">
        <f t="shared" si="307"/>
        <v/>
      </c>
      <c r="LR852" s="1852" t="str">
        <f t="shared" si="308"/>
        <v/>
      </c>
      <c r="LS852" s="1852" t="str">
        <f t="shared" si="309"/>
        <v/>
      </c>
      <c r="LT852" s="1852" t="str">
        <f t="shared" si="310"/>
        <v/>
      </c>
      <c r="LU852" s="1852" t="str">
        <f t="shared" si="311"/>
        <v/>
      </c>
      <c r="LV852" s="1852" t="str">
        <f t="shared" si="312"/>
        <v/>
      </c>
      <c r="LW852" s="1852" t="str">
        <f t="shared" si="313"/>
        <v/>
      </c>
      <c r="LX852" s="1852" t="str">
        <f t="shared" si="314"/>
        <v/>
      </c>
      <c r="LY852" s="1852" t="str">
        <f t="shared" si="315"/>
        <v/>
      </c>
      <c r="LZ852" s="1852" t="str">
        <f t="shared" si="316"/>
        <v/>
      </c>
      <c r="MA852" s="1852" t="str">
        <f t="shared" si="317"/>
        <v/>
      </c>
      <c r="MB852" s="1852" t="str">
        <f t="shared" si="318"/>
        <v/>
      </c>
      <c r="MC852" s="1852" t="str">
        <f t="shared" si="319"/>
        <v/>
      </c>
      <c r="MD852" s="1852" t="str">
        <f t="shared" si="320"/>
        <v/>
      </c>
      <c r="ME852" s="1852" t="str">
        <f t="shared" si="321"/>
        <v/>
      </c>
      <c r="MF852" s="2051">
        <f t="shared" ref="MF852:MF888" si="328">IF(AND($C852="Efficiency",$E852&gt;0,OR($O852="Low-Rise Apt",$O852="Low-Rise Elevator",$O852="High-Rise Apt",$O852="High-Rise Elevator",$O852="Row House/TH"),OR($P852="Acquisition/Rehab",$P852="Rehabilitation"),NOT($Q852="Yes")),$E852,0)</f>
        <v>0</v>
      </c>
      <c r="MG852" s="2051">
        <f t="shared" ref="MG852:MG888" si="329">IF(AND($C852=1,$E852&gt;0,OR($O852="Low-Rise Apt",$O852="Low-Rise Elevator",$O852="High-Rise Apt",$O852="High-Rise Elevator",$O852="Row House/TH"),OR($P852="Acquisition/Rehab",$P852="Rehabilitation"),NOT($Q852="Yes")),$E852,0)</f>
        <v>0</v>
      </c>
      <c r="MH852" s="2051">
        <f t="shared" ref="MH852:MH888" si="330">IF(AND($C852=2,$E852&gt;0,OR($O852="Low-Rise Apt",$O852="Low-Rise Elevator",$O852="High-Rise Apt",$O852="High-Rise Elevator",$O852="Row House/TH"),OR($P852="Acquisition/Rehab",$P852="Rehabilitation"),NOT($Q852="Yes")),$E852,0)</f>
        <v>0</v>
      </c>
      <c r="MI852" s="2051">
        <f t="shared" ref="MI852:MI888" si="331">IF(AND($C852=3,$E852&gt;0,OR($O852="Low-Rise Apt",$O852="Low-Rise Elevator",$O852="High-Rise Apt",$O852="High-Rise Elevator",$O852="Row House/TH"),OR($P852="Acquisition/Rehab",$P852="Rehabilitation"),NOT($Q852="Yes")),$E852,0)</f>
        <v>0</v>
      </c>
      <c r="MJ852" s="2051">
        <f t="shared" ref="MJ852:MJ888" si="332">IF(AND($C852=4,$E852&gt;0,OR($O852="Low-Rise Apt",$O852="Low-Rise Elevator",$O852="High-Rise Apt",$O852="High-Rise Elevator",$O852="Row House/TH"),OR($P852="Acquisition/Rehab",$P852="Rehabilitation"),NOT($Q852="Yes")),$E852,0)</f>
        <v>0</v>
      </c>
      <c r="MK852" s="2051">
        <f t="shared" ref="MK852:MK888" si="333">IF(AND($C852="Efficiency",$E852&gt;0,OR($O852="Low-Rise Apt",$O852="Low-Rise Elevator",$O852="High-Rise Apt",$O852="High-Rise Elevator",$O852="Row House/TH"),$P852="New Construction"),$E852,0)</f>
        <v>0</v>
      </c>
      <c r="ML852" s="2051">
        <f t="shared" ref="ML852:ML888" si="334">IF(AND($C852=1,$E852&gt;0,OR($O852="Low-Rise Apt",$O852="Low-Rise Elevator",$O852="High-Rise Apt",$O852="High-Rise Elevator",$O852="Row House/TH"),$P852="New Construction"),$E852,0)</f>
        <v>0</v>
      </c>
      <c r="MM852" s="2051">
        <f t="shared" ref="MM852:MM888" si="335">IF(AND($C852=2,$E852&gt;0,OR($O852="Low-Rise Apt",$O852="Low-Rise Elevator",$O852="High-Rise Apt",$O852="High-Rise Elevator",$O852="Row House/TH"),$P852="New Construction"),$E852,0)</f>
        <v>0</v>
      </c>
      <c r="MN852" s="2051">
        <f t="shared" ref="MN852:MN888" si="336">IF(AND($C852=3,$E852&gt;0,OR($O852="Low-Rise Apt",$O852="Low-Rise Elevator",$O852="High-Rise Apt",$O852="High-Rise Elevator",$O852="Row House/TH"),$P852="New Construction"),$E852,0)</f>
        <v>0</v>
      </c>
      <c r="MO852" s="2051">
        <f t="shared" ref="MO852:MO888" si="337">IF(AND($C852=4,$E852&gt;0,OR($O852="Low-Rise Apt",$O852="Low-Rise Elevator",$O852="High-Rise Apt",$O852="High-Rise Elevator",$O852="Row House/TH"),$P852="New Construction"),$E852,0)</f>
        <v>0</v>
      </c>
      <c r="MP852" s="2051">
        <f t="shared" si="322"/>
        <v>0</v>
      </c>
      <c r="MQ852" s="2051">
        <f t="shared" si="323"/>
        <v>0</v>
      </c>
      <c r="MR852" s="2051">
        <f t="shared" si="324"/>
        <v>0</v>
      </c>
      <c r="MS852" s="2051">
        <f t="shared" si="325"/>
        <v>0</v>
      </c>
      <c r="MT852" s="2051">
        <f t="shared" si="326"/>
        <v>0</v>
      </c>
      <c r="NP852" s="1924" t="s">
        <v>6721</v>
      </c>
    </row>
    <row r="853" spans="1:380" s="1852" customFormat="1" ht="13.9" customHeight="1">
      <c r="A853" s="2108" t="str">
        <f t="shared" si="327"/>
        <v/>
      </c>
      <c r="B853" s="2130" t="str">
        <f>'Part VI-Revenues &amp; Expenses'!B13</f>
        <v>Unrestricted</v>
      </c>
      <c r="C853" s="2131">
        <f>'Part VI-Revenues &amp; Expenses'!C13</f>
        <v>0</v>
      </c>
      <c r="D853" s="2132">
        <f>'Part VI-Revenues &amp; Expenses'!D13</f>
        <v>0</v>
      </c>
      <c r="E853" s="2133">
        <f>'Part VI-Revenues &amp; Expenses'!E13</f>
        <v>0</v>
      </c>
      <c r="F853" s="2133">
        <f>'Part VI-Revenues &amp; Expenses'!F13</f>
        <v>0</v>
      </c>
      <c r="G853" s="2133">
        <f>'Part VI-Revenues &amp; Expenses'!G13</f>
        <v>0</v>
      </c>
      <c r="H853" s="2133">
        <f>'Part VI-Revenues &amp; Expenses'!H13</f>
        <v>0</v>
      </c>
      <c r="I853" s="2133">
        <f>'Part VI-Revenues &amp; Expenses'!I13</f>
        <v>0</v>
      </c>
      <c r="J853" s="2133">
        <f>'Part VI-Revenues &amp; Expenses'!J13</f>
        <v>0</v>
      </c>
      <c r="K853" s="2134">
        <f>'Part VI-Revenues &amp; Expenses'!K13</f>
        <v>0</v>
      </c>
      <c r="L853" s="2135">
        <f t="shared" si="0"/>
        <v>0</v>
      </c>
      <c r="M853" s="2135">
        <f t="shared" si="1"/>
        <v>0</v>
      </c>
      <c r="N853" s="1916">
        <f>'Part VI-Revenues &amp; Expenses'!N13</f>
        <v>0</v>
      </c>
      <c r="O853" s="2136">
        <f>'Part VI-Revenues &amp; Expenses'!O13</f>
        <v>0</v>
      </c>
      <c r="P853" s="1916">
        <f>'Part VI-Revenues &amp; Expenses'!P13</f>
        <v>0</v>
      </c>
      <c r="Q853" s="2137">
        <f>'Part VI-Revenues &amp; Expenses'!Q13</f>
        <v>0</v>
      </c>
      <c r="R853" s="2138"/>
      <c r="S853" s="2139"/>
      <c r="T853" s="2043"/>
      <c r="U853" s="2043"/>
      <c r="V853" s="2043"/>
      <c r="W853" s="2043"/>
      <c r="X853" s="1852" t="str">
        <f t="shared" si="2"/>
        <v/>
      </c>
      <c r="Y853" s="1852" t="str">
        <f t="shared" si="3"/>
        <v/>
      </c>
      <c r="Z853" s="1852" t="str">
        <f t="shared" si="4"/>
        <v/>
      </c>
      <c r="AA853" s="1852" t="str">
        <f t="shared" si="5"/>
        <v/>
      </c>
      <c r="AB853" s="1852" t="str">
        <f t="shared" si="6"/>
        <v/>
      </c>
      <c r="AC853" s="1852" t="str">
        <f t="shared" si="7"/>
        <v/>
      </c>
      <c r="AD853" s="1852" t="str">
        <f t="shared" si="8"/>
        <v/>
      </c>
      <c r="AE853" s="1852" t="str">
        <f t="shared" si="9"/>
        <v/>
      </c>
      <c r="AF853" s="1852" t="str">
        <f t="shared" si="10"/>
        <v/>
      </c>
      <c r="AG853" s="1852" t="str">
        <f t="shared" si="11"/>
        <v/>
      </c>
      <c r="AH853" s="1852" t="str">
        <f t="shared" si="12"/>
        <v/>
      </c>
      <c r="AI853" s="1852" t="str">
        <f t="shared" si="13"/>
        <v/>
      </c>
      <c r="AJ853" s="1852" t="str">
        <f t="shared" si="14"/>
        <v/>
      </c>
      <c r="AK853" s="1852" t="str">
        <f t="shared" si="15"/>
        <v/>
      </c>
      <c r="AL853" s="1852" t="str">
        <f t="shared" si="16"/>
        <v/>
      </c>
      <c r="AM853" s="1852" t="str">
        <f t="shared" si="17"/>
        <v/>
      </c>
      <c r="AN853" s="1852" t="str">
        <f t="shared" si="18"/>
        <v/>
      </c>
      <c r="AO853" s="1852" t="str">
        <f t="shared" si="19"/>
        <v/>
      </c>
      <c r="AP853" s="1852" t="str">
        <f t="shared" si="20"/>
        <v/>
      </c>
      <c r="AQ853" s="1852" t="str">
        <f t="shared" si="21"/>
        <v/>
      </c>
      <c r="AR853" s="1852" t="str">
        <f t="shared" si="22"/>
        <v/>
      </c>
      <c r="AS853" s="1852" t="str">
        <f t="shared" si="23"/>
        <v/>
      </c>
      <c r="AT853" s="1852" t="str">
        <f t="shared" si="24"/>
        <v/>
      </c>
      <c r="AU853" s="1852" t="str">
        <f t="shared" si="25"/>
        <v/>
      </c>
      <c r="AV853" s="1852" t="str">
        <f t="shared" si="26"/>
        <v/>
      </c>
      <c r="AW853" s="1852" t="str">
        <f t="shared" si="27"/>
        <v/>
      </c>
      <c r="AX853" s="1852" t="str">
        <f t="shared" si="28"/>
        <v/>
      </c>
      <c r="AY853" s="1852" t="str">
        <f t="shared" si="29"/>
        <v/>
      </c>
      <c r="AZ853" s="1852" t="str">
        <f t="shared" si="30"/>
        <v/>
      </c>
      <c r="BA853" s="1852" t="str">
        <f t="shared" si="31"/>
        <v/>
      </c>
      <c r="BB853" s="1852" t="str">
        <f t="shared" si="32"/>
        <v/>
      </c>
      <c r="BC853" s="1852" t="str">
        <f t="shared" si="33"/>
        <v/>
      </c>
      <c r="BD853" s="1852" t="str">
        <f t="shared" si="34"/>
        <v/>
      </c>
      <c r="BE853" s="1852" t="str">
        <f t="shared" si="35"/>
        <v/>
      </c>
      <c r="BF853" s="1852" t="str">
        <f t="shared" si="36"/>
        <v/>
      </c>
      <c r="BG853" s="1852" t="str">
        <f t="shared" si="37"/>
        <v/>
      </c>
      <c r="BH853" s="1852" t="str">
        <f t="shared" si="38"/>
        <v/>
      </c>
      <c r="BI853" s="1852" t="str">
        <f t="shared" si="39"/>
        <v/>
      </c>
      <c r="BJ853" s="1852" t="str">
        <f t="shared" si="40"/>
        <v/>
      </c>
      <c r="BK853" s="1852" t="str">
        <f t="shared" si="41"/>
        <v/>
      </c>
      <c r="BL853" s="1852" t="str">
        <f t="shared" si="42"/>
        <v/>
      </c>
      <c r="BM853" s="1852" t="str">
        <f t="shared" si="43"/>
        <v/>
      </c>
      <c r="BN853" s="1852" t="str">
        <f t="shared" si="44"/>
        <v/>
      </c>
      <c r="BO853" s="1852" t="str">
        <f t="shared" si="45"/>
        <v/>
      </c>
      <c r="BP853" s="1852" t="str">
        <f t="shared" si="46"/>
        <v/>
      </c>
      <c r="BQ853" s="1852" t="str">
        <f t="shared" si="47"/>
        <v/>
      </c>
      <c r="BR853" s="1852" t="str">
        <f t="shared" si="48"/>
        <v/>
      </c>
      <c r="BS853" s="1852" t="str">
        <f t="shared" si="49"/>
        <v/>
      </c>
      <c r="BT853" s="1852" t="str">
        <f t="shared" si="50"/>
        <v/>
      </c>
      <c r="BU853" s="1852" t="str">
        <f t="shared" si="51"/>
        <v/>
      </c>
      <c r="BV853" s="1852" t="str">
        <f t="shared" si="52"/>
        <v/>
      </c>
      <c r="BW853" s="1852" t="str">
        <f t="shared" si="53"/>
        <v/>
      </c>
      <c r="BX853" s="1852" t="str">
        <f t="shared" si="54"/>
        <v/>
      </c>
      <c r="BY853" s="1852" t="str">
        <f t="shared" si="55"/>
        <v/>
      </c>
      <c r="BZ853" s="1852" t="str">
        <f t="shared" si="56"/>
        <v/>
      </c>
      <c r="CA853" s="1852" t="str">
        <f t="shared" si="57"/>
        <v/>
      </c>
      <c r="CB853" s="1852" t="str">
        <f t="shared" si="58"/>
        <v/>
      </c>
      <c r="CC853" s="1852" t="str">
        <f t="shared" si="59"/>
        <v/>
      </c>
      <c r="CD853" s="1852" t="str">
        <f t="shared" si="60"/>
        <v/>
      </c>
      <c r="CE853" s="1852" t="str">
        <f t="shared" si="61"/>
        <v/>
      </c>
      <c r="CF853" s="1852" t="str">
        <f t="shared" si="62"/>
        <v/>
      </c>
      <c r="CG853" s="1852" t="str">
        <f t="shared" si="63"/>
        <v/>
      </c>
      <c r="CH853" s="1852" t="str">
        <f t="shared" si="64"/>
        <v/>
      </c>
      <c r="CI853" s="1852" t="str">
        <f t="shared" si="65"/>
        <v/>
      </c>
      <c r="CJ853" s="1852" t="str">
        <f t="shared" si="66"/>
        <v/>
      </c>
      <c r="CK853" s="1852" t="str">
        <f t="shared" si="67"/>
        <v/>
      </c>
      <c r="CL853" s="1852" t="str">
        <f t="shared" si="68"/>
        <v/>
      </c>
      <c r="CM853" s="1852" t="str">
        <f t="shared" si="69"/>
        <v/>
      </c>
      <c r="CN853" s="1852" t="str">
        <f t="shared" si="70"/>
        <v/>
      </c>
      <c r="CO853" s="1852" t="str">
        <f t="shared" si="71"/>
        <v/>
      </c>
      <c r="CP853" s="1852" t="str">
        <f t="shared" si="72"/>
        <v/>
      </c>
      <c r="CQ853" s="1852" t="str">
        <f t="shared" si="73"/>
        <v/>
      </c>
      <c r="CR853" s="1852" t="str">
        <f t="shared" si="74"/>
        <v/>
      </c>
      <c r="CS853" s="1852" t="str">
        <f t="shared" si="75"/>
        <v/>
      </c>
      <c r="CT853" s="1852" t="str">
        <f t="shared" si="76"/>
        <v/>
      </c>
      <c r="CU853" s="1852" t="str">
        <f t="shared" si="77"/>
        <v/>
      </c>
      <c r="CV853" s="1852" t="str">
        <f t="shared" si="78"/>
        <v/>
      </c>
      <c r="CW853" s="1852" t="str">
        <f t="shared" si="79"/>
        <v/>
      </c>
      <c r="CX853" s="1852" t="str">
        <f t="shared" si="80"/>
        <v/>
      </c>
      <c r="CY853" s="1852" t="str">
        <f t="shared" si="81"/>
        <v/>
      </c>
      <c r="CZ853" s="1852" t="str">
        <f t="shared" si="82"/>
        <v/>
      </c>
      <c r="DA853" s="1852" t="str">
        <f t="shared" si="83"/>
        <v/>
      </c>
      <c r="DB853" s="1852" t="str">
        <f t="shared" si="84"/>
        <v/>
      </c>
      <c r="DC853" s="1852" t="str">
        <f t="shared" si="85"/>
        <v/>
      </c>
      <c r="DD853" s="1852" t="str">
        <f t="shared" si="86"/>
        <v/>
      </c>
      <c r="DE853" s="1852" t="str">
        <f t="shared" si="87"/>
        <v/>
      </c>
      <c r="DF853" s="1852" t="str">
        <f t="shared" si="88"/>
        <v/>
      </c>
      <c r="DG853" s="1852" t="str">
        <f t="shared" si="89"/>
        <v/>
      </c>
      <c r="DH853" s="1852" t="str">
        <f t="shared" si="90"/>
        <v/>
      </c>
      <c r="DI853" s="1852" t="str">
        <f t="shared" si="91"/>
        <v/>
      </c>
      <c r="DJ853" s="1852" t="str">
        <f t="shared" si="92"/>
        <v/>
      </c>
      <c r="DK853" s="1852" t="str">
        <f t="shared" si="93"/>
        <v/>
      </c>
      <c r="DL853" s="1852" t="str">
        <f t="shared" si="94"/>
        <v/>
      </c>
      <c r="DM853" s="1852" t="str">
        <f t="shared" si="95"/>
        <v/>
      </c>
      <c r="DN853" s="1852" t="str">
        <f t="shared" si="96"/>
        <v/>
      </c>
      <c r="DO853" s="1852" t="str">
        <f t="shared" si="97"/>
        <v/>
      </c>
      <c r="DP853" s="1852" t="str">
        <f t="shared" si="98"/>
        <v/>
      </c>
      <c r="DQ853" s="1852" t="str">
        <f t="shared" si="99"/>
        <v/>
      </c>
      <c r="DR853" s="1852" t="str">
        <f t="shared" si="100"/>
        <v/>
      </c>
      <c r="DS853" s="1852" t="str">
        <f t="shared" si="101"/>
        <v/>
      </c>
      <c r="DT853" s="1852" t="str">
        <f t="shared" si="102"/>
        <v/>
      </c>
      <c r="DU853" s="1852" t="str">
        <f t="shared" si="103"/>
        <v/>
      </c>
      <c r="DV853" s="1852" t="str">
        <f t="shared" si="104"/>
        <v/>
      </c>
      <c r="DW853" s="1852" t="str">
        <f t="shared" si="105"/>
        <v/>
      </c>
      <c r="DX853" s="1852" t="str">
        <f t="shared" si="106"/>
        <v/>
      </c>
      <c r="DY853" s="1852" t="str">
        <f t="shared" si="107"/>
        <v/>
      </c>
      <c r="DZ853" s="1852" t="str">
        <f t="shared" si="108"/>
        <v/>
      </c>
      <c r="EA853" s="1852" t="str">
        <f t="shared" si="109"/>
        <v/>
      </c>
      <c r="EB853" s="1852" t="str">
        <f t="shared" si="110"/>
        <v/>
      </c>
      <c r="EC853" s="1852" t="str">
        <f t="shared" si="111"/>
        <v/>
      </c>
      <c r="ED853" s="1852" t="str">
        <f t="shared" si="112"/>
        <v/>
      </c>
      <c r="EE853" s="1852" t="str">
        <f t="shared" si="113"/>
        <v/>
      </c>
      <c r="EF853" s="1852" t="str">
        <f t="shared" si="114"/>
        <v/>
      </c>
      <c r="EG853" s="1852" t="str">
        <f t="shared" si="115"/>
        <v/>
      </c>
      <c r="EH853" s="1852" t="str">
        <f t="shared" si="116"/>
        <v/>
      </c>
      <c r="EI853" s="1852" t="str">
        <f t="shared" si="117"/>
        <v/>
      </c>
      <c r="EJ853" s="1852" t="str">
        <f t="shared" si="118"/>
        <v/>
      </c>
      <c r="EK853" s="1852" t="str">
        <f t="shared" si="119"/>
        <v/>
      </c>
      <c r="EL853" s="1852" t="str">
        <f t="shared" si="120"/>
        <v/>
      </c>
      <c r="EM853" s="1852" t="str">
        <f t="shared" si="121"/>
        <v/>
      </c>
      <c r="EN853" s="1852" t="str">
        <f t="shared" si="122"/>
        <v/>
      </c>
      <c r="EO853" s="1852" t="str">
        <f t="shared" si="123"/>
        <v/>
      </c>
      <c r="EP853" s="1852" t="str">
        <f t="shared" si="124"/>
        <v/>
      </c>
      <c r="EQ853" s="1852" t="str">
        <f t="shared" si="125"/>
        <v/>
      </c>
      <c r="ER853" s="1852" t="str">
        <f t="shared" si="126"/>
        <v/>
      </c>
      <c r="ES853" s="1852" t="str">
        <f t="shared" si="127"/>
        <v/>
      </c>
      <c r="ET853" s="1852" t="str">
        <f t="shared" si="128"/>
        <v/>
      </c>
      <c r="EU853" s="1852" t="str">
        <f t="shared" si="129"/>
        <v/>
      </c>
      <c r="EV853" s="1852" t="str">
        <f t="shared" si="130"/>
        <v/>
      </c>
      <c r="EW853" s="1852" t="str">
        <f t="shared" si="131"/>
        <v/>
      </c>
      <c r="EX853" s="1852" t="str">
        <f t="shared" si="132"/>
        <v/>
      </c>
      <c r="EY853" s="1852" t="str">
        <f t="shared" si="133"/>
        <v/>
      </c>
      <c r="EZ853" s="1852" t="str">
        <f t="shared" si="134"/>
        <v/>
      </c>
      <c r="FA853" s="1852" t="str">
        <f t="shared" si="135"/>
        <v/>
      </c>
      <c r="FB853" s="1852" t="str">
        <f t="shared" si="136"/>
        <v/>
      </c>
      <c r="FC853" s="1852" t="str">
        <f t="shared" si="137"/>
        <v/>
      </c>
      <c r="FD853" s="1852" t="str">
        <f t="shared" si="138"/>
        <v/>
      </c>
      <c r="FE853" s="1852" t="str">
        <f t="shared" si="139"/>
        <v/>
      </c>
      <c r="FF853" s="1852" t="str">
        <f t="shared" si="140"/>
        <v/>
      </c>
      <c r="FG853" s="1852" t="str">
        <f t="shared" si="141"/>
        <v/>
      </c>
      <c r="FH853" s="1852" t="str">
        <f t="shared" si="142"/>
        <v/>
      </c>
      <c r="FI853" s="1852" t="str">
        <f t="shared" si="143"/>
        <v/>
      </c>
      <c r="FJ853" s="1852" t="str">
        <f t="shared" si="144"/>
        <v/>
      </c>
      <c r="FK853" s="1852" t="str">
        <f t="shared" si="145"/>
        <v/>
      </c>
      <c r="FL853" s="1852" t="str">
        <f t="shared" si="146"/>
        <v/>
      </c>
      <c r="FM853" s="1852" t="str">
        <f t="shared" si="147"/>
        <v/>
      </c>
      <c r="FN853" s="1852" t="str">
        <f t="shared" si="148"/>
        <v/>
      </c>
      <c r="FO853" s="1852" t="str">
        <f t="shared" si="149"/>
        <v/>
      </c>
      <c r="FP853" s="1852" t="str">
        <f t="shared" si="150"/>
        <v/>
      </c>
      <c r="FQ853" s="1852" t="str">
        <f t="shared" si="151"/>
        <v/>
      </c>
      <c r="FR853" s="1852" t="str">
        <f t="shared" si="152"/>
        <v/>
      </c>
      <c r="FS853" s="1852" t="str">
        <f t="shared" si="153"/>
        <v/>
      </c>
      <c r="FT853" s="1852" t="str">
        <f t="shared" si="154"/>
        <v/>
      </c>
      <c r="FU853" s="1852" t="str">
        <f t="shared" si="155"/>
        <v/>
      </c>
      <c r="FV853" s="1852" t="str">
        <f t="shared" si="156"/>
        <v/>
      </c>
      <c r="FW853" s="1852" t="str">
        <f t="shared" si="157"/>
        <v/>
      </c>
      <c r="FX853" s="1852" t="str">
        <f t="shared" si="158"/>
        <v/>
      </c>
      <c r="FY853" s="1852" t="str">
        <f t="shared" si="159"/>
        <v/>
      </c>
      <c r="FZ853" s="1852" t="str">
        <f t="shared" si="160"/>
        <v/>
      </c>
      <c r="GA853" s="1852" t="str">
        <f t="shared" si="161"/>
        <v/>
      </c>
      <c r="GB853" s="1852" t="str">
        <f t="shared" si="162"/>
        <v/>
      </c>
      <c r="GC853" s="1852" t="str">
        <f t="shared" si="163"/>
        <v/>
      </c>
      <c r="GD853" s="1852" t="str">
        <f t="shared" si="164"/>
        <v/>
      </c>
      <c r="GE853" s="1852" t="str">
        <f t="shared" si="165"/>
        <v/>
      </c>
      <c r="GF853" s="1852" t="str">
        <f t="shared" si="166"/>
        <v/>
      </c>
      <c r="GG853" s="1852" t="str">
        <f t="shared" si="167"/>
        <v/>
      </c>
      <c r="GH853" s="1852" t="str">
        <f t="shared" si="168"/>
        <v/>
      </c>
      <c r="GI853" s="1852" t="str">
        <f t="shared" si="169"/>
        <v/>
      </c>
      <c r="GJ853" s="1852" t="str">
        <f t="shared" si="170"/>
        <v/>
      </c>
      <c r="GK853" s="1852" t="str">
        <f t="shared" si="171"/>
        <v/>
      </c>
      <c r="GL853" s="1852" t="str">
        <f t="shared" si="172"/>
        <v/>
      </c>
      <c r="GM853" s="1852" t="str">
        <f t="shared" si="173"/>
        <v/>
      </c>
      <c r="GN853" s="1852" t="str">
        <f t="shared" si="174"/>
        <v/>
      </c>
      <c r="GO853" s="1852" t="str">
        <f t="shared" si="175"/>
        <v/>
      </c>
      <c r="GP853" s="1852" t="str">
        <f t="shared" si="176"/>
        <v/>
      </c>
      <c r="GQ853" s="1852" t="str">
        <f t="shared" si="177"/>
        <v/>
      </c>
      <c r="GR853" s="1852" t="str">
        <f t="shared" si="178"/>
        <v/>
      </c>
      <c r="GS853" s="1852" t="str">
        <f t="shared" si="179"/>
        <v/>
      </c>
      <c r="GT853" s="1852" t="str">
        <f t="shared" si="180"/>
        <v/>
      </c>
      <c r="GU853" s="1852" t="str">
        <f t="shared" si="181"/>
        <v/>
      </c>
      <c r="GV853" s="1852" t="str">
        <f t="shared" si="182"/>
        <v/>
      </c>
      <c r="GW853" s="1852" t="str">
        <f t="shared" si="183"/>
        <v/>
      </c>
      <c r="GX853" s="1852" t="str">
        <f t="shared" si="184"/>
        <v/>
      </c>
      <c r="GY853" s="1852" t="str">
        <f t="shared" si="185"/>
        <v/>
      </c>
      <c r="GZ853" s="1852" t="str">
        <f t="shared" si="186"/>
        <v/>
      </c>
      <c r="HA853" s="1852" t="str">
        <f t="shared" si="187"/>
        <v/>
      </c>
      <c r="HB853" s="1852" t="str">
        <f t="shared" si="188"/>
        <v/>
      </c>
      <c r="HC853" s="1852" t="str">
        <f t="shared" si="189"/>
        <v/>
      </c>
      <c r="HD853" s="1852" t="str">
        <f t="shared" si="190"/>
        <v/>
      </c>
      <c r="HE853" s="1852" t="str">
        <f t="shared" si="191"/>
        <v/>
      </c>
      <c r="HF853" s="1852" t="str">
        <f t="shared" si="192"/>
        <v/>
      </c>
      <c r="HG853" s="1852" t="str">
        <f t="shared" si="193"/>
        <v/>
      </c>
      <c r="HH853" s="1852" t="str">
        <f t="shared" si="194"/>
        <v/>
      </c>
      <c r="HI853" s="1852" t="str">
        <f t="shared" si="195"/>
        <v/>
      </c>
      <c r="HJ853" s="1852" t="str">
        <f t="shared" si="196"/>
        <v/>
      </c>
      <c r="HK853" s="1852" t="str">
        <f t="shared" si="197"/>
        <v/>
      </c>
      <c r="HL853" s="1852" t="str">
        <f t="shared" si="198"/>
        <v/>
      </c>
      <c r="HM853" s="1852" t="str">
        <f t="shared" si="199"/>
        <v/>
      </c>
      <c r="HN853" s="1852" t="str">
        <f t="shared" si="200"/>
        <v/>
      </c>
      <c r="HO853" s="1852" t="str">
        <f t="shared" si="201"/>
        <v/>
      </c>
      <c r="HP853" s="1852" t="str">
        <f t="shared" si="202"/>
        <v/>
      </c>
      <c r="HQ853" s="1852" t="str">
        <f t="shared" si="203"/>
        <v/>
      </c>
      <c r="HR853" s="1852" t="str">
        <f t="shared" si="204"/>
        <v/>
      </c>
      <c r="HS853" s="1852" t="str">
        <f t="shared" si="205"/>
        <v/>
      </c>
      <c r="HT853" s="1852" t="str">
        <f t="shared" si="206"/>
        <v/>
      </c>
      <c r="HU853" s="1852" t="str">
        <f t="shared" si="207"/>
        <v/>
      </c>
      <c r="HV853" s="1852" t="str">
        <f t="shared" si="208"/>
        <v/>
      </c>
      <c r="HW853" s="1852" t="str">
        <f t="shared" si="209"/>
        <v/>
      </c>
      <c r="HX853" s="1852" t="str">
        <f t="shared" si="210"/>
        <v/>
      </c>
      <c r="HY853" s="1852" t="str">
        <f t="shared" si="211"/>
        <v/>
      </c>
      <c r="HZ853" s="2140" t="str">
        <f t="shared" si="212"/>
        <v/>
      </c>
      <c r="IA853" s="2140" t="str">
        <f t="shared" si="213"/>
        <v/>
      </c>
      <c r="IB853" s="2140" t="str">
        <f t="shared" si="214"/>
        <v/>
      </c>
      <c r="IC853" s="2140" t="str">
        <f t="shared" si="215"/>
        <v/>
      </c>
      <c r="ID853" s="2140" t="str">
        <f t="shared" si="216"/>
        <v/>
      </c>
      <c r="IE853" s="2140" t="str">
        <f t="shared" si="217"/>
        <v/>
      </c>
      <c r="IF853" s="2140" t="str">
        <f t="shared" si="218"/>
        <v/>
      </c>
      <c r="IG853" s="2140" t="str">
        <f t="shared" si="219"/>
        <v/>
      </c>
      <c r="IH853" s="2140" t="str">
        <f t="shared" si="220"/>
        <v/>
      </c>
      <c r="II853" s="2140" t="str">
        <f t="shared" si="221"/>
        <v/>
      </c>
      <c r="IJ853" s="2140" t="str">
        <f t="shared" si="222"/>
        <v/>
      </c>
      <c r="IK853" s="2140" t="str">
        <f t="shared" si="223"/>
        <v/>
      </c>
      <c r="IL853" s="2140" t="str">
        <f t="shared" si="224"/>
        <v/>
      </c>
      <c r="IM853" s="2140" t="str">
        <f t="shared" si="225"/>
        <v/>
      </c>
      <c r="IN853" s="2140" t="str">
        <f t="shared" si="226"/>
        <v/>
      </c>
      <c r="IO853" s="2140" t="str">
        <f t="shared" si="227"/>
        <v/>
      </c>
      <c r="IP853" s="2140" t="str">
        <f t="shared" si="228"/>
        <v/>
      </c>
      <c r="IQ853" s="2140" t="str">
        <f t="shared" si="229"/>
        <v/>
      </c>
      <c r="IR853" s="2140" t="str">
        <f t="shared" si="230"/>
        <v/>
      </c>
      <c r="IS853" s="2140" t="str">
        <f t="shared" si="231"/>
        <v/>
      </c>
      <c r="IT853" s="2140" t="str">
        <f t="shared" si="232"/>
        <v/>
      </c>
      <c r="IU853" s="2140" t="str">
        <f t="shared" si="233"/>
        <v/>
      </c>
      <c r="IV853" s="2140" t="str">
        <f t="shared" si="234"/>
        <v/>
      </c>
      <c r="IW853" s="2140" t="str">
        <f t="shared" si="235"/>
        <v/>
      </c>
      <c r="IX853" s="2140" t="str">
        <f t="shared" si="236"/>
        <v/>
      </c>
      <c r="IY853" s="2140" t="str">
        <f t="shared" si="237"/>
        <v/>
      </c>
      <c r="IZ853" s="2140" t="str">
        <f t="shared" si="238"/>
        <v/>
      </c>
      <c r="JA853" s="2140" t="str">
        <f t="shared" si="239"/>
        <v/>
      </c>
      <c r="JB853" s="2140" t="str">
        <f t="shared" si="240"/>
        <v/>
      </c>
      <c r="JC853" s="2140" t="str">
        <f t="shared" si="241"/>
        <v/>
      </c>
      <c r="JD853" s="2140" t="str">
        <f t="shared" si="242"/>
        <v/>
      </c>
      <c r="JE853" s="2140" t="str">
        <f t="shared" si="243"/>
        <v/>
      </c>
      <c r="JF853" s="2140" t="str">
        <f t="shared" si="244"/>
        <v/>
      </c>
      <c r="JG853" s="2140" t="str">
        <f t="shared" si="245"/>
        <v/>
      </c>
      <c r="JH853" s="2140" t="str">
        <f t="shared" si="246"/>
        <v/>
      </c>
      <c r="JI853" s="2140" t="str">
        <f t="shared" si="247"/>
        <v/>
      </c>
      <c r="JJ853" s="2140" t="str">
        <f t="shared" si="248"/>
        <v/>
      </c>
      <c r="JK853" s="2140" t="str">
        <f t="shared" si="249"/>
        <v/>
      </c>
      <c r="JL853" s="2140" t="str">
        <f t="shared" si="250"/>
        <v/>
      </c>
      <c r="JM853" s="2140" t="str">
        <f t="shared" si="251"/>
        <v/>
      </c>
      <c r="JN853" s="2140" t="str">
        <f t="shared" si="252"/>
        <v/>
      </c>
      <c r="JO853" s="2140" t="str">
        <f t="shared" si="253"/>
        <v/>
      </c>
      <c r="JP853" s="2140" t="str">
        <f t="shared" si="254"/>
        <v/>
      </c>
      <c r="JQ853" s="2140" t="str">
        <f t="shared" si="255"/>
        <v/>
      </c>
      <c r="JR853" s="2140" t="str">
        <f t="shared" si="256"/>
        <v/>
      </c>
      <c r="JS853" s="2140" t="str">
        <f t="shared" si="257"/>
        <v/>
      </c>
      <c r="JT853" s="2140" t="str">
        <f t="shared" si="258"/>
        <v/>
      </c>
      <c r="JU853" s="2140" t="str">
        <f t="shared" si="259"/>
        <v/>
      </c>
      <c r="JV853" s="2140" t="str">
        <f t="shared" si="260"/>
        <v/>
      </c>
      <c r="JW853" s="2140" t="str">
        <f t="shared" si="261"/>
        <v/>
      </c>
      <c r="JX853" s="2140" t="str">
        <f t="shared" si="262"/>
        <v/>
      </c>
      <c r="JY853" s="2140" t="str">
        <f t="shared" si="263"/>
        <v/>
      </c>
      <c r="JZ853" s="2140" t="str">
        <f t="shared" si="264"/>
        <v/>
      </c>
      <c r="KA853" s="2140" t="str">
        <f t="shared" si="265"/>
        <v/>
      </c>
      <c r="KB853" s="2140" t="str">
        <f t="shared" si="266"/>
        <v/>
      </c>
      <c r="KC853" s="2140" t="str">
        <f t="shared" si="267"/>
        <v/>
      </c>
      <c r="KD853" s="2140" t="str">
        <f t="shared" si="268"/>
        <v/>
      </c>
      <c r="KE853" s="2140" t="str">
        <f t="shared" si="269"/>
        <v/>
      </c>
      <c r="KF853" s="2140" t="str">
        <f t="shared" si="270"/>
        <v/>
      </c>
      <c r="KG853" s="2140" t="str">
        <f t="shared" si="271"/>
        <v/>
      </c>
      <c r="KH853" s="2140" t="str">
        <f t="shared" si="272"/>
        <v/>
      </c>
      <c r="KI853" s="2140" t="str">
        <f t="shared" si="273"/>
        <v/>
      </c>
      <c r="KJ853" s="2140" t="str">
        <f t="shared" si="274"/>
        <v/>
      </c>
      <c r="KK853" s="2140" t="str">
        <f t="shared" si="275"/>
        <v/>
      </c>
      <c r="KL853" s="2140" t="str">
        <f t="shared" si="276"/>
        <v/>
      </c>
      <c r="KM853" s="2140" t="str">
        <f t="shared" si="277"/>
        <v/>
      </c>
      <c r="KN853" s="2140" t="str">
        <f t="shared" si="278"/>
        <v/>
      </c>
      <c r="KO853" s="2140" t="str">
        <f t="shared" si="279"/>
        <v/>
      </c>
      <c r="KP853" s="2140" t="str">
        <f t="shared" si="280"/>
        <v/>
      </c>
      <c r="KQ853" s="2140" t="str">
        <f t="shared" si="281"/>
        <v/>
      </c>
      <c r="KR853" s="2140" t="str">
        <f t="shared" si="282"/>
        <v/>
      </c>
      <c r="KS853" s="2140" t="str">
        <f t="shared" si="283"/>
        <v/>
      </c>
      <c r="KT853" s="2140" t="str">
        <f t="shared" si="284"/>
        <v/>
      </c>
      <c r="KU853" s="2140" t="str">
        <f t="shared" si="285"/>
        <v/>
      </c>
      <c r="KV853" s="2140" t="str">
        <f t="shared" si="286"/>
        <v/>
      </c>
      <c r="KW853" s="2140" t="str">
        <f t="shared" si="287"/>
        <v/>
      </c>
      <c r="KX853" s="2140" t="str">
        <f t="shared" si="288"/>
        <v/>
      </c>
      <c r="KY853" s="2140" t="str">
        <f t="shared" si="289"/>
        <v/>
      </c>
      <c r="KZ853" s="2140" t="str">
        <f t="shared" si="290"/>
        <v/>
      </c>
      <c r="LA853" s="2140" t="str">
        <f t="shared" si="291"/>
        <v/>
      </c>
      <c r="LB853" s="2140" t="str">
        <f t="shared" si="292"/>
        <v/>
      </c>
      <c r="LC853" s="2140" t="str">
        <f t="shared" si="293"/>
        <v/>
      </c>
      <c r="LD853" s="2140" t="str">
        <f t="shared" si="294"/>
        <v/>
      </c>
      <c r="LE853" s="2140" t="str">
        <f t="shared" si="295"/>
        <v/>
      </c>
      <c r="LF853" s="2140" t="str">
        <f t="shared" si="296"/>
        <v/>
      </c>
      <c r="LG853" s="2051" t="str">
        <f t="shared" si="297"/>
        <v/>
      </c>
      <c r="LH853" s="2051" t="str">
        <f t="shared" si="298"/>
        <v/>
      </c>
      <c r="LI853" s="2051" t="str">
        <f t="shared" si="299"/>
        <v/>
      </c>
      <c r="LJ853" s="2051" t="str">
        <f t="shared" si="300"/>
        <v/>
      </c>
      <c r="LK853" s="2051" t="str">
        <f t="shared" si="301"/>
        <v/>
      </c>
      <c r="LL853" s="1852" t="str">
        <f t="shared" si="302"/>
        <v/>
      </c>
      <c r="LM853" s="1852" t="str">
        <f t="shared" si="303"/>
        <v/>
      </c>
      <c r="LN853" s="1852" t="str">
        <f t="shared" si="304"/>
        <v/>
      </c>
      <c r="LO853" s="1852" t="str">
        <f t="shared" si="305"/>
        <v/>
      </c>
      <c r="LP853" s="1852" t="str">
        <f t="shared" si="306"/>
        <v/>
      </c>
      <c r="LQ853" s="1852" t="str">
        <f t="shared" si="307"/>
        <v/>
      </c>
      <c r="LR853" s="1852" t="str">
        <f t="shared" si="308"/>
        <v/>
      </c>
      <c r="LS853" s="1852" t="str">
        <f t="shared" si="309"/>
        <v/>
      </c>
      <c r="LT853" s="1852" t="str">
        <f t="shared" si="310"/>
        <v/>
      </c>
      <c r="LU853" s="1852" t="str">
        <f t="shared" si="311"/>
        <v/>
      </c>
      <c r="LV853" s="1852" t="str">
        <f t="shared" si="312"/>
        <v/>
      </c>
      <c r="LW853" s="1852" t="str">
        <f t="shared" si="313"/>
        <v/>
      </c>
      <c r="LX853" s="1852" t="str">
        <f t="shared" si="314"/>
        <v/>
      </c>
      <c r="LY853" s="1852" t="str">
        <f t="shared" si="315"/>
        <v/>
      </c>
      <c r="LZ853" s="1852" t="str">
        <f t="shared" si="316"/>
        <v/>
      </c>
      <c r="MA853" s="1852" t="str">
        <f t="shared" si="317"/>
        <v/>
      </c>
      <c r="MB853" s="1852" t="str">
        <f t="shared" si="318"/>
        <v/>
      </c>
      <c r="MC853" s="1852" t="str">
        <f t="shared" si="319"/>
        <v/>
      </c>
      <c r="MD853" s="1852" t="str">
        <f t="shared" si="320"/>
        <v/>
      </c>
      <c r="ME853" s="1852" t="str">
        <f t="shared" si="321"/>
        <v/>
      </c>
      <c r="MF853" s="2051">
        <f t="shared" si="328"/>
        <v>0</v>
      </c>
      <c r="MG853" s="2051">
        <f t="shared" si="329"/>
        <v>0</v>
      </c>
      <c r="MH853" s="2051">
        <f t="shared" si="330"/>
        <v>0</v>
      </c>
      <c r="MI853" s="2051">
        <f t="shared" si="331"/>
        <v>0</v>
      </c>
      <c r="MJ853" s="2051">
        <f t="shared" si="332"/>
        <v>0</v>
      </c>
      <c r="MK853" s="2051">
        <f t="shared" si="333"/>
        <v>0</v>
      </c>
      <c r="ML853" s="2051">
        <f t="shared" si="334"/>
        <v>0</v>
      </c>
      <c r="MM853" s="2051">
        <f t="shared" si="335"/>
        <v>0</v>
      </c>
      <c r="MN853" s="2051">
        <f t="shared" si="336"/>
        <v>0</v>
      </c>
      <c r="MO853" s="2051">
        <f t="shared" si="337"/>
        <v>0</v>
      </c>
      <c r="MP853" s="2051">
        <f t="shared" si="322"/>
        <v>0</v>
      </c>
      <c r="MQ853" s="2051">
        <f t="shared" si="323"/>
        <v>0</v>
      </c>
      <c r="MR853" s="2051">
        <f t="shared" si="324"/>
        <v>0</v>
      </c>
      <c r="MS853" s="2051">
        <f t="shared" si="325"/>
        <v>0</v>
      </c>
      <c r="MT853" s="2051">
        <f t="shared" si="326"/>
        <v>0</v>
      </c>
      <c r="NP853" s="1924" t="s">
        <v>6722</v>
      </c>
    </row>
    <row r="854" spans="1:380" s="1852" customFormat="1" ht="13.9" customHeight="1">
      <c r="A854" s="2108" t="str">
        <f t="shared" si="327"/>
        <v/>
      </c>
      <c r="B854" s="2130" t="str">
        <f>'Part VI-Revenues &amp; Expenses'!B14</f>
        <v>Unrestricted</v>
      </c>
      <c r="C854" s="2131">
        <f>'Part VI-Revenues &amp; Expenses'!C14</f>
        <v>0</v>
      </c>
      <c r="D854" s="2132">
        <f>'Part VI-Revenues &amp; Expenses'!D14</f>
        <v>0</v>
      </c>
      <c r="E854" s="2133">
        <f>'Part VI-Revenues &amp; Expenses'!E14</f>
        <v>0</v>
      </c>
      <c r="F854" s="2133">
        <f>'Part VI-Revenues &amp; Expenses'!F14</f>
        <v>0</v>
      </c>
      <c r="G854" s="2133">
        <f>'Part VI-Revenues &amp; Expenses'!G14</f>
        <v>0</v>
      </c>
      <c r="H854" s="2133">
        <f>'Part VI-Revenues &amp; Expenses'!H14</f>
        <v>0</v>
      </c>
      <c r="I854" s="2133">
        <f>'Part VI-Revenues &amp; Expenses'!I14</f>
        <v>0</v>
      </c>
      <c r="J854" s="2133">
        <f>'Part VI-Revenues &amp; Expenses'!J14</f>
        <v>0</v>
      </c>
      <c r="K854" s="2134">
        <f>'Part VI-Revenues &amp; Expenses'!K14</f>
        <v>0</v>
      </c>
      <c r="L854" s="2135">
        <f t="shared" si="0"/>
        <v>0</v>
      </c>
      <c r="M854" s="2135">
        <f t="shared" si="1"/>
        <v>0</v>
      </c>
      <c r="N854" s="1916">
        <f>'Part VI-Revenues &amp; Expenses'!N14</f>
        <v>0</v>
      </c>
      <c r="O854" s="2136">
        <f>'Part VI-Revenues &amp; Expenses'!O14</f>
        <v>0</v>
      </c>
      <c r="P854" s="1916">
        <f>'Part VI-Revenues &amp; Expenses'!P14</f>
        <v>0</v>
      </c>
      <c r="Q854" s="2137">
        <f>'Part VI-Revenues &amp; Expenses'!Q14</f>
        <v>0</v>
      </c>
      <c r="R854" s="2138"/>
      <c r="S854" s="2139"/>
      <c r="T854" s="2043"/>
      <c r="U854" s="2043"/>
      <c r="V854" s="2043"/>
      <c r="W854" s="2043"/>
      <c r="X854" s="1852" t="str">
        <f t="shared" si="2"/>
        <v/>
      </c>
      <c r="Y854" s="1852" t="str">
        <f t="shared" si="3"/>
        <v/>
      </c>
      <c r="Z854" s="1852" t="str">
        <f t="shared" si="4"/>
        <v/>
      </c>
      <c r="AA854" s="1852" t="str">
        <f t="shared" si="5"/>
        <v/>
      </c>
      <c r="AB854" s="1852" t="str">
        <f t="shared" si="6"/>
        <v/>
      </c>
      <c r="AC854" s="1852" t="str">
        <f t="shared" si="7"/>
        <v/>
      </c>
      <c r="AD854" s="1852" t="str">
        <f t="shared" si="8"/>
        <v/>
      </c>
      <c r="AE854" s="1852" t="str">
        <f t="shared" si="9"/>
        <v/>
      </c>
      <c r="AF854" s="1852" t="str">
        <f t="shared" si="10"/>
        <v/>
      </c>
      <c r="AG854" s="1852" t="str">
        <f t="shared" si="11"/>
        <v/>
      </c>
      <c r="AH854" s="1852" t="str">
        <f t="shared" si="12"/>
        <v/>
      </c>
      <c r="AI854" s="1852" t="str">
        <f t="shared" si="13"/>
        <v/>
      </c>
      <c r="AJ854" s="1852" t="str">
        <f t="shared" si="14"/>
        <v/>
      </c>
      <c r="AK854" s="1852" t="str">
        <f t="shared" si="15"/>
        <v/>
      </c>
      <c r="AL854" s="1852" t="str">
        <f t="shared" si="16"/>
        <v/>
      </c>
      <c r="AM854" s="1852" t="str">
        <f t="shared" si="17"/>
        <v/>
      </c>
      <c r="AN854" s="1852" t="str">
        <f t="shared" si="18"/>
        <v/>
      </c>
      <c r="AO854" s="1852" t="str">
        <f t="shared" si="19"/>
        <v/>
      </c>
      <c r="AP854" s="1852" t="str">
        <f t="shared" si="20"/>
        <v/>
      </c>
      <c r="AQ854" s="1852" t="str">
        <f t="shared" si="21"/>
        <v/>
      </c>
      <c r="AR854" s="1852" t="str">
        <f t="shared" si="22"/>
        <v/>
      </c>
      <c r="AS854" s="1852" t="str">
        <f t="shared" si="23"/>
        <v/>
      </c>
      <c r="AT854" s="1852" t="str">
        <f t="shared" si="24"/>
        <v/>
      </c>
      <c r="AU854" s="1852" t="str">
        <f t="shared" si="25"/>
        <v/>
      </c>
      <c r="AV854" s="1852" t="str">
        <f t="shared" si="26"/>
        <v/>
      </c>
      <c r="AW854" s="1852" t="str">
        <f t="shared" si="27"/>
        <v/>
      </c>
      <c r="AX854" s="1852" t="str">
        <f t="shared" si="28"/>
        <v/>
      </c>
      <c r="AY854" s="1852" t="str">
        <f t="shared" si="29"/>
        <v/>
      </c>
      <c r="AZ854" s="1852" t="str">
        <f t="shared" si="30"/>
        <v/>
      </c>
      <c r="BA854" s="1852" t="str">
        <f t="shared" si="31"/>
        <v/>
      </c>
      <c r="BB854" s="1852" t="str">
        <f t="shared" si="32"/>
        <v/>
      </c>
      <c r="BC854" s="1852" t="str">
        <f t="shared" si="33"/>
        <v/>
      </c>
      <c r="BD854" s="1852" t="str">
        <f t="shared" si="34"/>
        <v/>
      </c>
      <c r="BE854" s="1852" t="str">
        <f t="shared" si="35"/>
        <v/>
      </c>
      <c r="BF854" s="1852" t="str">
        <f t="shared" si="36"/>
        <v/>
      </c>
      <c r="BG854" s="1852" t="str">
        <f t="shared" si="37"/>
        <v/>
      </c>
      <c r="BH854" s="1852" t="str">
        <f t="shared" si="38"/>
        <v/>
      </c>
      <c r="BI854" s="1852" t="str">
        <f t="shared" si="39"/>
        <v/>
      </c>
      <c r="BJ854" s="1852" t="str">
        <f t="shared" si="40"/>
        <v/>
      </c>
      <c r="BK854" s="1852" t="str">
        <f t="shared" si="41"/>
        <v/>
      </c>
      <c r="BL854" s="1852" t="str">
        <f t="shared" si="42"/>
        <v/>
      </c>
      <c r="BM854" s="1852" t="str">
        <f t="shared" si="43"/>
        <v/>
      </c>
      <c r="BN854" s="1852" t="str">
        <f t="shared" si="44"/>
        <v/>
      </c>
      <c r="BO854" s="1852" t="str">
        <f t="shared" si="45"/>
        <v/>
      </c>
      <c r="BP854" s="1852" t="str">
        <f t="shared" si="46"/>
        <v/>
      </c>
      <c r="BQ854" s="1852" t="str">
        <f t="shared" si="47"/>
        <v/>
      </c>
      <c r="BR854" s="1852" t="str">
        <f t="shared" si="48"/>
        <v/>
      </c>
      <c r="BS854" s="1852" t="str">
        <f t="shared" si="49"/>
        <v/>
      </c>
      <c r="BT854" s="1852" t="str">
        <f t="shared" si="50"/>
        <v/>
      </c>
      <c r="BU854" s="1852" t="str">
        <f t="shared" si="51"/>
        <v/>
      </c>
      <c r="BV854" s="1852" t="str">
        <f t="shared" si="52"/>
        <v/>
      </c>
      <c r="BW854" s="1852" t="str">
        <f t="shared" si="53"/>
        <v/>
      </c>
      <c r="BX854" s="1852" t="str">
        <f t="shared" si="54"/>
        <v/>
      </c>
      <c r="BY854" s="1852" t="str">
        <f t="shared" si="55"/>
        <v/>
      </c>
      <c r="BZ854" s="1852" t="str">
        <f t="shared" si="56"/>
        <v/>
      </c>
      <c r="CA854" s="1852" t="str">
        <f t="shared" si="57"/>
        <v/>
      </c>
      <c r="CB854" s="1852" t="str">
        <f t="shared" si="58"/>
        <v/>
      </c>
      <c r="CC854" s="1852" t="str">
        <f t="shared" si="59"/>
        <v/>
      </c>
      <c r="CD854" s="1852" t="str">
        <f t="shared" si="60"/>
        <v/>
      </c>
      <c r="CE854" s="1852" t="str">
        <f t="shared" si="61"/>
        <v/>
      </c>
      <c r="CF854" s="1852" t="str">
        <f t="shared" si="62"/>
        <v/>
      </c>
      <c r="CG854" s="1852" t="str">
        <f t="shared" si="63"/>
        <v/>
      </c>
      <c r="CH854" s="1852" t="str">
        <f t="shared" si="64"/>
        <v/>
      </c>
      <c r="CI854" s="1852" t="str">
        <f t="shared" si="65"/>
        <v/>
      </c>
      <c r="CJ854" s="1852" t="str">
        <f t="shared" si="66"/>
        <v/>
      </c>
      <c r="CK854" s="1852" t="str">
        <f t="shared" si="67"/>
        <v/>
      </c>
      <c r="CL854" s="1852" t="str">
        <f t="shared" si="68"/>
        <v/>
      </c>
      <c r="CM854" s="1852" t="str">
        <f t="shared" si="69"/>
        <v/>
      </c>
      <c r="CN854" s="1852" t="str">
        <f t="shared" si="70"/>
        <v/>
      </c>
      <c r="CO854" s="1852" t="str">
        <f t="shared" si="71"/>
        <v/>
      </c>
      <c r="CP854" s="1852" t="str">
        <f t="shared" si="72"/>
        <v/>
      </c>
      <c r="CQ854" s="1852" t="str">
        <f t="shared" si="73"/>
        <v/>
      </c>
      <c r="CR854" s="1852" t="str">
        <f t="shared" si="74"/>
        <v/>
      </c>
      <c r="CS854" s="1852" t="str">
        <f t="shared" si="75"/>
        <v/>
      </c>
      <c r="CT854" s="1852" t="str">
        <f t="shared" si="76"/>
        <v/>
      </c>
      <c r="CU854" s="1852" t="str">
        <f t="shared" si="77"/>
        <v/>
      </c>
      <c r="CV854" s="1852" t="str">
        <f t="shared" si="78"/>
        <v/>
      </c>
      <c r="CW854" s="1852" t="str">
        <f t="shared" si="79"/>
        <v/>
      </c>
      <c r="CX854" s="1852" t="str">
        <f t="shared" si="80"/>
        <v/>
      </c>
      <c r="CY854" s="1852" t="str">
        <f t="shared" si="81"/>
        <v/>
      </c>
      <c r="CZ854" s="1852" t="str">
        <f t="shared" si="82"/>
        <v/>
      </c>
      <c r="DA854" s="1852" t="str">
        <f t="shared" si="83"/>
        <v/>
      </c>
      <c r="DB854" s="1852" t="str">
        <f t="shared" si="84"/>
        <v/>
      </c>
      <c r="DC854" s="1852" t="str">
        <f t="shared" si="85"/>
        <v/>
      </c>
      <c r="DD854" s="1852" t="str">
        <f t="shared" si="86"/>
        <v/>
      </c>
      <c r="DE854" s="1852" t="str">
        <f t="shared" si="87"/>
        <v/>
      </c>
      <c r="DF854" s="1852" t="str">
        <f t="shared" si="88"/>
        <v/>
      </c>
      <c r="DG854" s="1852" t="str">
        <f t="shared" si="89"/>
        <v/>
      </c>
      <c r="DH854" s="1852" t="str">
        <f t="shared" si="90"/>
        <v/>
      </c>
      <c r="DI854" s="1852" t="str">
        <f t="shared" si="91"/>
        <v/>
      </c>
      <c r="DJ854" s="1852" t="str">
        <f t="shared" si="92"/>
        <v/>
      </c>
      <c r="DK854" s="1852" t="str">
        <f t="shared" si="93"/>
        <v/>
      </c>
      <c r="DL854" s="1852" t="str">
        <f t="shared" si="94"/>
        <v/>
      </c>
      <c r="DM854" s="1852" t="str">
        <f t="shared" si="95"/>
        <v/>
      </c>
      <c r="DN854" s="1852" t="str">
        <f t="shared" si="96"/>
        <v/>
      </c>
      <c r="DO854" s="1852" t="str">
        <f t="shared" si="97"/>
        <v/>
      </c>
      <c r="DP854" s="1852" t="str">
        <f t="shared" si="98"/>
        <v/>
      </c>
      <c r="DQ854" s="1852" t="str">
        <f t="shared" si="99"/>
        <v/>
      </c>
      <c r="DR854" s="1852" t="str">
        <f t="shared" si="100"/>
        <v/>
      </c>
      <c r="DS854" s="1852" t="str">
        <f t="shared" si="101"/>
        <v/>
      </c>
      <c r="DT854" s="1852" t="str">
        <f t="shared" si="102"/>
        <v/>
      </c>
      <c r="DU854" s="1852" t="str">
        <f t="shared" si="103"/>
        <v/>
      </c>
      <c r="DV854" s="1852" t="str">
        <f t="shared" si="104"/>
        <v/>
      </c>
      <c r="DW854" s="1852" t="str">
        <f t="shared" si="105"/>
        <v/>
      </c>
      <c r="DX854" s="1852" t="str">
        <f t="shared" si="106"/>
        <v/>
      </c>
      <c r="DY854" s="1852" t="str">
        <f t="shared" si="107"/>
        <v/>
      </c>
      <c r="DZ854" s="1852" t="str">
        <f t="shared" si="108"/>
        <v/>
      </c>
      <c r="EA854" s="1852" t="str">
        <f t="shared" si="109"/>
        <v/>
      </c>
      <c r="EB854" s="1852" t="str">
        <f t="shared" si="110"/>
        <v/>
      </c>
      <c r="EC854" s="1852" t="str">
        <f t="shared" si="111"/>
        <v/>
      </c>
      <c r="ED854" s="1852" t="str">
        <f t="shared" si="112"/>
        <v/>
      </c>
      <c r="EE854" s="1852" t="str">
        <f t="shared" si="113"/>
        <v/>
      </c>
      <c r="EF854" s="1852" t="str">
        <f t="shared" si="114"/>
        <v/>
      </c>
      <c r="EG854" s="1852" t="str">
        <f t="shared" si="115"/>
        <v/>
      </c>
      <c r="EH854" s="1852" t="str">
        <f t="shared" si="116"/>
        <v/>
      </c>
      <c r="EI854" s="1852" t="str">
        <f t="shared" si="117"/>
        <v/>
      </c>
      <c r="EJ854" s="1852" t="str">
        <f t="shared" si="118"/>
        <v/>
      </c>
      <c r="EK854" s="1852" t="str">
        <f t="shared" si="119"/>
        <v/>
      </c>
      <c r="EL854" s="1852" t="str">
        <f t="shared" si="120"/>
        <v/>
      </c>
      <c r="EM854" s="1852" t="str">
        <f t="shared" si="121"/>
        <v/>
      </c>
      <c r="EN854" s="1852" t="str">
        <f t="shared" si="122"/>
        <v/>
      </c>
      <c r="EO854" s="1852" t="str">
        <f t="shared" si="123"/>
        <v/>
      </c>
      <c r="EP854" s="1852" t="str">
        <f t="shared" si="124"/>
        <v/>
      </c>
      <c r="EQ854" s="1852" t="str">
        <f t="shared" si="125"/>
        <v/>
      </c>
      <c r="ER854" s="1852" t="str">
        <f t="shared" si="126"/>
        <v/>
      </c>
      <c r="ES854" s="1852" t="str">
        <f t="shared" si="127"/>
        <v/>
      </c>
      <c r="ET854" s="1852" t="str">
        <f t="shared" si="128"/>
        <v/>
      </c>
      <c r="EU854" s="1852" t="str">
        <f t="shared" si="129"/>
        <v/>
      </c>
      <c r="EV854" s="1852" t="str">
        <f t="shared" si="130"/>
        <v/>
      </c>
      <c r="EW854" s="1852" t="str">
        <f t="shared" si="131"/>
        <v/>
      </c>
      <c r="EX854" s="1852" t="str">
        <f t="shared" si="132"/>
        <v/>
      </c>
      <c r="EY854" s="1852" t="str">
        <f t="shared" si="133"/>
        <v/>
      </c>
      <c r="EZ854" s="1852" t="str">
        <f t="shared" si="134"/>
        <v/>
      </c>
      <c r="FA854" s="1852" t="str">
        <f t="shared" si="135"/>
        <v/>
      </c>
      <c r="FB854" s="1852" t="str">
        <f t="shared" si="136"/>
        <v/>
      </c>
      <c r="FC854" s="1852" t="str">
        <f t="shared" si="137"/>
        <v/>
      </c>
      <c r="FD854" s="1852" t="str">
        <f t="shared" si="138"/>
        <v/>
      </c>
      <c r="FE854" s="1852" t="str">
        <f t="shared" si="139"/>
        <v/>
      </c>
      <c r="FF854" s="1852" t="str">
        <f t="shared" si="140"/>
        <v/>
      </c>
      <c r="FG854" s="1852" t="str">
        <f t="shared" si="141"/>
        <v/>
      </c>
      <c r="FH854" s="1852" t="str">
        <f t="shared" si="142"/>
        <v/>
      </c>
      <c r="FI854" s="1852" t="str">
        <f t="shared" si="143"/>
        <v/>
      </c>
      <c r="FJ854" s="1852" t="str">
        <f t="shared" si="144"/>
        <v/>
      </c>
      <c r="FK854" s="1852" t="str">
        <f t="shared" si="145"/>
        <v/>
      </c>
      <c r="FL854" s="1852" t="str">
        <f t="shared" si="146"/>
        <v/>
      </c>
      <c r="FM854" s="1852" t="str">
        <f t="shared" si="147"/>
        <v/>
      </c>
      <c r="FN854" s="1852" t="str">
        <f t="shared" si="148"/>
        <v/>
      </c>
      <c r="FO854" s="1852" t="str">
        <f t="shared" si="149"/>
        <v/>
      </c>
      <c r="FP854" s="1852" t="str">
        <f t="shared" si="150"/>
        <v/>
      </c>
      <c r="FQ854" s="1852" t="str">
        <f t="shared" si="151"/>
        <v/>
      </c>
      <c r="FR854" s="1852" t="str">
        <f t="shared" si="152"/>
        <v/>
      </c>
      <c r="FS854" s="1852" t="str">
        <f t="shared" si="153"/>
        <v/>
      </c>
      <c r="FT854" s="1852" t="str">
        <f t="shared" si="154"/>
        <v/>
      </c>
      <c r="FU854" s="1852" t="str">
        <f t="shared" si="155"/>
        <v/>
      </c>
      <c r="FV854" s="1852" t="str">
        <f t="shared" si="156"/>
        <v/>
      </c>
      <c r="FW854" s="1852" t="str">
        <f t="shared" si="157"/>
        <v/>
      </c>
      <c r="FX854" s="1852" t="str">
        <f t="shared" si="158"/>
        <v/>
      </c>
      <c r="FY854" s="1852" t="str">
        <f t="shared" si="159"/>
        <v/>
      </c>
      <c r="FZ854" s="1852" t="str">
        <f t="shared" si="160"/>
        <v/>
      </c>
      <c r="GA854" s="1852" t="str">
        <f t="shared" si="161"/>
        <v/>
      </c>
      <c r="GB854" s="1852" t="str">
        <f t="shared" si="162"/>
        <v/>
      </c>
      <c r="GC854" s="1852" t="str">
        <f t="shared" si="163"/>
        <v/>
      </c>
      <c r="GD854" s="1852" t="str">
        <f t="shared" si="164"/>
        <v/>
      </c>
      <c r="GE854" s="1852" t="str">
        <f t="shared" si="165"/>
        <v/>
      </c>
      <c r="GF854" s="1852" t="str">
        <f t="shared" si="166"/>
        <v/>
      </c>
      <c r="GG854" s="1852" t="str">
        <f t="shared" si="167"/>
        <v/>
      </c>
      <c r="GH854" s="1852" t="str">
        <f t="shared" si="168"/>
        <v/>
      </c>
      <c r="GI854" s="1852" t="str">
        <f t="shared" si="169"/>
        <v/>
      </c>
      <c r="GJ854" s="1852" t="str">
        <f t="shared" si="170"/>
        <v/>
      </c>
      <c r="GK854" s="1852" t="str">
        <f t="shared" si="171"/>
        <v/>
      </c>
      <c r="GL854" s="1852" t="str">
        <f t="shared" si="172"/>
        <v/>
      </c>
      <c r="GM854" s="1852" t="str">
        <f t="shared" si="173"/>
        <v/>
      </c>
      <c r="GN854" s="1852" t="str">
        <f t="shared" si="174"/>
        <v/>
      </c>
      <c r="GO854" s="1852" t="str">
        <f t="shared" si="175"/>
        <v/>
      </c>
      <c r="GP854" s="1852" t="str">
        <f t="shared" si="176"/>
        <v/>
      </c>
      <c r="GQ854" s="1852" t="str">
        <f t="shared" si="177"/>
        <v/>
      </c>
      <c r="GR854" s="1852" t="str">
        <f t="shared" si="178"/>
        <v/>
      </c>
      <c r="GS854" s="1852" t="str">
        <f t="shared" si="179"/>
        <v/>
      </c>
      <c r="GT854" s="1852" t="str">
        <f t="shared" si="180"/>
        <v/>
      </c>
      <c r="GU854" s="1852" t="str">
        <f t="shared" si="181"/>
        <v/>
      </c>
      <c r="GV854" s="1852" t="str">
        <f t="shared" si="182"/>
        <v/>
      </c>
      <c r="GW854" s="1852" t="str">
        <f t="shared" si="183"/>
        <v/>
      </c>
      <c r="GX854" s="1852" t="str">
        <f t="shared" si="184"/>
        <v/>
      </c>
      <c r="GY854" s="1852" t="str">
        <f t="shared" si="185"/>
        <v/>
      </c>
      <c r="GZ854" s="1852" t="str">
        <f t="shared" si="186"/>
        <v/>
      </c>
      <c r="HA854" s="1852" t="str">
        <f t="shared" si="187"/>
        <v/>
      </c>
      <c r="HB854" s="1852" t="str">
        <f t="shared" si="188"/>
        <v/>
      </c>
      <c r="HC854" s="1852" t="str">
        <f t="shared" si="189"/>
        <v/>
      </c>
      <c r="HD854" s="1852" t="str">
        <f t="shared" si="190"/>
        <v/>
      </c>
      <c r="HE854" s="1852" t="str">
        <f t="shared" si="191"/>
        <v/>
      </c>
      <c r="HF854" s="1852" t="str">
        <f t="shared" si="192"/>
        <v/>
      </c>
      <c r="HG854" s="1852" t="str">
        <f t="shared" si="193"/>
        <v/>
      </c>
      <c r="HH854" s="1852" t="str">
        <f t="shared" si="194"/>
        <v/>
      </c>
      <c r="HI854" s="1852" t="str">
        <f t="shared" si="195"/>
        <v/>
      </c>
      <c r="HJ854" s="1852" t="str">
        <f t="shared" si="196"/>
        <v/>
      </c>
      <c r="HK854" s="1852" t="str">
        <f t="shared" si="197"/>
        <v/>
      </c>
      <c r="HL854" s="1852" t="str">
        <f t="shared" si="198"/>
        <v/>
      </c>
      <c r="HM854" s="1852" t="str">
        <f t="shared" si="199"/>
        <v/>
      </c>
      <c r="HN854" s="1852" t="str">
        <f t="shared" si="200"/>
        <v/>
      </c>
      <c r="HO854" s="1852" t="str">
        <f t="shared" si="201"/>
        <v/>
      </c>
      <c r="HP854" s="1852" t="str">
        <f t="shared" si="202"/>
        <v/>
      </c>
      <c r="HQ854" s="1852" t="str">
        <f t="shared" si="203"/>
        <v/>
      </c>
      <c r="HR854" s="1852" t="str">
        <f t="shared" si="204"/>
        <v/>
      </c>
      <c r="HS854" s="1852" t="str">
        <f t="shared" si="205"/>
        <v/>
      </c>
      <c r="HT854" s="1852" t="str">
        <f t="shared" si="206"/>
        <v/>
      </c>
      <c r="HU854" s="1852" t="str">
        <f t="shared" si="207"/>
        <v/>
      </c>
      <c r="HV854" s="1852" t="str">
        <f t="shared" si="208"/>
        <v/>
      </c>
      <c r="HW854" s="1852" t="str">
        <f t="shared" si="209"/>
        <v/>
      </c>
      <c r="HX854" s="1852" t="str">
        <f t="shared" si="210"/>
        <v/>
      </c>
      <c r="HY854" s="1852" t="str">
        <f t="shared" si="211"/>
        <v/>
      </c>
      <c r="HZ854" s="2140" t="str">
        <f t="shared" si="212"/>
        <v/>
      </c>
      <c r="IA854" s="2140" t="str">
        <f t="shared" si="213"/>
        <v/>
      </c>
      <c r="IB854" s="2140" t="str">
        <f t="shared" si="214"/>
        <v/>
      </c>
      <c r="IC854" s="2140" t="str">
        <f t="shared" si="215"/>
        <v/>
      </c>
      <c r="ID854" s="2140" t="str">
        <f t="shared" si="216"/>
        <v/>
      </c>
      <c r="IE854" s="2140" t="str">
        <f t="shared" si="217"/>
        <v/>
      </c>
      <c r="IF854" s="2140" t="str">
        <f t="shared" si="218"/>
        <v/>
      </c>
      <c r="IG854" s="2140" t="str">
        <f t="shared" si="219"/>
        <v/>
      </c>
      <c r="IH854" s="2140" t="str">
        <f t="shared" si="220"/>
        <v/>
      </c>
      <c r="II854" s="2140" t="str">
        <f t="shared" si="221"/>
        <v/>
      </c>
      <c r="IJ854" s="2140" t="str">
        <f t="shared" si="222"/>
        <v/>
      </c>
      <c r="IK854" s="2140" t="str">
        <f t="shared" si="223"/>
        <v/>
      </c>
      <c r="IL854" s="2140" t="str">
        <f t="shared" si="224"/>
        <v/>
      </c>
      <c r="IM854" s="2140" t="str">
        <f t="shared" si="225"/>
        <v/>
      </c>
      <c r="IN854" s="2140" t="str">
        <f t="shared" si="226"/>
        <v/>
      </c>
      <c r="IO854" s="2140" t="str">
        <f t="shared" si="227"/>
        <v/>
      </c>
      <c r="IP854" s="2140" t="str">
        <f t="shared" si="228"/>
        <v/>
      </c>
      <c r="IQ854" s="2140" t="str">
        <f t="shared" si="229"/>
        <v/>
      </c>
      <c r="IR854" s="2140" t="str">
        <f t="shared" si="230"/>
        <v/>
      </c>
      <c r="IS854" s="2140" t="str">
        <f t="shared" si="231"/>
        <v/>
      </c>
      <c r="IT854" s="2140" t="str">
        <f t="shared" si="232"/>
        <v/>
      </c>
      <c r="IU854" s="2140" t="str">
        <f t="shared" si="233"/>
        <v/>
      </c>
      <c r="IV854" s="2140" t="str">
        <f t="shared" si="234"/>
        <v/>
      </c>
      <c r="IW854" s="2140" t="str">
        <f t="shared" si="235"/>
        <v/>
      </c>
      <c r="IX854" s="2140" t="str">
        <f t="shared" si="236"/>
        <v/>
      </c>
      <c r="IY854" s="2140" t="str">
        <f t="shared" si="237"/>
        <v/>
      </c>
      <c r="IZ854" s="2140" t="str">
        <f t="shared" si="238"/>
        <v/>
      </c>
      <c r="JA854" s="2140" t="str">
        <f t="shared" si="239"/>
        <v/>
      </c>
      <c r="JB854" s="2140" t="str">
        <f t="shared" si="240"/>
        <v/>
      </c>
      <c r="JC854" s="2140" t="str">
        <f t="shared" si="241"/>
        <v/>
      </c>
      <c r="JD854" s="2140" t="str">
        <f t="shared" si="242"/>
        <v/>
      </c>
      <c r="JE854" s="2140" t="str">
        <f t="shared" si="243"/>
        <v/>
      </c>
      <c r="JF854" s="2140" t="str">
        <f t="shared" si="244"/>
        <v/>
      </c>
      <c r="JG854" s="2140" t="str">
        <f t="shared" si="245"/>
        <v/>
      </c>
      <c r="JH854" s="2140" t="str">
        <f t="shared" si="246"/>
        <v/>
      </c>
      <c r="JI854" s="2140" t="str">
        <f t="shared" si="247"/>
        <v/>
      </c>
      <c r="JJ854" s="2140" t="str">
        <f t="shared" si="248"/>
        <v/>
      </c>
      <c r="JK854" s="2140" t="str">
        <f t="shared" si="249"/>
        <v/>
      </c>
      <c r="JL854" s="2140" t="str">
        <f t="shared" si="250"/>
        <v/>
      </c>
      <c r="JM854" s="2140" t="str">
        <f t="shared" si="251"/>
        <v/>
      </c>
      <c r="JN854" s="2140" t="str">
        <f t="shared" si="252"/>
        <v/>
      </c>
      <c r="JO854" s="2140" t="str">
        <f t="shared" si="253"/>
        <v/>
      </c>
      <c r="JP854" s="2140" t="str">
        <f t="shared" si="254"/>
        <v/>
      </c>
      <c r="JQ854" s="2140" t="str">
        <f t="shared" si="255"/>
        <v/>
      </c>
      <c r="JR854" s="2140" t="str">
        <f t="shared" si="256"/>
        <v/>
      </c>
      <c r="JS854" s="2140" t="str">
        <f t="shared" si="257"/>
        <v/>
      </c>
      <c r="JT854" s="2140" t="str">
        <f t="shared" si="258"/>
        <v/>
      </c>
      <c r="JU854" s="2140" t="str">
        <f t="shared" si="259"/>
        <v/>
      </c>
      <c r="JV854" s="2140" t="str">
        <f t="shared" si="260"/>
        <v/>
      </c>
      <c r="JW854" s="2140" t="str">
        <f t="shared" si="261"/>
        <v/>
      </c>
      <c r="JX854" s="2140" t="str">
        <f t="shared" si="262"/>
        <v/>
      </c>
      <c r="JY854" s="2140" t="str">
        <f t="shared" si="263"/>
        <v/>
      </c>
      <c r="JZ854" s="2140" t="str">
        <f t="shared" si="264"/>
        <v/>
      </c>
      <c r="KA854" s="2140" t="str">
        <f t="shared" si="265"/>
        <v/>
      </c>
      <c r="KB854" s="2140" t="str">
        <f t="shared" si="266"/>
        <v/>
      </c>
      <c r="KC854" s="2140" t="str">
        <f t="shared" si="267"/>
        <v/>
      </c>
      <c r="KD854" s="2140" t="str">
        <f t="shared" si="268"/>
        <v/>
      </c>
      <c r="KE854" s="2140" t="str">
        <f t="shared" si="269"/>
        <v/>
      </c>
      <c r="KF854" s="2140" t="str">
        <f t="shared" si="270"/>
        <v/>
      </c>
      <c r="KG854" s="2140" t="str">
        <f t="shared" si="271"/>
        <v/>
      </c>
      <c r="KH854" s="2140" t="str">
        <f t="shared" si="272"/>
        <v/>
      </c>
      <c r="KI854" s="2140" t="str">
        <f t="shared" si="273"/>
        <v/>
      </c>
      <c r="KJ854" s="2140" t="str">
        <f t="shared" si="274"/>
        <v/>
      </c>
      <c r="KK854" s="2140" t="str">
        <f t="shared" si="275"/>
        <v/>
      </c>
      <c r="KL854" s="2140" t="str">
        <f t="shared" si="276"/>
        <v/>
      </c>
      <c r="KM854" s="2140" t="str">
        <f t="shared" si="277"/>
        <v/>
      </c>
      <c r="KN854" s="2140" t="str">
        <f t="shared" si="278"/>
        <v/>
      </c>
      <c r="KO854" s="2140" t="str">
        <f t="shared" si="279"/>
        <v/>
      </c>
      <c r="KP854" s="2140" t="str">
        <f t="shared" si="280"/>
        <v/>
      </c>
      <c r="KQ854" s="2140" t="str">
        <f t="shared" si="281"/>
        <v/>
      </c>
      <c r="KR854" s="2140" t="str">
        <f t="shared" si="282"/>
        <v/>
      </c>
      <c r="KS854" s="2140" t="str">
        <f t="shared" si="283"/>
        <v/>
      </c>
      <c r="KT854" s="2140" t="str">
        <f t="shared" si="284"/>
        <v/>
      </c>
      <c r="KU854" s="2140" t="str">
        <f t="shared" si="285"/>
        <v/>
      </c>
      <c r="KV854" s="2140" t="str">
        <f t="shared" si="286"/>
        <v/>
      </c>
      <c r="KW854" s="2140" t="str">
        <f t="shared" si="287"/>
        <v/>
      </c>
      <c r="KX854" s="2140" t="str">
        <f t="shared" si="288"/>
        <v/>
      </c>
      <c r="KY854" s="2140" t="str">
        <f t="shared" si="289"/>
        <v/>
      </c>
      <c r="KZ854" s="2140" t="str">
        <f t="shared" si="290"/>
        <v/>
      </c>
      <c r="LA854" s="2140" t="str">
        <f t="shared" si="291"/>
        <v/>
      </c>
      <c r="LB854" s="2140" t="str">
        <f t="shared" si="292"/>
        <v/>
      </c>
      <c r="LC854" s="2140" t="str">
        <f t="shared" si="293"/>
        <v/>
      </c>
      <c r="LD854" s="2140" t="str">
        <f t="shared" si="294"/>
        <v/>
      </c>
      <c r="LE854" s="2140" t="str">
        <f t="shared" si="295"/>
        <v/>
      </c>
      <c r="LF854" s="2140" t="str">
        <f t="shared" si="296"/>
        <v/>
      </c>
      <c r="LG854" s="2051" t="str">
        <f t="shared" si="297"/>
        <v/>
      </c>
      <c r="LH854" s="2051" t="str">
        <f t="shared" si="298"/>
        <v/>
      </c>
      <c r="LI854" s="2051" t="str">
        <f t="shared" si="299"/>
        <v/>
      </c>
      <c r="LJ854" s="2051" t="str">
        <f t="shared" si="300"/>
        <v/>
      </c>
      <c r="LK854" s="2051" t="str">
        <f t="shared" si="301"/>
        <v/>
      </c>
      <c r="LL854" s="1852" t="str">
        <f t="shared" si="302"/>
        <v/>
      </c>
      <c r="LM854" s="1852" t="str">
        <f t="shared" si="303"/>
        <v/>
      </c>
      <c r="LN854" s="1852" t="str">
        <f t="shared" si="304"/>
        <v/>
      </c>
      <c r="LO854" s="1852" t="str">
        <f t="shared" si="305"/>
        <v/>
      </c>
      <c r="LP854" s="1852" t="str">
        <f t="shared" si="306"/>
        <v/>
      </c>
      <c r="LQ854" s="1852" t="str">
        <f t="shared" si="307"/>
        <v/>
      </c>
      <c r="LR854" s="1852" t="str">
        <f t="shared" si="308"/>
        <v/>
      </c>
      <c r="LS854" s="1852" t="str">
        <f t="shared" si="309"/>
        <v/>
      </c>
      <c r="LT854" s="1852" t="str">
        <f t="shared" si="310"/>
        <v/>
      </c>
      <c r="LU854" s="1852" t="str">
        <f t="shared" si="311"/>
        <v/>
      </c>
      <c r="LV854" s="1852" t="str">
        <f t="shared" si="312"/>
        <v/>
      </c>
      <c r="LW854" s="1852" t="str">
        <f t="shared" si="313"/>
        <v/>
      </c>
      <c r="LX854" s="1852" t="str">
        <f t="shared" si="314"/>
        <v/>
      </c>
      <c r="LY854" s="1852" t="str">
        <f t="shared" si="315"/>
        <v/>
      </c>
      <c r="LZ854" s="1852" t="str">
        <f t="shared" si="316"/>
        <v/>
      </c>
      <c r="MA854" s="1852" t="str">
        <f t="shared" si="317"/>
        <v/>
      </c>
      <c r="MB854" s="1852" t="str">
        <f t="shared" si="318"/>
        <v/>
      </c>
      <c r="MC854" s="1852" t="str">
        <f t="shared" si="319"/>
        <v/>
      </c>
      <c r="MD854" s="1852" t="str">
        <f t="shared" si="320"/>
        <v/>
      </c>
      <c r="ME854" s="1852" t="str">
        <f t="shared" si="321"/>
        <v/>
      </c>
      <c r="MF854" s="2051">
        <f t="shared" si="328"/>
        <v>0</v>
      </c>
      <c r="MG854" s="2051">
        <f t="shared" si="329"/>
        <v>0</v>
      </c>
      <c r="MH854" s="2051">
        <f t="shared" si="330"/>
        <v>0</v>
      </c>
      <c r="MI854" s="2051">
        <f t="shared" si="331"/>
        <v>0</v>
      </c>
      <c r="MJ854" s="2051">
        <f t="shared" si="332"/>
        <v>0</v>
      </c>
      <c r="MK854" s="2051">
        <f t="shared" si="333"/>
        <v>0</v>
      </c>
      <c r="ML854" s="2051">
        <f t="shared" si="334"/>
        <v>0</v>
      </c>
      <c r="MM854" s="2051">
        <f t="shared" si="335"/>
        <v>0</v>
      </c>
      <c r="MN854" s="2051">
        <f t="shared" si="336"/>
        <v>0</v>
      </c>
      <c r="MO854" s="2051">
        <f t="shared" si="337"/>
        <v>0</v>
      </c>
      <c r="MP854" s="2051">
        <f t="shared" si="322"/>
        <v>0</v>
      </c>
      <c r="MQ854" s="2051">
        <f t="shared" si="323"/>
        <v>0</v>
      </c>
      <c r="MR854" s="2051">
        <f t="shared" si="324"/>
        <v>0</v>
      </c>
      <c r="MS854" s="2051">
        <f t="shared" si="325"/>
        <v>0</v>
      </c>
      <c r="MT854" s="2051">
        <f t="shared" si="326"/>
        <v>0</v>
      </c>
      <c r="NP854" s="1924" t="s">
        <v>6723</v>
      </c>
    </row>
    <row r="855" spans="1:380" s="1852" customFormat="1" ht="13.9" customHeight="1">
      <c r="A855" s="2108" t="str">
        <f t="shared" si="327"/>
        <v/>
      </c>
      <c r="B855" s="2130" t="str">
        <f>'Part VI-Revenues &amp; Expenses'!B15</f>
        <v>Unrestricted</v>
      </c>
      <c r="C855" s="2131">
        <f>'Part VI-Revenues &amp; Expenses'!C15</f>
        <v>0</v>
      </c>
      <c r="D855" s="2132">
        <f>'Part VI-Revenues &amp; Expenses'!D15</f>
        <v>0</v>
      </c>
      <c r="E855" s="2133">
        <f>'Part VI-Revenues &amp; Expenses'!E15</f>
        <v>0</v>
      </c>
      <c r="F855" s="2133">
        <f>'Part VI-Revenues &amp; Expenses'!F15</f>
        <v>0</v>
      </c>
      <c r="G855" s="2133">
        <f>'Part VI-Revenues &amp; Expenses'!G15</f>
        <v>0</v>
      </c>
      <c r="H855" s="2133">
        <f>'Part VI-Revenues &amp; Expenses'!H15</f>
        <v>0</v>
      </c>
      <c r="I855" s="2133">
        <f>'Part VI-Revenues &amp; Expenses'!I15</f>
        <v>0</v>
      </c>
      <c r="J855" s="2133">
        <f>'Part VI-Revenues &amp; Expenses'!J15</f>
        <v>0</v>
      </c>
      <c r="K855" s="2134">
        <f>'Part VI-Revenues &amp; Expenses'!K15</f>
        <v>0</v>
      </c>
      <c r="L855" s="2135">
        <f t="shared" si="0"/>
        <v>0</v>
      </c>
      <c r="M855" s="2135">
        <f t="shared" si="1"/>
        <v>0</v>
      </c>
      <c r="N855" s="1916">
        <f>'Part VI-Revenues &amp; Expenses'!N15</f>
        <v>0</v>
      </c>
      <c r="O855" s="2136">
        <f>'Part VI-Revenues &amp; Expenses'!O15</f>
        <v>0</v>
      </c>
      <c r="P855" s="1916">
        <f>'Part VI-Revenues &amp; Expenses'!P15</f>
        <v>0</v>
      </c>
      <c r="Q855" s="2137">
        <f>'Part VI-Revenues &amp; Expenses'!Q15</f>
        <v>0</v>
      </c>
      <c r="R855" s="2138"/>
      <c r="S855" s="2139"/>
      <c r="T855" s="2043"/>
      <c r="U855" s="2043"/>
      <c r="V855" s="2043"/>
      <c r="W855" s="2043"/>
      <c r="X855" s="1852" t="str">
        <f t="shared" si="2"/>
        <v/>
      </c>
      <c r="Y855" s="1852" t="str">
        <f t="shared" si="3"/>
        <v/>
      </c>
      <c r="Z855" s="1852" t="str">
        <f t="shared" si="4"/>
        <v/>
      </c>
      <c r="AA855" s="1852" t="str">
        <f t="shared" si="5"/>
        <v/>
      </c>
      <c r="AB855" s="1852" t="str">
        <f t="shared" si="6"/>
        <v/>
      </c>
      <c r="AC855" s="1852" t="str">
        <f t="shared" si="7"/>
        <v/>
      </c>
      <c r="AD855" s="1852" t="str">
        <f t="shared" si="8"/>
        <v/>
      </c>
      <c r="AE855" s="1852" t="str">
        <f t="shared" si="9"/>
        <v/>
      </c>
      <c r="AF855" s="1852" t="str">
        <f t="shared" si="10"/>
        <v/>
      </c>
      <c r="AG855" s="1852" t="str">
        <f t="shared" si="11"/>
        <v/>
      </c>
      <c r="AH855" s="1852" t="str">
        <f t="shared" si="12"/>
        <v/>
      </c>
      <c r="AI855" s="1852" t="str">
        <f t="shared" si="13"/>
        <v/>
      </c>
      <c r="AJ855" s="1852" t="str">
        <f t="shared" si="14"/>
        <v/>
      </c>
      <c r="AK855" s="1852" t="str">
        <f t="shared" si="15"/>
        <v/>
      </c>
      <c r="AL855" s="1852" t="str">
        <f t="shared" si="16"/>
        <v/>
      </c>
      <c r="AM855" s="1852" t="str">
        <f t="shared" si="17"/>
        <v/>
      </c>
      <c r="AN855" s="1852" t="str">
        <f t="shared" si="18"/>
        <v/>
      </c>
      <c r="AO855" s="1852" t="str">
        <f t="shared" si="19"/>
        <v/>
      </c>
      <c r="AP855" s="1852" t="str">
        <f t="shared" si="20"/>
        <v/>
      </c>
      <c r="AQ855" s="1852" t="str">
        <f t="shared" si="21"/>
        <v/>
      </c>
      <c r="AR855" s="1852" t="str">
        <f t="shared" si="22"/>
        <v/>
      </c>
      <c r="AS855" s="1852" t="str">
        <f t="shared" si="23"/>
        <v/>
      </c>
      <c r="AT855" s="1852" t="str">
        <f t="shared" si="24"/>
        <v/>
      </c>
      <c r="AU855" s="1852" t="str">
        <f t="shared" si="25"/>
        <v/>
      </c>
      <c r="AV855" s="1852" t="str">
        <f t="shared" si="26"/>
        <v/>
      </c>
      <c r="AW855" s="1852" t="str">
        <f t="shared" si="27"/>
        <v/>
      </c>
      <c r="AX855" s="1852" t="str">
        <f t="shared" si="28"/>
        <v/>
      </c>
      <c r="AY855" s="1852" t="str">
        <f t="shared" si="29"/>
        <v/>
      </c>
      <c r="AZ855" s="1852" t="str">
        <f t="shared" si="30"/>
        <v/>
      </c>
      <c r="BA855" s="1852" t="str">
        <f t="shared" si="31"/>
        <v/>
      </c>
      <c r="BB855" s="1852" t="str">
        <f t="shared" si="32"/>
        <v/>
      </c>
      <c r="BC855" s="1852" t="str">
        <f t="shared" si="33"/>
        <v/>
      </c>
      <c r="BD855" s="1852" t="str">
        <f t="shared" si="34"/>
        <v/>
      </c>
      <c r="BE855" s="1852" t="str">
        <f t="shared" si="35"/>
        <v/>
      </c>
      <c r="BF855" s="1852" t="str">
        <f t="shared" si="36"/>
        <v/>
      </c>
      <c r="BG855" s="1852" t="str">
        <f t="shared" si="37"/>
        <v/>
      </c>
      <c r="BH855" s="1852" t="str">
        <f t="shared" si="38"/>
        <v/>
      </c>
      <c r="BI855" s="1852" t="str">
        <f t="shared" si="39"/>
        <v/>
      </c>
      <c r="BJ855" s="1852" t="str">
        <f t="shared" si="40"/>
        <v/>
      </c>
      <c r="BK855" s="1852" t="str">
        <f t="shared" si="41"/>
        <v/>
      </c>
      <c r="BL855" s="1852" t="str">
        <f t="shared" si="42"/>
        <v/>
      </c>
      <c r="BM855" s="1852" t="str">
        <f t="shared" si="43"/>
        <v/>
      </c>
      <c r="BN855" s="1852" t="str">
        <f t="shared" si="44"/>
        <v/>
      </c>
      <c r="BO855" s="1852" t="str">
        <f t="shared" si="45"/>
        <v/>
      </c>
      <c r="BP855" s="1852" t="str">
        <f t="shared" si="46"/>
        <v/>
      </c>
      <c r="BQ855" s="1852" t="str">
        <f t="shared" si="47"/>
        <v/>
      </c>
      <c r="BR855" s="1852" t="str">
        <f t="shared" si="48"/>
        <v/>
      </c>
      <c r="BS855" s="1852" t="str">
        <f t="shared" si="49"/>
        <v/>
      </c>
      <c r="BT855" s="1852" t="str">
        <f t="shared" si="50"/>
        <v/>
      </c>
      <c r="BU855" s="1852" t="str">
        <f t="shared" si="51"/>
        <v/>
      </c>
      <c r="BV855" s="1852" t="str">
        <f t="shared" si="52"/>
        <v/>
      </c>
      <c r="BW855" s="1852" t="str">
        <f t="shared" si="53"/>
        <v/>
      </c>
      <c r="BX855" s="1852" t="str">
        <f t="shared" si="54"/>
        <v/>
      </c>
      <c r="BY855" s="1852" t="str">
        <f t="shared" si="55"/>
        <v/>
      </c>
      <c r="BZ855" s="1852" t="str">
        <f t="shared" si="56"/>
        <v/>
      </c>
      <c r="CA855" s="1852" t="str">
        <f t="shared" si="57"/>
        <v/>
      </c>
      <c r="CB855" s="1852" t="str">
        <f t="shared" si="58"/>
        <v/>
      </c>
      <c r="CC855" s="1852" t="str">
        <f t="shared" si="59"/>
        <v/>
      </c>
      <c r="CD855" s="1852" t="str">
        <f t="shared" si="60"/>
        <v/>
      </c>
      <c r="CE855" s="1852" t="str">
        <f t="shared" si="61"/>
        <v/>
      </c>
      <c r="CF855" s="1852" t="str">
        <f t="shared" si="62"/>
        <v/>
      </c>
      <c r="CG855" s="1852" t="str">
        <f t="shared" si="63"/>
        <v/>
      </c>
      <c r="CH855" s="1852" t="str">
        <f t="shared" si="64"/>
        <v/>
      </c>
      <c r="CI855" s="1852" t="str">
        <f t="shared" si="65"/>
        <v/>
      </c>
      <c r="CJ855" s="1852" t="str">
        <f t="shared" si="66"/>
        <v/>
      </c>
      <c r="CK855" s="1852" t="str">
        <f t="shared" si="67"/>
        <v/>
      </c>
      <c r="CL855" s="1852" t="str">
        <f t="shared" si="68"/>
        <v/>
      </c>
      <c r="CM855" s="1852" t="str">
        <f t="shared" si="69"/>
        <v/>
      </c>
      <c r="CN855" s="1852" t="str">
        <f t="shared" si="70"/>
        <v/>
      </c>
      <c r="CO855" s="1852" t="str">
        <f t="shared" si="71"/>
        <v/>
      </c>
      <c r="CP855" s="1852" t="str">
        <f t="shared" si="72"/>
        <v/>
      </c>
      <c r="CQ855" s="1852" t="str">
        <f t="shared" si="73"/>
        <v/>
      </c>
      <c r="CR855" s="1852" t="str">
        <f t="shared" si="74"/>
        <v/>
      </c>
      <c r="CS855" s="1852" t="str">
        <f t="shared" si="75"/>
        <v/>
      </c>
      <c r="CT855" s="1852" t="str">
        <f t="shared" si="76"/>
        <v/>
      </c>
      <c r="CU855" s="1852" t="str">
        <f t="shared" si="77"/>
        <v/>
      </c>
      <c r="CV855" s="1852" t="str">
        <f t="shared" si="78"/>
        <v/>
      </c>
      <c r="CW855" s="1852" t="str">
        <f t="shared" si="79"/>
        <v/>
      </c>
      <c r="CX855" s="1852" t="str">
        <f t="shared" si="80"/>
        <v/>
      </c>
      <c r="CY855" s="1852" t="str">
        <f t="shared" si="81"/>
        <v/>
      </c>
      <c r="CZ855" s="1852" t="str">
        <f t="shared" si="82"/>
        <v/>
      </c>
      <c r="DA855" s="1852" t="str">
        <f t="shared" si="83"/>
        <v/>
      </c>
      <c r="DB855" s="1852" t="str">
        <f t="shared" si="84"/>
        <v/>
      </c>
      <c r="DC855" s="1852" t="str">
        <f t="shared" si="85"/>
        <v/>
      </c>
      <c r="DD855" s="1852" t="str">
        <f t="shared" si="86"/>
        <v/>
      </c>
      <c r="DE855" s="1852" t="str">
        <f t="shared" si="87"/>
        <v/>
      </c>
      <c r="DF855" s="1852" t="str">
        <f t="shared" si="88"/>
        <v/>
      </c>
      <c r="DG855" s="1852" t="str">
        <f t="shared" si="89"/>
        <v/>
      </c>
      <c r="DH855" s="1852" t="str">
        <f t="shared" si="90"/>
        <v/>
      </c>
      <c r="DI855" s="1852" t="str">
        <f t="shared" si="91"/>
        <v/>
      </c>
      <c r="DJ855" s="1852" t="str">
        <f t="shared" si="92"/>
        <v/>
      </c>
      <c r="DK855" s="1852" t="str">
        <f t="shared" si="93"/>
        <v/>
      </c>
      <c r="DL855" s="1852" t="str">
        <f t="shared" si="94"/>
        <v/>
      </c>
      <c r="DM855" s="1852" t="str">
        <f t="shared" si="95"/>
        <v/>
      </c>
      <c r="DN855" s="1852" t="str">
        <f t="shared" si="96"/>
        <v/>
      </c>
      <c r="DO855" s="1852" t="str">
        <f t="shared" si="97"/>
        <v/>
      </c>
      <c r="DP855" s="1852" t="str">
        <f t="shared" si="98"/>
        <v/>
      </c>
      <c r="DQ855" s="1852" t="str">
        <f t="shared" si="99"/>
        <v/>
      </c>
      <c r="DR855" s="1852" t="str">
        <f t="shared" si="100"/>
        <v/>
      </c>
      <c r="DS855" s="1852" t="str">
        <f t="shared" si="101"/>
        <v/>
      </c>
      <c r="DT855" s="1852" t="str">
        <f t="shared" si="102"/>
        <v/>
      </c>
      <c r="DU855" s="1852" t="str">
        <f t="shared" si="103"/>
        <v/>
      </c>
      <c r="DV855" s="1852" t="str">
        <f t="shared" si="104"/>
        <v/>
      </c>
      <c r="DW855" s="1852" t="str">
        <f t="shared" si="105"/>
        <v/>
      </c>
      <c r="DX855" s="1852" t="str">
        <f t="shared" si="106"/>
        <v/>
      </c>
      <c r="DY855" s="1852" t="str">
        <f t="shared" si="107"/>
        <v/>
      </c>
      <c r="DZ855" s="1852" t="str">
        <f t="shared" si="108"/>
        <v/>
      </c>
      <c r="EA855" s="1852" t="str">
        <f t="shared" si="109"/>
        <v/>
      </c>
      <c r="EB855" s="1852" t="str">
        <f t="shared" si="110"/>
        <v/>
      </c>
      <c r="EC855" s="1852" t="str">
        <f t="shared" si="111"/>
        <v/>
      </c>
      <c r="ED855" s="1852" t="str">
        <f t="shared" si="112"/>
        <v/>
      </c>
      <c r="EE855" s="1852" t="str">
        <f t="shared" si="113"/>
        <v/>
      </c>
      <c r="EF855" s="1852" t="str">
        <f t="shared" si="114"/>
        <v/>
      </c>
      <c r="EG855" s="1852" t="str">
        <f t="shared" si="115"/>
        <v/>
      </c>
      <c r="EH855" s="1852" t="str">
        <f t="shared" si="116"/>
        <v/>
      </c>
      <c r="EI855" s="1852" t="str">
        <f t="shared" si="117"/>
        <v/>
      </c>
      <c r="EJ855" s="1852" t="str">
        <f t="shared" si="118"/>
        <v/>
      </c>
      <c r="EK855" s="1852" t="str">
        <f t="shared" si="119"/>
        <v/>
      </c>
      <c r="EL855" s="1852" t="str">
        <f t="shared" si="120"/>
        <v/>
      </c>
      <c r="EM855" s="1852" t="str">
        <f t="shared" si="121"/>
        <v/>
      </c>
      <c r="EN855" s="1852" t="str">
        <f t="shared" si="122"/>
        <v/>
      </c>
      <c r="EO855" s="1852" t="str">
        <f t="shared" si="123"/>
        <v/>
      </c>
      <c r="EP855" s="1852" t="str">
        <f t="shared" si="124"/>
        <v/>
      </c>
      <c r="EQ855" s="1852" t="str">
        <f t="shared" si="125"/>
        <v/>
      </c>
      <c r="ER855" s="1852" t="str">
        <f t="shared" si="126"/>
        <v/>
      </c>
      <c r="ES855" s="1852" t="str">
        <f t="shared" si="127"/>
        <v/>
      </c>
      <c r="ET855" s="1852" t="str">
        <f t="shared" si="128"/>
        <v/>
      </c>
      <c r="EU855" s="1852" t="str">
        <f t="shared" si="129"/>
        <v/>
      </c>
      <c r="EV855" s="1852" t="str">
        <f t="shared" si="130"/>
        <v/>
      </c>
      <c r="EW855" s="1852" t="str">
        <f t="shared" si="131"/>
        <v/>
      </c>
      <c r="EX855" s="1852" t="str">
        <f t="shared" si="132"/>
        <v/>
      </c>
      <c r="EY855" s="1852" t="str">
        <f t="shared" si="133"/>
        <v/>
      </c>
      <c r="EZ855" s="1852" t="str">
        <f t="shared" si="134"/>
        <v/>
      </c>
      <c r="FA855" s="1852" t="str">
        <f t="shared" si="135"/>
        <v/>
      </c>
      <c r="FB855" s="1852" t="str">
        <f t="shared" si="136"/>
        <v/>
      </c>
      <c r="FC855" s="1852" t="str">
        <f t="shared" si="137"/>
        <v/>
      </c>
      <c r="FD855" s="1852" t="str">
        <f t="shared" si="138"/>
        <v/>
      </c>
      <c r="FE855" s="1852" t="str">
        <f t="shared" si="139"/>
        <v/>
      </c>
      <c r="FF855" s="1852" t="str">
        <f t="shared" si="140"/>
        <v/>
      </c>
      <c r="FG855" s="1852" t="str">
        <f t="shared" si="141"/>
        <v/>
      </c>
      <c r="FH855" s="1852" t="str">
        <f t="shared" si="142"/>
        <v/>
      </c>
      <c r="FI855" s="1852" t="str">
        <f t="shared" si="143"/>
        <v/>
      </c>
      <c r="FJ855" s="1852" t="str">
        <f t="shared" si="144"/>
        <v/>
      </c>
      <c r="FK855" s="1852" t="str">
        <f t="shared" si="145"/>
        <v/>
      </c>
      <c r="FL855" s="1852" t="str">
        <f t="shared" si="146"/>
        <v/>
      </c>
      <c r="FM855" s="1852" t="str">
        <f t="shared" si="147"/>
        <v/>
      </c>
      <c r="FN855" s="1852" t="str">
        <f t="shared" si="148"/>
        <v/>
      </c>
      <c r="FO855" s="1852" t="str">
        <f t="shared" si="149"/>
        <v/>
      </c>
      <c r="FP855" s="1852" t="str">
        <f t="shared" si="150"/>
        <v/>
      </c>
      <c r="FQ855" s="1852" t="str">
        <f t="shared" si="151"/>
        <v/>
      </c>
      <c r="FR855" s="1852" t="str">
        <f t="shared" si="152"/>
        <v/>
      </c>
      <c r="FS855" s="1852" t="str">
        <f t="shared" si="153"/>
        <v/>
      </c>
      <c r="FT855" s="1852" t="str">
        <f t="shared" si="154"/>
        <v/>
      </c>
      <c r="FU855" s="1852" t="str">
        <f t="shared" si="155"/>
        <v/>
      </c>
      <c r="FV855" s="1852" t="str">
        <f t="shared" si="156"/>
        <v/>
      </c>
      <c r="FW855" s="1852" t="str">
        <f t="shared" si="157"/>
        <v/>
      </c>
      <c r="FX855" s="1852" t="str">
        <f t="shared" si="158"/>
        <v/>
      </c>
      <c r="FY855" s="1852" t="str">
        <f t="shared" si="159"/>
        <v/>
      </c>
      <c r="FZ855" s="1852" t="str">
        <f t="shared" si="160"/>
        <v/>
      </c>
      <c r="GA855" s="1852" t="str">
        <f t="shared" si="161"/>
        <v/>
      </c>
      <c r="GB855" s="1852" t="str">
        <f t="shared" si="162"/>
        <v/>
      </c>
      <c r="GC855" s="1852" t="str">
        <f t="shared" si="163"/>
        <v/>
      </c>
      <c r="GD855" s="1852" t="str">
        <f t="shared" si="164"/>
        <v/>
      </c>
      <c r="GE855" s="1852" t="str">
        <f t="shared" si="165"/>
        <v/>
      </c>
      <c r="GF855" s="1852" t="str">
        <f t="shared" si="166"/>
        <v/>
      </c>
      <c r="GG855" s="1852" t="str">
        <f t="shared" si="167"/>
        <v/>
      </c>
      <c r="GH855" s="1852" t="str">
        <f t="shared" si="168"/>
        <v/>
      </c>
      <c r="GI855" s="1852" t="str">
        <f t="shared" si="169"/>
        <v/>
      </c>
      <c r="GJ855" s="1852" t="str">
        <f t="shared" si="170"/>
        <v/>
      </c>
      <c r="GK855" s="1852" t="str">
        <f t="shared" si="171"/>
        <v/>
      </c>
      <c r="GL855" s="1852" t="str">
        <f t="shared" si="172"/>
        <v/>
      </c>
      <c r="GM855" s="1852" t="str">
        <f t="shared" si="173"/>
        <v/>
      </c>
      <c r="GN855" s="1852" t="str">
        <f t="shared" si="174"/>
        <v/>
      </c>
      <c r="GO855" s="1852" t="str">
        <f t="shared" si="175"/>
        <v/>
      </c>
      <c r="GP855" s="1852" t="str">
        <f t="shared" si="176"/>
        <v/>
      </c>
      <c r="GQ855" s="1852" t="str">
        <f t="shared" si="177"/>
        <v/>
      </c>
      <c r="GR855" s="1852" t="str">
        <f t="shared" si="178"/>
        <v/>
      </c>
      <c r="GS855" s="1852" t="str">
        <f t="shared" si="179"/>
        <v/>
      </c>
      <c r="GT855" s="1852" t="str">
        <f t="shared" si="180"/>
        <v/>
      </c>
      <c r="GU855" s="1852" t="str">
        <f t="shared" si="181"/>
        <v/>
      </c>
      <c r="GV855" s="1852" t="str">
        <f t="shared" si="182"/>
        <v/>
      </c>
      <c r="GW855" s="1852" t="str">
        <f t="shared" si="183"/>
        <v/>
      </c>
      <c r="GX855" s="1852" t="str">
        <f t="shared" si="184"/>
        <v/>
      </c>
      <c r="GY855" s="1852" t="str">
        <f t="shared" si="185"/>
        <v/>
      </c>
      <c r="GZ855" s="1852" t="str">
        <f t="shared" si="186"/>
        <v/>
      </c>
      <c r="HA855" s="1852" t="str">
        <f t="shared" si="187"/>
        <v/>
      </c>
      <c r="HB855" s="1852" t="str">
        <f t="shared" si="188"/>
        <v/>
      </c>
      <c r="HC855" s="1852" t="str">
        <f t="shared" si="189"/>
        <v/>
      </c>
      <c r="HD855" s="1852" t="str">
        <f t="shared" si="190"/>
        <v/>
      </c>
      <c r="HE855" s="1852" t="str">
        <f t="shared" si="191"/>
        <v/>
      </c>
      <c r="HF855" s="1852" t="str">
        <f t="shared" si="192"/>
        <v/>
      </c>
      <c r="HG855" s="1852" t="str">
        <f t="shared" si="193"/>
        <v/>
      </c>
      <c r="HH855" s="1852" t="str">
        <f t="shared" si="194"/>
        <v/>
      </c>
      <c r="HI855" s="1852" t="str">
        <f t="shared" si="195"/>
        <v/>
      </c>
      <c r="HJ855" s="1852" t="str">
        <f t="shared" si="196"/>
        <v/>
      </c>
      <c r="HK855" s="1852" t="str">
        <f t="shared" si="197"/>
        <v/>
      </c>
      <c r="HL855" s="1852" t="str">
        <f t="shared" si="198"/>
        <v/>
      </c>
      <c r="HM855" s="1852" t="str">
        <f t="shared" si="199"/>
        <v/>
      </c>
      <c r="HN855" s="1852" t="str">
        <f t="shared" si="200"/>
        <v/>
      </c>
      <c r="HO855" s="1852" t="str">
        <f t="shared" si="201"/>
        <v/>
      </c>
      <c r="HP855" s="1852" t="str">
        <f t="shared" si="202"/>
        <v/>
      </c>
      <c r="HQ855" s="1852" t="str">
        <f t="shared" si="203"/>
        <v/>
      </c>
      <c r="HR855" s="1852" t="str">
        <f t="shared" si="204"/>
        <v/>
      </c>
      <c r="HS855" s="1852" t="str">
        <f t="shared" si="205"/>
        <v/>
      </c>
      <c r="HT855" s="1852" t="str">
        <f t="shared" si="206"/>
        <v/>
      </c>
      <c r="HU855" s="1852" t="str">
        <f t="shared" si="207"/>
        <v/>
      </c>
      <c r="HV855" s="1852" t="str">
        <f t="shared" si="208"/>
        <v/>
      </c>
      <c r="HW855" s="1852" t="str">
        <f t="shared" si="209"/>
        <v/>
      </c>
      <c r="HX855" s="1852" t="str">
        <f t="shared" si="210"/>
        <v/>
      </c>
      <c r="HY855" s="1852" t="str">
        <f t="shared" si="211"/>
        <v/>
      </c>
      <c r="HZ855" s="2140" t="str">
        <f t="shared" si="212"/>
        <v/>
      </c>
      <c r="IA855" s="2140" t="str">
        <f t="shared" si="213"/>
        <v/>
      </c>
      <c r="IB855" s="2140" t="str">
        <f t="shared" si="214"/>
        <v/>
      </c>
      <c r="IC855" s="2140" t="str">
        <f t="shared" si="215"/>
        <v/>
      </c>
      <c r="ID855" s="2140" t="str">
        <f t="shared" si="216"/>
        <v/>
      </c>
      <c r="IE855" s="2140" t="str">
        <f t="shared" si="217"/>
        <v/>
      </c>
      <c r="IF855" s="2140" t="str">
        <f t="shared" si="218"/>
        <v/>
      </c>
      <c r="IG855" s="2140" t="str">
        <f t="shared" si="219"/>
        <v/>
      </c>
      <c r="IH855" s="2140" t="str">
        <f t="shared" si="220"/>
        <v/>
      </c>
      <c r="II855" s="2140" t="str">
        <f t="shared" si="221"/>
        <v/>
      </c>
      <c r="IJ855" s="2140" t="str">
        <f t="shared" si="222"/>
        <v/>
      </c>
      <c r="IK855" s="2140" t="str">
        <f t="shared" si="223"/>
        <v/>
      </c>
      <c r="IL855" s="2140" t="str">
        <f t="shared" si="224"/>
        <v/>
      </c>
      <c r="IM855" s="2140" t="str">
        <f t="shared" si="225"/>
        <v/>
      </c>
      <c r="IN855" s="2140" t="str">
        <f t="shared" si="226"/>
        <v/>
      </c>
      <c r="IO855" s="2140" t="str">
        <f t="shared" si="227"/>
        <v/>
      </c>
      <c r="IP855" s="2140" t="str">
        <f t="shared" si="228"/>
        <v/>
      </c>
      <c r="IQ855" s="2140" t="str">
        <f t="shared" si="229"/>
        <v/>
      </c>
      <c r="IR855" s="2140" t="str">
        <f t="shared" si="230"/>
        <v/>
      </c>
      <c r="IS855" s="2140" t="str">
        <f t="shared" si="231"/>
        <v/>
      </c>
      <c r="IT855" s="2140" t="str">
        <f t="shared" si="232"/>
        <v/>
      </c>
      <c r="IU855" s="2140" t="str">
        <f t="shared" si="233"/>
        <v/>
      </c>
      <c r="IV855" s="2140" t="str">
        <f t="shared" si="234"/>
        <v/>
      </c>
      <c r="IW855" s="2140" t="str">
        <f t="shared" si="235"/>
        <v/>
      </c>
      <c r="IX855" s="2140" t="str">
        <f t="shared" si="236"/>
        <v/>
      </c>
      <c r="IY855" s="2140" t="str">
        <f t="shared" si="237"/>
        <v/>
      </c>
      <c r="IZ855" s="2140" t="str">
        <f t="shared" si="238"/>
        <v/>
      </c>
      <c r="JA855" s="2140" t="str">
        <f t="shared" si="239"/>
        <v/>
      </c>
      <c r="JB855" s="2140" t="str">
        <f t="shared" si="240"/>
        <v/>
      </c>
      <c r="JC855" s="2140" t="str">
        <f t="shared" si="241"/>
        <v/>
      </c>
      <c r="JD855" s="2140" t="str">
        <f t="shared" si="242"/>
        <v/>
      </c>
      <c r="JE855" s="2140" t="str">
        <f t="shared" si="243"/>
        <v/>
      </c>
      <c r="JF855" s="2140" t="str">
        <f t="shared" si="244"/>
        <v/>
      </c>
      <c r="JG855" s="2140" t="str">
        <f t="shared" si="245"/>
        <v/>
      </c>
      <c r="JH855" s="2140" t="str">
        <f t="shared" si="246"/>
        <v/>
      </c>
      <c r="JI855" s="2140" t="str">
        <f t="shared" si="247"/>
        <v/>
      </c>
      <c r="JJ855" s="2140" t="str">
        <f t="shared" si="248"/>
        <v/>
      </c>
      <c r="JK855" s="2140" t="str">
        <f t="shared" si="249"/>
        <v/>
      </c>
      <c r="JL855" s="2140" t="str">
        <f t="shared" si="250"/>
        <v/>
      </c>
      <c r="JM855" s="2140" t="str">
        <f t="shared" si="251"/>
        <v/>
      </c>
      <c r="JN855" s="2140" t="str">
        <f t="shared" si="252"/>
        <v/>
      </c>
      <c r="JO855" s="2140" t="str">
        <f t="shared" si="253"/>
        <v/>
      </c>
      <c r="JP855" s="2140" t="str">
        <f t="shared" si="254"/>
        <v/>
      </c>
      <c r="JQ855" s="2140" t="str">
        <f t="shared" si="255"/>
        <v/>
      </c>
      <c r="JR855" s="2140" t="str">
        <f t="shared" si="256"/>
        <v/>
      </c>
      <c r="JS855" s="2140" t="str">
        <f t="shared" si="257"/>
        <v/>
      </c>
      <c r="JT855" s="2140" t="str">
        <f t="shared" si="258"/>
        <v/>
      </c>
      <c r="JU855" s="2140" t="str">
        <f t="shared" si="259"/>
        <v/>
      </c>
      <c r="JV855" s="2140" t="str">
        <f t="shared" si="260"/>
        <v/>
      </c>
      <c r="JW855" s="2140" t="str">
        <f t="shared" si="261"/>
        <v/>
      </c>
      <c r="JX855" s="2140" t="str">
        <f t="shared" si="262"/>
        <v/>
      </c>
      <c r="JY855" s="2140" t="str">
        <f t="shared" si="263"/>
        <v/>
      </c>
      <c r="JZ855" s="2140" t="str">
        <f t="shared" si="264"/>
        <v/>
      </c>
      <c r="KA855" s="2140" t="str">
        <f t="shared" si="265"/>
        <v/>
      </c>
      <c r="KB855" s="2140" t="str">
        <f t="shared" si="266"/>
        <v/>
      </c>
      <c r="KC855" s="2140" t="str">
        <f t="shared" si="267"/>
        <v/>
      </c>
      <c r="KD855" s="2140" t="str">
        <f t="shared" si="268"/>
        <v/>
      </c>
      <c r="KE855" s="2140" t="str">
        <f t="shared" si="269"/>
        <v/>
      </c>
      <c r="KF855" s="2140" t="str">
        <f t="shared" si="270"/>
        <v/>
      </c>
      <c r="KG855" s="2140" t="str">
        <f t="shared" si="271"/>
        <v/>
      </c>
      <c r="KH855" s="2140" t="str">
        <f t="shared" si="272"/>
        <v/>
      </c>
      <c r="KI855" s="2140" t="str">
        <f t="shared" si="273"/>
        <v/>
      </c>
      <c r="KJ855" s="2140" t="str">
        <f t="shared" si="274"/>
        <v/>
      </c>
      <c r="KK855" s="2140" t="str">
        <f t="shared" si="275"/>
        <v/>
      </c>
      <c r="KL855" s="2140" t="str">
        <f t="shared" si="276"/>
        <v/>
      </c>
      <c r="KM855" s="2140" t="str">
        <f t="shared" si="277"/>
        <v/>
      </c>
      <c r="KN855" s="2140" t="str">
        <f t="shared" si="278"/>
        <v/>
      </c>
      <c r="KO855" s="2140" t="str">
        <f t="shared" si="279"/>
        <v/>
      </c>
      <c r="KP855" s="2140" t="str">
        <f t="shared" si="280"/>
        <v/>
      </c>
      <c r="KQ855" s="2140" t="str">
        <f t="shared" si="281"/>
        <v/>
      </c>
      <c r="KR855" s="2140" t="str">
        <f t="shared" si="282"/>
        <v/>
      </c>
      <c r="KS855" s="2140" t="str">
        <f t="shared" si="283"/>
        <v/>
      </c>
      <c r="KT855" s="2140" t="str">
        <f t="shared" si="284"/>
        <v/>
      </c>
      <c r="KU855" s="2140" t="str">
        <f t="shared" si="285"/>
        <v/>
      </c>
      <c r="KV855" s="2140" t="str">
        <f t="shared" si="286"/>
        <v/>
      </c>
      <c r="KW855" s="2140" t="str">
        <f t="shared" si="287"/>
        <v/>
      </c>
      <c r="KX855" s="2140" t="str">
        <f t="shared" si="288"/>
        <v/>
      </c>
      <c r="KY855" s="2140" t="str">
        <f t="shared" si="289"/>
        <v/>
      </c>
      <c r="KZ855" s="2140" t="str">
        <f t="shared" si="290"/>
        <v/>
      </c>
      <c r="LA855" s="2140" t="str">
        <f t="shared" si="291"/>
        <v/>
      </c>
      <c r="LB855" s="2140" t="str">
        <f t="shared" si="292"/>
        <v/>
      </c>
      <c r="LC855" s="2140" t="str">
        <f t="shared" si="293"/>
        <v/>
      </c>
      <c r="LD855" s="2140" t="str">
        <f t="shared" si="294"/>
        <v/>
      </c>
      <c r="LE855" s="2140" t="str">
        <f t="shared" si="295"/>
        <v/>
      </c>
      <c r="LF855" s="2140" t="str">
        <f t="shared" si="296"/>
        <v/>
      </c>
      <c r="LG855" s="2051" t="str">
        <f t="shared" si="297"/>
        <v/>
      </c>
      <c r="LH855" s="2051" t="str">
        <f t="shared" si="298"/>
        <v/>
      </c>
      <c r="LI855" s="2051" t="str">
        <f t="shared" si="299"/>
        <v/>
      </c>
      <c r="LJ855" s="2051" t="str">
        <f t="shared" si="300"/>
        <v/>
      </c>
      <c r="LK855" s="2051" t="str">
        <f t="shared" si="301"/>
        <v/>
      </c>
      <c r="LL855" s="1852" t="str">
        <f t="shared" si="302"/>
        <v/>
      </c>
      <c r="LM855" s="1852" t="str">
        <f t="shared" si="303"/>
        <v/>
      </c>
      <c r="LN855" s="1852" t="str">
        <f t="shared" si="304"/>
        <v/>
      </c>
      <c r="LO855" s="1852" t="str">
        <f t="shared" si="305"/>
        <v/>
      </c>
      <c r="LP855" s="1852" t="str">
        <f t="shared" si="306"/>
        <v/>
      </c>
      <c r="LQ855" s="1852" t="str">
        <f t="shared" si="307"/>
        <v/>
      </c>
      <c r="LR855" s="1852" t="str">
        <f t="shared" si="308"/>
        <v/>
      </c>
      <c r="LS855" s="1852" t="str">
        <f t="shared" si="309"/>
        <v/>
      </c>
      <c r="LT855" s="1852" t="str">
        <f t="shared" si="310"/>
        <v/>
      </c>
      <c r="LU855" s="1852" t="str">
        <f t="shared" si="311"/>
        <v/>
      </c>
      <c r="LV855" s="1852" t="str">
        <f t="shared" si="312"/>
        <v/>
      </c>
      <c r="LW855" s="1852" t="str">
        <f t="shared" si="313"/>
        <v/>
      </c>
      <c r="LX855" s="1852" t="str">
        <f t="shared" si="314"/>
        <v/>
      </c>
      <c r="LY855" s="1852" t="str">
        <f t="shared" si="315"/>
        <v/>
      </c>
      <c r="LZ855" s="1852" t="str">
        <f t="shared" si="316"/>
        <v/>
      </c>
      <c r="MA855" s="1852" t="str">
        <f t="shared" si="317"/>
        <v/>
      </c>
      <c r="MB855" s="1852" t="str">
        <f t="shared" si="318"/>
        <v/>
      </c>
      <c r="MC855" s="1852" t="str">
        <f t="shared" si="319"/>
        <v/>
      </c>
      <c r="MD855" s="1852" t="str">
        <f t="shared" si="320"/>
        <v/>
      </c>
      <c r="ME855" s="1852" t="str">
        <f t="shared" si="321"/>
        <v/>
      </c>
      <c r="MF855" s="2051">
        <f t="shared" si="328"/>
        <v>0</v>
      </c>
      <c r="MG855" s="2051">
        <f t="shared" si="329"/>
        <v>0</v>
      </c>
      <c r="MH855" s="2051">
        <f t="shared" si="330"/>
        <v>0</v>
      </c>
      <c r="MI855" s="2051">
        <f t="shared" si="331"/>
        <v>0</v>
      </c>
      <c r="MJ855" s="2051">
        <f t="shared" si="332"/>
        <v>0</v>
      </c>
      <c r="MK855" s="2051">
        <f t="shared" si="333"/>
        <v>0</v>
      </c>
      <c r="ML855" s="2051">
        <f t="shared" si="334"/>
        <v>0</v>
      </c>
      <c r="MM855" s="2051">
        <f t="shared" si="335"/>
        <v>0</v>
      </c>
      <c r="MN855" s="2051">
        <f t="shared" si="336"/>
        <v>0</v>
      </c>
      <c r="MO855" s="2051">
        <f t="shared" si="337"/>
        <v>0</v>
      </c>
      <c r="MP855" s="2051">
        <f t="shared" si="322"/>
        <v>0</v>
      </c>
      <c r="MQ855" s="2051">
        <f t="shared" si="323"/>
        <v>0</v>
      </c>
      <c r="MR855" s="2051">
        <f t="shared" si="324"/>
        <v>0</v>
      </c>
      <c r="MS855" s="2051">
        <f t="shared" si="325"/>
        <v>0</v>
      </c>
      <c r="MT855" s="2051">
        <f t="shared" si="326"/>
        <v>0</v>
      </c>
      <c r="NP855" s="1924" t="s">
        <v>6724</v>
      </c>
    </row>
    <row r="856" spans="1:380" s="1852" customFormat="1" ht="13.9" customHeight="1">
      <c r="A856" s="2108" t="str">
        <f t="shared" si="327"/>
        <v/>
      </c>
      <c r="B856" s="2130" t="str">
        <f>'Part VI-Revenues &amp; Expenses'!B16</f>
        <v>Unrestricted</v>
      </c>
      <c r="C856" s="2131">
        <f>'Part VI-Revenues &amp; Expenses'!C16</f>
        <v>0</v>
      </c>
      <c r="D856" s="2132">
        <f>'Part VI-Revenues &amp; Expenses'!D16</f>
        <v>0</v>
      </c>
      <c r="E856" s="2133">
        <f>'Part VI-Revenues &amp; Expenses'!E16</f>
        <v>0</v>
      </c>
      <c r="F856" s="2133">
        <f>'Part VI-Revenues &amp; Expenses'!F16</f>
        <v>0</v>
      </c>
      <c r="G856" s="2133">
        <f>'Part VI-Revenues &amp; Expenses'!G16</f>
        <v>0</v>
      </c>
      <c r="H856" s="2133">
        <f>'Part VI-Revenues &amp; Expenses'!H16</f>
        <v>0</v>
      </c>
      <c r="I856" s="2133">
        <f>'Part VI-Revenues &amp; Expenses'!I16</f>
        <v>0</v>
      </c>
      <c r="J856" s="2133">
        <f>'Part VI-Revenues &amp; Expenses'!J16</f>
        <v>0</v>
      </c>
      <c r="K856" s="2134">
        <f>'Part VI-Revenues &amp; Expenses'!K16</f>
        <v>0</v>
      </c>
      <c r="L856" s="2135">
        <f t="shared" si="0"/>
        <v>0</v>
      </c>
      <c r="M856" s="2135">
        <f t="shared" si="1"/>
        <v>0</v>
      </c>
      <c r="N856" s="1916">
        <f>'Part VI-Revenues &amp; Expenses'!N16</f>
        <v>0</v>
      </c>
      <c r="O856" s="2136">
        <f>'Part VI-Revenues &amp; Expenses'!O16</f>
        <v>0</v>
      </c>
      <c r="P856" s="1916">
        <f>'Part VI-Revenues &amp; Expenses'!P16</f>
        <v>0</v>
      </c>
      <c r="Q856" s="2137">
        <f>'Part VI-Revenues &amp; Expenses'!Q16</f>
        <v>0</v>
      </c>
      <c r="R856" s="2138"/>
      <c r="S856" s="2139"/>
      <c r="T856" s="2043"/>
      <c r="U856" s="2043"/>
      <c r="V856" s="2043"/>
      <c r="W856" s="2043"/>
      <c r="X856" s="1852" t="str">
        <f t="shared" si="2"/>
        <v/>
      </c>
      <c r="Y856" s="1852" t="str">
        <f t="shared" si="3"/>
        <v/>
      </c>
      <c r="Z856" s="1852" t="str">
        <f t="shared" si="4"/>
        <v/>
      </c>
      <c r="AA856" s="1852" t="str">
        <f t="shared" si="5"/>
        <v/>
      </c>
      <c r="AB856" s="1852" t="str">
        <f t="shared" si="6"/>
        <v/>
      </c>
      <c r="AC856" s="1852" t="str">
        <f t="shared" si="7"/>
        <v/>
      </c>
      <c r="AD856" s="1852" t="str">
        <f t="shared" si="8"/>
        <v/>
      </c>
      <c r="AE856" s="1852" t="str">
        <f t="shared" si="9"/>
        <v/>
      </c>
      <c r="AF856" s="1852" t="str">
        <f t="shared" si="10"/>
        <v/>
      </c>
      <c r="AG856" s="1852" t="str">
        <f t="shared" si="11"/>
        <v/>
      </c>
      <c r="AH856" s="1852" t="str">
        <f t="shared" si="12"/>
        <v/>
      </c>
      <c r="AI856" s="1852" t="str">
        <f t="shared" si="13"/>
        <v/>
      </c>
      <c r="AJ856" s="1852" t="str">
        <f t="shared" si="14"/>
        <v/>
      </c>
      <c r="AK856" s="1852" t="str">
        <f t="shared" si="15"/>
        <v/>
      </c>
      <c r="AL856" s="1852" t="str">
        <f t="shared" si="16"/>
        <v/>
      </c>
      <c r="AM856" s="1852" t="str">
        <f t="shared" si="17"/>
        <v/>
      </c>
      <c r="AN856" s="1852" t="str">
        <f t="shared" si="18"/>
        <v/>
      </c>
      <c r="AO856" s="1852" t="str">
        <f t="shared" si="19"/>
        <v/>
      </c>
      <c r="AP856" s="1852" t="str">
        <f t="shared" si="20"/>
        <v/>
      </c>
      <c r="AQ856" s="1852" t="str">
        <f t="shared" si="21"/>
        <v/>
      </c>
      <c r="AR856" s="1852" t="str">
        <f t="shared" si="22"/>
        <v/>
      </c>
      <c r="AS856" s="1852" t="str">
        <f t="shared" si="23"/>
        <v/>
      </c>
      <c r="AT856" s="1852" t="str">
        <f t="shared" si="24"/>
        <v/>
      </c>
      <c r="AU856" s="1852" t="str">
        <f t="shared" si="25"/>
        <v/>
      </c>
      <c r="AV856" s="1852" t="str">
        <f t="shared" si="26"/>
        <v/>
      </c>
      <c r="AW856" s="1852" t="str">
        <f t="shared" si="27"/>
        <v/>
      </c>
      <c r="AX856" s="1852" t="str">
        <f t="shared" si="28"/>
        <v/>
      </c>
      <c r="AY856" s="1852" t="str">
        <f t="shared" si="29"/>
        <v/>
      </c>
      <c r="AZ856" s="1852" t="str">
        <f t="shared" si="30"/>
        <v/>
      </c>
      <c r="BA856" s="1852" t="str">
        <f t="shared" si="31"/>
        <v/>
      </c>
      <c r="BB856" s="1852" t="str">
        <f t="shared" si="32"/>
        <v/>
      </c>
      <c r="BC856" s="1852" t="str">
        <f t="shared" si="33"/>
        <v/>
      </c>
      <c r="BD856" s="1852" t="str">
        <f t="shared" si="34"/>
        <v/>
      </c>
      <c r="BE856" s="1852" t="str">
        <f t="shared" si="35"/>
        <v/>
      </c>
      <c r="BF856" s="1852" t="str">
        <f t="shared" si="36"/>
        <v/>
      </c>
      <c r="BG856" s="1852" t="str">
        <f t="shared" si="37"/>
        <v/>
      </c>
      <c r="BH856" s="1852" t="str">
        <f t="shared" si="38"/>
        <v/>
      </c>
      <c r="BI856" s="1852" t="str">
        <f t="shared" si="39"/>
        <v/>
      </c>
      <c r="BJ856" s="1852" t="str">
        <f t="shared" si="40"/>
        <v/>
      </c>
      <c r="BK856" s="1852" t="str">
        <f t="shared" si="41"/>
        <v/>
      </c>
      <c r="BL856" s="1852" t="str">
        <f t="shared" si="42"/>
        <v/>
      </c>
      <c r="BM856" s="1852" t="str">
        <f t="shared" si="43"/>
        <v/>
      </c>
      <c r="BN856" s="1852" t="str">
        <f t="shared" si="44"/>
        <v/>
      </c>
      <c r="BO856" s="1852" t="str">
        <f t="shared" si="45"/>
        <v/>
      </c>
      <c r="BP856" s="1852" t="str">
        <f t="shared" si="46"/>
        <v/>
      </c>
      <c r="BQ856" s="1852" t="str">
        <f t="shared" si="47"/>
        <v/>
      </c>
      <c r="BR856" s="1852" t="str">
        <f t="shared" si="48"/>
        <v/>
      </c>
      <c r="BS856" s="1852" t="str">
        <f t="shared" si="49"/>
        <v/>
      </c>
      <c r="BT856" s="1852" t="str">
        <f t="shared" si="50"/>
        <v/>
      </c>
      <c r="BU856" s="1852" t="str">
        <f t="shared" si="51"/>
        <v/>
      </c>
      <c r="BV856" s="1852" t="str">
        <f t="shared" si="52"/>
        <v/>
      </c>
      <c r="BW856" s="1852" t="str">
        <f t="shared" si="53"/>
        <v/>
      </c>
      <c r="BX856" s="1852" t="str">
        <f t="shared" si="54"/>
        <v/>
      </c>
      <c r="BY856" s="1852" t="str">
        <f t="shared" si="55"/>
        <v/>
      </c>
      <c r="BZ856" s="1852" t="str">
        <f t="shared" si="56"/>
        <v/>
      </c>
      <c r="CA856" s="1852" t="str">
        <f t="shared" si="57"/>
        <v/>
      </c>
      <c r="CB856" s="1852" t="str">
        <f t="shared" si="58"/>
        <v/>
      </c>
      <c r="CC856" s="1852" t="str">
        <f t="shared" si="59"/>
        <v/>
      </c>
      <c r="CD856" s="1852" t="str">
        <f t="shared" si="60"/>
        <v/>
      </c>
      <c r="CE856" s="1852" t="str">
        <f t="shared" si="61"/>
        <v/>
      </c>
      <c r="CF856" s="1852" t="str">
        <f t="shared" si="62"/>
        <v/>
      </c>
      <c r="CG856" s="1852" t="str">
        <f t="shared" si="63"/>
        <v/>
      </c>
      <c r="CH856" s="1852" t="str">
        <f t="shared" si="64"/>
        <v/>
      </c>
      <c r="CI856" s="1852" t="str">
        <f t="shared" si="65"/>
        <v/>
      </c>
      <c r="CJ856" s="1852" t="str">
        <f t="shared" si="66"/>
        <v/>
      </c>
      <c r="CK856" s="1852" t="str">
        <f t="shared" si="67"/>
        <v/>
      </c>
      <c r="CL856" s="1852" t="str">
        <f t="shared" si="68"/>
        <v/>
      </c>
      <c r="CM856" s="1852" t="str">
        <f t="shared" si="69"/>
        <v/>
      </c>
      <c r="CN856" s="1852" t="str">
        <f t="shared" si="70"/>
        <v/>
      </c>
      <c r="CO856" s="1852" t="str">
        <f t="shared" si="71"/>
        <v/>
      </c>
      <c r="CP856" s="1852" t="str">
        <f t="shared" si="72"/>
        <v/>
      </c>
      <c r="CQ856" s="1852" t="str">
        <f t="shared" si="73"/>
        <v/>
      </c>
      <c r="CR856" s="1852" t="str">
        <f t="shared" si="74"/>
        <v/>
      </c>
      <c r="CS856" s="1852" t="str">
        <f t="shared" si="75"/>
        <v/>
      </c>
      <c r="CT856" s="1852" t="str">
        <f t="shared" si="76"/>
        <v/>
      </c>
      <c r="CU856" s="1852" t="str">
        <f t="shared" si="77"/>
        <v/>
      </c>
      <c r="CV856" s="1852" t="str">
        <f t="shared" si="78"/>
        <v/>
      </c>
      <c r="CW856" s="1852" t="str">
        <f t="shared" si="79"/>
        <v/>
      </c>
      <c r="CX856" s="1852" t="str">
        <f t="shared" si="80"/>
        <v/>
      </c>
      <c r="CY856" s="1852" t="str">
        <f t="shared" si="81"/>
        <v/>
      </c>
      <c r="CZ856" s="1852" t="str">
        <f t="shared" si="82"/>
        <v/>
      </c>
      <c r="DA856" s="1852" t="str">
        <f t="shared" si="83"/>
        <v/>
      </c>
      <c r="DB856" s="1852" t="str">
        <f t="shared" si="84"/>
        <v/>
      </c>
      <c r="DC856" s="1852" t="str">
        <f t="shared" si="85"/>
        <v/>
      </c>
      <c r="DD856" s="1852" t="str">
        <f t="shared" si="86"/>
        <v/>
      </c>
      <c r="DE856" s="1852" t="str">
        <f t="shared" si="87"/>
        <v/>
      </c>
      <c r="DF856" s="1852" t="str">
        <f t="shared" si="88"/>
        <v/>
      </c>
      <c r="DG856" s="1852" t="str">
        <f t="shared" si="89"/>
        <v/>
      </c>
      <c r="DH856" s="1852" t="str">
        <f t="shared" si="90"/>
        <v/>
      </c>
      <c r="DI856" s="1852" t="str">
        <f t="shared" si="91"/>
        <v/>
      </c>
      <c r="DJ856" s="1852" t="str">
        <f t="shared" si="92"/>
        <v/>
      </c>
      <c r="DK856" s="1852" t="str">
        <f t="shared" si="93"/>
        <v/>
      </c>
      <c r="DL856" s="1852" t="str">
        <f t="shared" si="94"/>
        <v/>
      </c>
      <c r="DM856" s="1852" t="str">
        <f t="shared" si="95"/>
        <v/>
      </c>
      <c r="DN856" s="1852" t="str">
        <f t="shared" si="96"/>
        <v/>
      </c>
      <c r="DO856" s="1852" t="str">
        <f t="shared" si="97"/>
        <v/>
      </c>
      <c r="DP856" s="1852" t="str">
        <f t="shared" si="98"/>
        <v/>
      </c>
      <c r="DQ856" s="1852" t="str">
        <f t="shared" si="99"/>
        <v/>
      </c>
      <c r="DR856" s="1852" t="str">
        <f t="shared" si="100"/>
        <v/>
      </c>
      <c r="DS856" s="1852" t="str">
        <f t="shared" si="101"/>
        <v/>
      </c>
      <c r="DT856" s="1852" t="str">
        <f t="shared" si="102"/>
        <v/>
      </c>
      <c r="DU856" s="1852" t="str">
        <f t="shared" si="103"/>
        <v/>
      </c>
      <c r="DV856" s="1852" t="str">
        <f t="shared" si="104"/>
        <v/>
      </c>
      <c r="DW856" s="1852" t="str">
        <f t="shared" si="105"/>
        <v/>
      </c>
      <c r="DX856" s="1852" t="str">
        <f t="shared" si="106"/>
        <v/>
      </c>
      <c r="DY856" s="1852" t="str">
        <f t="shared" si="107"/>
        <v/>
      </c>
      <c r="DZ856" s="1852" t="str">
        <f t="shared" si="108"/>
        <v/>
      </c>
      <c r="EA856" s="1852" t="str">
        <f t="shared" si="109"/>
        <v/>
      </c>
      <c r="EB856" s="1852" t="str">
        <f t="shared" si="110"/>
        <v/>
      </c>
      <c r="EC856" s="1852" t="str">
        <f t="shared" si="111"/>
        <v/>
      </c>
      <c r="ED856" s="1852" t="str">
        <f t="shared" si="112"/>
        <v/>
      </c>
      <c r="EE856" s="1852" t="str">
        <f t="shared" si="113"/>
        <v/>
      </c>
      <c r="EF856" s="1852" t="str">
        <f t="shared" si="114"/>
        <v/>
      </c>
      <c r="EG856" s="1852" t="str">
        <f t="shared" si="115"/>
        <v/>
      </c>
      <c r="EH856" s="1852" t="str">
        <f t="shared" si="116"/>
        <v/>
      </c>
      <c r="EI856" s="1852" t="str">
        <f t="shared" si="117"/>
        <v/>
      </c>
      <c r="EJ856" s="1852" t="str">
        <f t="shared" si="118"/>
        <v/>
      </c>
      <c r="EK856" s="1852" t="str">
        <f t="shared" si="119"/>
        <v/>
      </c>
      <c r="EL856" s="1852" t="str">
        <f t="shared" si="120"/>
        <v/>
      </c>
      <c r="EM856" s="1852" t="str">
        <f t="shared" si="121"/>
        <v/>
      </c>
      <c r="EN856" s="1852" t="str">
        <f t="shared" si="122"/>
        <v/>
      </c>
      <c r="EO856" s="1852" t="str">
        <f t="shared" si="123"/>
        <v/>
      </c>
      <c r="EP856" s="1852" t="str">
        <f t="shared" si="124"/>
        <v/>
      </c>
      <c r="EQ856" s="1852" t="str">
        <f t="shared" si="125"/>
        <v/>
      </c>
      <c r="ER856" s="1852" t="str">
        <f t="shared" si="126"/>
        <v/>
      </c>
      <c r="ES856" s="1852" t="str">
        <f t="shared" si="127"/>
        <v/>
      </c>
      <c r="ET856" s="1852" t="str">
        <f t="shared" si="128"/>
        <v/>
      </c>
      <c r="EU856" s="1852" t="str">
        <f t="shared" si="129"/>
        <v/>
      </c>
      <c r="EV856" s="1852" t="str">
        <f t="shared" si="130"/>
        <v/>
      </c>
      <c r="EW856" s="1852" t="str">
        <f t="shared" si="131"/>
        <v/>
      </c>
      <c r="EX856" s="1852" t="str">
        <f t="shared" si="132"/>
        <v/>
      </c>
      <c r="EY856" s="1852" t="str">
        <f t="shared" si="133"/>
        <v/>
      </c>
      <c r="EZ856" s="1852" t="str">
        <f t="shared" si="134"/>
        <v/>
      </c>
      <c r="FA856" s="1852" t="str">
        <f t="shared" si="135"/>
        <v/>
      </c>
      <c r="FB856" s="1852" t="str">
        <f t="shared" si="136"/>
        <v/>
      </c>
      <c r="FC856" s="1852" t="str">
        <f t="shared" si="137"/>
        <v/>
      </c>
      <c r="FD856" s="1852" t="str">
        <f t="shared" si="138"/>
        <v/>
      </c>
      <c r="FE856" s="1852" t="str">
        <f t="shared" si="139"/>
        <v/>
      </c>
      <c r="FF856" s="1852" t="str">
        <f t="shared" si="140"/>
        <v/>
      </c>
      <c r="FG856" s="1852" t="str">
        <f t="shared" si="141"/>
        <v/>
      </c>
      <c r="FH856" s="1852" t="str">
        <f t="shared" si="142"/>
        <v/>
      </c>
      <c r="FI856" s="1852" t="str">
        <f t="shared" si="143"/>
        <v/>
      </c>
      <c r="FJ856" s="1852" t="str">
        <f t="shared" si="144"/>
        <v/>
      </c>
      <c r="FK856" s="1852" t="str">
        <f t="shared" si="145"/>
        <v/>
      </c>
      <c r="FL856" s="1852" t="str">
        <f t="shared" si="146"/>
        <v/>
      </c>
      <c r="FM856" s="1852" t="str">
        <f t="shared" si="147"/>
        <v/>
      </c>
      <c r="FN856" s="1852" t="str">
        <f t="shared" si="148"/>
        <v/>
      </c>
      <c r="FO856" s="1852" t="str">
        <f t="shared" si="149"/>
        <v/>
      </c>
      <c r="FP856" s="1852" t="str">
        <f t="shared" si="150"/>
        <v/>
      </c>
      <c r="FQ856" s="1852" t="str">
        <f t="shared" si="151"/>
        <v/>
      </c>
      <c r="FR856" s="1852" t="str">
        <f t="shared" si="152"/>
        <v/>
      </c>
      <c r="FS856" s="1852" t="str">
        <f t="shared" si="153"/>
        <v/>
      </c>
      <c r="FT856" s="1852" t="str">
        <f t="shared" si="154"/>
        <v/>
      </c>
      <c r="FU856" s="1852" t="str">
        <f t="shared" si="155"/>
        <v/>
      </c>
      <c r="FV856" s="1852" t="str">
        <f t="shared" si="156"/>
        <v/>
      </c>
      <c r="FW856" s="1852" t="str">
        <f t="shared" si="157"/>
        <v/>
      </c>
      <c r="FX856" s="1852" t="str">
        <f t="shared" si="158"/>
        <v/>
      </c>
      <c r="FY856" s="1852" t="str">
        <f t="shared" si="159"/>
        <v/>
      </c>
      <c r="FZ856" s="1852" t="str">
        <f t="shared" si="160"/>
        <v/>
      </c>
      <c r="GA856" s="1852" t="str">
        <f t="shared" si="161"/>
        <v/>
      </c>
      <c r="GB856" s="1852" t="str">
        <f t="shared" si="162"/>
        <v/>
      </c>
      <c r="GC856" s="1852" t="str">
        <f t="shared" si="163"/>
        <v/>
      </c>
      <c r="GD856" s="1852" t="str">
        <f t="shared" si="164"/>
        <v/>
      </c>
      <c r="GE856" s="1852" t="str">
        <f t="shared" si="165"/>
        <v/>
      </c>
      <c r="GF856" s="1852" t="str">
        <f t="shared" si="166"/>
        <v/>
      </c>
      <c r="GG856" s="1852" t="str">
        <f t="shared" si="167"/>
        <v/>
      </c>
      <c r="GH856" s="1852" t="str">
        <f t="shared" si="168"/>
        <v/>
      </c>
      <c r="GI856" s="1852" t="str">
        <f t="shared" si="169"/>
        <v/>
      </c>
      <c r="GJ856" s="1852" t="str">
        <f t="shared" si="170"/>
        <v/>
      </c>
      <c r="GK856" s="1852" t="str">
        <f t="shared" si="171"/>
        <v/>
      </c>
      <c r="GL856" s="1852" t="str">
        <f t="shared" si="172"/>
        <v/>
      </c>
      <c r="GM856" s="1852" t="str">
        <f t="shared" si="173"/>
        <v/>
      </c>
      <c r="GN856" s="1852" t="str">
        <f t="shared" si="174"/>
        <v/>
      </c>
      <c r="GO856" s="1852" t="str">
        <f t="shared" si="175"/>
        <v/>
      </c>
      <c r="GP856" s="1852" t="str">
        <f t="shared" si="176"/>
        <v/>
      </c>
      <c r="GQ856" s="1852" t="str">
        <f t="shared" si="177"/>
        <v/>
      </c>
      <c r="GR856" s="1852" t="str">
        <f t="shared" si="178"/>
        <v/>
      </c>
      <c r="GS856" s="1852" t="str">
        <f t="shared" si="179"/>
        <v/>
      </c>
      <c r="GT856" s="1852" t="str">
        <f t="shared" si="180"/>
        <v/>
      </c>
      <c r="GU856" s="1852" t="str">
        <f t="shared" si="181"/>
        <v/>
      </c>
      <c r="GV856" s="1852" t="str">
        <f t="shared" si="182"/>
        <v/>
      </c>
      <c r="GW856" s="1852" t="str">
        <f t="shared" si="183"/>
        <v/>
      </c>
      <c r="GX856" s="1852" t="str">
        <f t="shared" si="184"/>
        <v/>
      </c>
      <c r="GY856" s="1852" t="str">
        <f t="shared" si="185"/>
        <v/>
      </c>
      <c r="GZ856" s="1852" t="str">
        <f t="shared" si="186"/>
        <v/>
      </c>
      <c r="HA856" s="1852" t="str">
        <f t="shared" si="187"/>
        <v/>
      </c>
      <c r="HB856" s="1852" t="str">
        <f t="shared" si="188"/>
        <v/>
      </c>
      <c r="HC856" s="1852" t="str">
        <f t="shared" si="189"/>
        <v/>
      </c>
      <c r="HD856" s="1852" t="str">
        <f t="shared" si="190"/>
        <v/>
      </c>
      <c r="HE856" s="1852" t="str">
        <f t="shared" si="191"/>
        <v/>
      </c>
      <c r="HF856" s="1852" t="str">
        <f t="shared" si="192"/>
        <v/>
      </c>
      <c r="HG856" s="1852" t="str">
        <f t="shared" si="193"/>
        <v/>
      </c>
      <c r="HH856" s="1852" t="str">
        <f t="shared" si="194"/>
        <v/>
      </c>
      <c r="HI856" s="1852" t="str">
        <f t="shared" si="195"/>
        <v/>
      </c>
      <c r="HJ856" s="1852" t="str">
        <f t="shared" si="196"/>
        <v/>
      </c>
      <c r="HK856" s="1852" t="str">
        <f t="shared" si="197"/>
        <v/>
      </c>
      <c r="HL856" s="1852" t="str">
        <f t="shared" si="198"/>
        <v/>
      </c>
      <c r="HM856" s="1852" t="str">
        <f t="shared" si="199"/>
        <v/>
      </c>
      <c r="HN856" s="1852" t="str">
        <f t="shared" si="200"/>
        <v/>
      </c>
      <c r="HO856" s="1852" t="str">
        <f t="shared" si="201"/>
        <v/>
      </c>
      <c r="HP856" s="1852" t="str">
        <f t="shared" si="202"/>
        <v/>
      </c>
      <c r="HQ856" s="1852" t="str">
        <f t="shared" si="203"/>
        <v/>
      </c>
      <c r="HR856" s="1852" t="str">
        <f t="shared" si="204"/>
        <v/>
      </c>
      <c r="HS856" s="1852" t="str">
        <f t="shared" si="205"/>
        <v/>
      </c>
      <c r="HT856" s="1852" t="str">
        <f t="shared" si="206"/>
        <v/>
      </c>
      <c r="HU856" s="1852" t="str">
        <f t="shared" si="207"/>
        <v/>
      </c>
      <c r="HV856" s="1852" t="str">
        <f t="shared" si="208"/>
        <v/>
      </c>
      <c r="HW856" s="1852" t="str">
        <f t="shared" si="209"/>
        <v/>
      </c>
      <c r="HX856" s="1852" t="str">
        <f t="shared" si="210"/>
        <v/>
      </c>
      <c r="HY856" s="1852" t="str">
        <f t="shared" si="211"/>
        <v/>
      </c>
      <c r="HZ856" s="2140" t="str">
        <f t="shared" si="212"/>
        <v/>
      </c>
      <c r="IA856" s="2140" t="str">
        <f t="shared" si="213"/>
        <v/>
      </c>
      <c r="IB856" s="2140" t="str">
        <f t="shared" si="214"/>
        <v/>
      </c>
      <c r="IC856" s="2140" t="str">
        <f t="shared" si="215"/>
        <v/>
      </c>
      <c r="ID856" s="2140" t="str">
        <f t="shared" si="216"/>
        <v/>
      </c>
      <c r="IE856" s="2140" t="str">
        <f t="shared" si="217"/>
        <v/>
      </c>
      <c r="IF856" s="2140" t="str">
        <f t="shared" si="218"/>
        <v/>
      </c>
      <c r="IG856" s="2140" t="str">
        <f t="shared" si="219"/>
        <v/>
      </c>
      <c r="IH856" s="2140" t="str">
        <f t="shared" si="220"/>
        <v/>
      </c>
      <c r="II856" s="2140" t="str">
        <f t="shared" si="221"/>
        <v/>
      </c>
      <c r="IJ856" s="2140" t="str">
        <f t="shared" si="222"/>
        <v/>
      </c>
      <c r="IK856" s="2140" t="str">
        <f t="shared" si="223"/>
        <v/>
      </c>
      <c r="IL856" s="2140" t="str">
        <f t="shared" si="224"/>
        <v/>
      </c>
      <c r="IM856" s="2140" t="str">
        <f t="shared" si="225"/>
        <v/>
      </c>
      <c r="IN856" s="2140" t="str">
        <f t="shared" si="226"/>
        <v/>
      </c>
      <c r="IO856" s="2140" t="str">
        <f t="shared" si="227"/>
        <v/>
      </c>
      <c r="IP856" s="2140" t="str">
        <f t="shared" si="228"/>
        <v/>
      </c>
      <c r="IQ856" s="2140" t="str">
        <f t="shared" si="229"/>
        <v/>
      </c>
      <c r="IR856" s="2140" t="str">
        <f t="shared" si="230"/>
        <v/>
      </c>
      <c r="IS856" s="2140" t="str">
        <f t="shared" si="231"/>
        <v/>
      </c>
      <c r="IT856" s="2140" t="str">
        <f t="shared" si="232"/>
        <v/>
      </c>
      <c r="IU856" s="2140" t="str">
        <f t="shared" si="233"/>
        <v/>
      </c>
      <c r="IV856" s="2140" t="str">
        <f t="shared" si="234"/>
        <v/>
      </c>
      <c r="IW856" s="2140" t="str">
        <f t="shared" si="235"/>
        <v/>
      </c>
      <c r="IX856" s="2140" t="str">
        <f t="shared" si="236"/>
        <v/>
      </c>
      <c r="IY856" s="2140" t="str">
        <f t="shared" si="237"/>
        <v/>
      </c>
      <c r="IZ856" s="2140" t="str">
        <f t="shared" si="238"/>
        <v/>
      </c>
      <c r="JA856" s="2140" t="str">
        <f t="shared" si="239"/>
        <v/>
      </c>
      <c r="JB856" s="2140" t="str">
        <f t="shared" si="240"/>
        <v/>
      </c>
      <c r="JC856" s="2140" t="str">
        <f t="shared" si="241"/>
        <v/>
      </c>
      <c r="JD856" s="2140" t="str">
        <f t="shared" si="242"/>
        <v/>
      </c>
      <c r="JE856" s="2140" t="str">
        <f t="shared" si="243"/>
        <v/>
      </c>
      <c r="JF856" s="2140" t="str">
        <f t="shared" si="244"/>
        <v/>
      </c>
      <c r="JG856" s="2140" t="str">
        <f t="shared" si="245"/>
        <v/>
      </c>
      <c r="JH856" s="2140" t="str">
        <f t="shared" si="246"/>
        <v/>
      </c>
      <c r="JI856" s="2140" t="str">
        <f t="shared" si="247"/>
        <v/>
      </c>
      <c r="JJ856" s="2140" t="str">
        <f t="shared" si="248"/>
        <v/>
      </c>
      <c r="JK856" s="2140" t="str">
        <f t="shared" si="249"/>
        <v/>
      </c>
      <c r="JL856" s="2140" t="str">
        <f t="shared" si="250"/>
        <v/>
      </c>
      <c r="JM856" s="2140" t="str">
        <f t="shared" si="251"/>
        <v/>
      </c>
      <c r="JN856" s="2140" t="str">
        <f t="shared" si="252"/>
        <v/>
      </c>
      <c r="JO856" s="2140" t="str">
        <f t="shared" si="253"/>
        <v/>
      </c>
      <c r="JP856" s="2140" t="str">
        <f t="shared" si="254"/>
        <v/>
      </c>
      <c r="JQ856" s="2140" t="str">
        <f t="shared" si="255"/>
        <v/>
      </c>
      <c r="JR856" s="2140" t="str">
        <f t="shared" si="256"/>
        <v/>
      </c>
      <c r="JS856" s="2140" t="str">
        <f t="shared" si="257"/>
        <v/>
      </c>
      <c r="JT856" s="2140" t="str">
        <f t="shared" si="258"/>
        <v/>
      </c>
      <c r="JU856" s="2140" t="str">
        <f t="shared" si="259"/>
        <v/>
      </c>
      <c r="JV856" s="2140" t="str">
        <f t="shared" si="260"/>
        <v/>
      </c>
      <c r="JW856" s="2140" t="str">
        <f t="shared" si="261"/>
        <v/>
      </c>
      <c r="JX856" s="2140" t="str">
        <f t="shared" si="262"/>
        <v/>
      </c>
      <c r="JY856" s="2140" t="str">
        <f t="shared" si="263"/>
        <v/>
      </c>
      <c r="JZ856" s="2140" t="str">
        <f t="shared" si="264"/>
        <v/>
      </c>
      <c r="KA856" s="2140" t="str">
        <f t="shared" si="265"/>
        <v/>
      </c>
      <c r="KB856" s="2140" t="str">
        <f t="shared" si="266"/>
        <v/>
      </c>
      <c r="KC856" s="2140" t="str">
        <f t="shared" si="267"/>
        <v/>
      </c>
      <c r="KD856" s="2140" t="str">
        <f t="shared" si="268"/>
        <v/>
      </c>
      <c r="KE856" s="2140" t="str">
        <f t="shared" si="269"/>
        <v/>
      </c>
      <c r="KF856" s="2140" t="str">
        <f t="shared" si="270"/>
        <v/>
      </c>
      <c r="KG856" s="2140" t="str">
        <f t="shared" si="271"/>
        <v/>
      </c>
      <c r="KH856" s="2140" t="str">
        <f t="shared" si="272"/>
        <v/>
      </c>
      <c r="KI856" s="2140" t="str">
        <f t="shared" si="273"/>
        <v/>
      </c>
      <c r="KJ856" s="2140" t="str">
        <f t="shared" si="274"/>
        <v/>
      </c>
      <c r="KK856" s="2140" t="str">
        <f t="shared" si="275"/>
        <v/>
      </c>
      <c r="KL856" s="2140" t="str">
        <f t="shared" si="276"/>
        <v/>
      </c>
      <c r="KM856" s="2140" t="str">
        <f t="shared" si="277"/>
        <v/>
      </c>
      <c r="KN856" s="2140" t="str">
        <f t="shared" si="278"/>
        <v/>
      </c>
      <c r="KO856" s="2140" t="str">
        <f t="shared" si="279"/>
        <v/>
      </c>
      <c r="KP856" s="2140" t="str">
        <f t="shared" si="280"/>
        <v/>
      </c>
      <c r="KQ856" s="2140" t="str">
        <f t="shared" si="281"/>
        <v/>
      </c>
      <c r="KR856" s="2140" t="str">
        <f t="shared" si="282"/>
        <v/>
      </c>
      <c r="KS856" s="2140" t="str">
        <f t="shared" si="283"/>
        <v/>
      </c>
      <c r="KT856" s="2140" t="str">
        <f t="shared" si="284"/>
        <v/>
      </c>
      <c r="KU856" s="2140" t="str">
        <f t="shared" si="285"/>
        <v/>
      </c>
      <c r="KV856" s="2140" t="str">
        <f t="shared" si="286"/>
        <v/>
      </c>
      <c r="KW856" s="2140" t="str">
        <f t="shared" si="287"/>
        <v/>
      </c>
      <c r="KX856" s="2140" t="str">
        <f t="shared" si="288"/>
        <v/>
      </c>
      <c r="KY856" s="2140" t="str">
        <f t="shared" si="289"/>
        <v/>
      </c>
      <c r="KZ856" s="2140" t="str">
        <f t="shared" si="290"/>
        <v/>
      </c>
      <c r="LA856" s="2140" t="str">
        <f t="shared" si="291"/>
        <v/>
      </c>
      <c r="LB856" s="2140" t="str">
        <f t="shared" si="292"/>
        <v/>
      </c>
      <c r="LC856" s="2140" t="str">
        <f t="shared" si="293"/>
        <v/>
      </c>
      <c r="LD856" s="2140" t="str">
        <f t="shared" si="294"/>
        <v/>
      </c>
      <c r="LE856" s="2140" t="str">
        <f t="shared" si="295"/>
        <v/>
      </c>
      <c r="LF856" s="2140" t="str">
        <f t="shared" si="296"/>
        <v/>
      </c>
      <c r="LG856" s="2051" t="str">
        <f t="shared" si="297"/>
        <v/>
      </c>
      <c r="LH856" s="2051" t="str">
        <f t="shared" si="298"/>
        <v/>
      </c>
      <c r="LI856" s="2051" t="str">
        <f t="shared" si="299"/>
        <v/>
      </c>
      <c r="LJ856" s="2051" t="str">
        <f t="shared" si="300"/>
        <v/>
      </c>
      <c r="LK856" s="2051" t="str">
        <f t="shared" si="301"/>
        <v/>
      </c>
      <c r="LL856" s="1852" t="str">
        <f t="shared" si="302"/>
        <v/>
      </c>
      <c r="LM856" s="1852" t="str">
        <f t="shared" si="303"/>
        <v/>
      </c>
      <c r="LN856" s="1852" t="str">
        <f t="shared" si="304"/>
        <v/>
      </c>
      <c r="LO856" s="1852" t="str">
        <f t="shared" si="305"/>
        <v/>
      </c>
      <c r="LP856" s="1852" t="str">
        <f t="shared" si="306"/>
        <v/>
      </c>
      <c r="LQ856" s="1852" t="str">
        <f t="shared" si="307"/>
        <v/>
      </c>
      <c r="LR856" s="1852" t="str">
        <f t="shared" si="308"/>
        <v/>
      </c>
      <c r="LS856" s="1852" t="str">
        <f t="shared" si="309"/>
        <v/>
      </c>
      <c r="LT856" s="1852" t="str">
        <f t="shared" si="310"/>
        <v/>
      </c>
      <c r="LU856" s="1852" t="str">
        <f t="shared" si="311"/>
        <v/>
      </c>
      <c r="LV856" s="1852" t="str">
        <f t="shared" si="312"/>
        <v/>
      </c>
      <c r="LW856" s="1852" t="str">
        <f t="shared" si="313"/>
        <v/>
      </c>
      <c r="LX856" s="1852" t="str">
        <f t="shared" si="314"/>
        <v/>
      </c>
      <c r="LY856" s="1852" t="str">
        <f t="shared" si="315"/>
        <v/>
      </c>
      <c r="LZ856" s="1852" t="str">
        <f t="shared" si="316"/>
        <v/>
      </c>
      <c r="MA856" s="1852" t="str">
        <f t="shared" si="317"/>
        <v/>
      </c>
      <c r="MB856" s="1852" t="str">
        <f t="shared" si="318"/>
        <v/>
      </c>
      <c r="MC856" s="1852" t="str">
        <f t="shared" si="319"/>
        <v/>
      </c>
      <c r="MD856" s="1852" t="str">
        <f t="shared" si="320"/>
        <v/>
      </c>
      <c r="ME856" s="1852" t="str">
        <f t="shared" si="321"/>
        <v/>
      </c>
      <c r="MF856" s="2051">
        <f t="shared" si="328"/>
        <v>0</v>
      </c>
      <c r="MG856" s="2051">
        <f t="shared" si="329"/>
        <v>0</v>
      </c>
      <c r="MH856" s="2051">
        <f t="shared" si="330"/>
        <v>0</v>
      </c>
      <c r="MI856" s="2051">
        <f t="shared" si="331"/>
        <v>0</v>
      </c>
      <c r="MJ856" s="2051">
        <f t="shared" si="332"/>
        <v>0</v>
      </c>
      <c r="MK856" s="2051">
        <f t="shared" si="333"/>
        <v>0</v>
      </c>
      <c r="ML856" s="2051">
        <f t="shared" si="334"/>
        <v>0</v>
      </c>
      <c r="MM856" s="2051">
        <f t="shared" si="335"/>
        <v>0</v>
      </c>
      <c r="MN856" s="2051">
        <f t="shared" si="336"/>
        <v>0</v>
      </c>
      <c r="MO856" s="2051">
        <f t="shared" si="337"/>
        <v>0</v>
      </c>
      <c r="MP856" s="2051">
        <f t="shared" si="322"/>
        <v>0</v>
      </c>
      <c r="MQ856" s="2051">
        <f t="shared" si="323"/>
        <v>0</v>
      </c>
      <c r="MR856" s="2051">
        <f t="shared" si="324"/>
        <v>0</v>
      </c>
      <c r="MS856" s="2051">
        <f t="shared" si="325"/>
        <v>0</v>
      </c>
      <c r="MT856" s="2051">
        <f t="shared" si="326"/>
        <v>0</v>
      </c>
      <c r="NP856" s="1924" t="s">
        <v>6725</v>
      </c>
    </row>
    <row r="857" spans="1:380" s="1852" customFormat="1" ht="13.9" customHeight="1">
      <c r="A857" s="2108" t="str">
        <f t="shared" si="327"/>
        <v/>
      </c>
      <c r="B857" s="2130" t="str">
        <f>'Part VI-Revenues &amp; Expenses'!B17</f>
        <v>Unrestricted</v>
      </c>
      <c r="C857" s="2131">
        <f>'Part VI-Revenues &amp; Expenses'!C17</f>
        <v>0</v>
      </c>
      <c r="D857" s="2132">
        <f>'Part VI-Revenues &amp; Expenses'!D17</f>
        <v>0</v>
      </c>
      <c r="E857" s="2133">
        <f>'Part VI-Revenues &amp; Expenses'!E17</f>
        <v>0</v>
      </c>
      <c r="F857" s="2133">
        <f>'Part VI-Revenues &amp; Expenses'!F17</f>
        <v>0</v>
      </c>
      <c r="G857" s="2133">
        <f>'Part VI-Revenues &amp; Expenses'!G17</f>
        <v>0</v>
      </c>
      <c r="H857" s="2133">
        <f>'Part VI-Revenues &amp; Expenses'!H17</f>
        <v>0</v>
      </c>
      <c r="I857" s="2133">
        <f>'Part VI-Revenues &amp; Expenses'!I17</f>
        <v>0</v>
      </c>
      <c r="J857" s="2133">
        <f>'Part VI-Revenues &amp; Expenses'!J17</f>
        <v>0</v>
      </c>
      <c r="K857" s="2134">
        <f>'Part VI-Revenues &amp; Expenses'!K17</f>
        <v>0</v>
      </c>
      <c r="L857" s="2135">
        <f t="shared" si="0"/>
        <v>0</v>
      </c>
      <c r="M857" s="2135">
        <f t="shared" si="1"/>
        <v>0</v>
      </c>
      <c r="N857" s="1916">
        <f>'Part VI-Revenues &amp; Expenses'!N17</f>
        <v>0</v>
      </c>
      <c r="O857" s="2136">
        <f>'Part VI-Revenues &amp; Expenses'!O17</f>
        <v>0</v>
      </c>
      <c r="P857" s="1916">
        <f>'Part VI-Revenues &amp; Expenses'!P17</f>
        <v>0</v>
      </c>
      <c r="Q857" s="2137">
        <f>'Part VI-Revenues &amp; Expenses'!Q17</f>
        <v>0</v>
      </c>
      <c r="R857" s="2138"/>
      <c r="S857" s="2139"/>
      <c r="T857" s="2043"/>
      <c r="U857" s="2043"/>
      <c r="V857" s="2043"/>
      <c r="W857" s="2043"/>
      <c r="X857" s="1852" t="str">
        <f t="shared" si="2"/>
        <v/>
      </c>
      <c r="Y857" s="1852" t="str">
        <f t="shared" si="3"/>
        <v/>
      </c>
      <c r="Z857" s="1852" t="str">
        <f t="shared" si="4"/>
        <v/>
      </c>
      <c r="AA857" s="1852" t="str">
        <f t="shared" si="5"/>
        <v/>
      </c>
      <c r="AB857" s="1852" t="str">
        <f t="shared" si="6"/>
        <v/>
      </c>
      <c r="AC857" s="1852" t="str">
        <f t="shared" si="7"/>
        <v/>
      </c>
      <c r="AD857" s="1852" t="str">
        <f t="shared" si="8"/>
        <v/>
      </c>
      <c r="AE857" s="1852" t="str">
        <f t="shared" si="9"/>
        <v/>
      </c>
      <c r="AF857" s="1852" t="str">
        <f t="shared" si="10"/>
        <v/>
      </c>
      <c r="AG857" s="1852" t="str">
        <f t="shared" si="11"/>
        <v/>
      </c>
      <c r="AH857" s="1852" t="str">
        <f t="shared" si="12"/>
        <v/>
      </c>
      <c r="AI857" s="1852" t="str">
        <f t="shared" si="13"/>
        <v/>
      </c>
      <c r="AJ857" s="1852" t="str">
        <f t="shared" si="14"/>
        <v/>
      </c>
      <c r="AK857" s="1852" t="str">
        <f t="shared" si="15"/>
        <v/>
      </c>
      <c r="AL857" s="1852" t="str">
        <f t="shared" si="16"/>
        <v/>
      </c>
      <c r="AM857" s="1852" t="str">
        <f t="shared" si="17"/>
        <v/>
      </c>
      <c r="AN857" s="1852" t="str">
        <f t="shared" si="18"/>
        <v/>
      </c>
      <c r="AO857" s="1852" t="str">
        <f t="shared" si="19"/>
        <v/>
      </c>
      <c r="AP857" s="1852" t="str">
        <f t="shared" si="20"/>
        <v/>
      </c>
      <c r="AQ857" s="1852" t="str">
        <f t="shared" si="21"/>
        <v/>
      </c>
      <c r="AR857" s="1852" t="str">
        <f t="shared" si="22"/>
        <v/>
      </c>
      <c r="AS857" s="1852" t="str">
        <f t="shared" si="23"/>
        <v/>
      </c>
      <c r="AT857" s="1852" t="str">
        <f t="shared" si="24"/>
        <v/>
      </c>
      <c r="AU857" s="1852" t="str">
        <f t="shared" si="25"/>
        <v/>
      </c>
      <c r="AV857" s="1852" t="str">
        <f t="shared" si="26"/>
        <v/>
      </c>
      <c r="AW857" s="1852" t="str">
        <f t="shared" si="27"/>
        <v/>
      </c>
      <c r="AX857" s="1852" t="str">
        <f t="shared" si="28"/>
        <v/>
      </c>
      <c r="AY857" s="1852" t="str">
        <f t="shared" si="29"/>
        <v/>
      </c>
      <c r="AZ857" s="1852" t="str">
        <f t="shared" si="30"/>
        <v/>
      </c>
      <c r="BA857" s="1852" t="str">
        <f t="shared" si="31"/>
        <v/>
      </c>
      <c r="BB857" s="1852" t="str">
        <f t="shared" si="32"/>
        <v/>
      </c>
      <c r="BC857" s="1852" t="str">
        <f t="shared" si="33"/>
        <v/>
      </c>
      <c r="BD857" s="1852" t="str">
        <f t="shared" si="34"/>
        <v/>
      </c>
      <c r="BE857" s="1852" t="str">
        <f t="shared" si="35"/>
        <v/>
      </c>
      <c r="BF857" s="1852" t="str">
        <f t="shared" si="36"/>
        <v/>
      </c>
      <c r="BG857" s="1852" t="str">
        <f t="shared" si="37"/>
        <v/>
      </c>
      <c r="BH857" s="1852" t="str">
        <f t="shared" si="38"/>
        <v/>
      </c>
      <c r="BI857" s="1852" t="str">
        <f t="shared" si="39"/>
        <v/>
      </c>
      <c r="BJ857" s="1852" t="str">
        <f t="shared" si="40"/>
        <v/>
      </c>
      <c r="BK857" s="1852" t="str">
        <f t="shared" si="41"/>
        <v/>
      </c>
      <c r="BL857" s="1852" t="str">
        <f t="shared" si="42"/>
        <v/>
      </c>
      <c r="BM857" s="1852" t="str">
        <f t="shared" si="43"/>
        <v/>
      </c>
      <c r="BN857" s="1852" t="str">
        <f t="shared" si="44"/>
        <v/>
      </c>
      <c r="BO857" s="1852" t="str">
        <f t="shared" si="45"/>
        <v/>
      </c>
      <c r="BP857" s="1852" t="str">
        <f t="shared" si="46"/>
        <v/>
      </c>
      <c r="BQ857" s="1852" t="str">
        <f t="shared" si="47"/>
        <v/>
      </c>
      <c r="BR857" s="1852" t="str">
        <f t="shared" si="48"/>
        <v/>
      </c>
      <c r="BS857" s="1852" t="str">
        <f t="shared" si="49"/>
        <v/>
      </c>
      <c r="BT857" s="1852" t="str">
        <f t="shared" si="50"/>
        <v/>
      </c>
      <c r="BU857" s="1852" t="str">
        <f t="shared" si="51"/>
        <v/>
      </c>
      <c r="BV857" s="1852" t="str">
        <f t="shared" si="52"/>
        <v/>
      </c>
      <c r="BW857" s="1852" t="str">
        <f t="shared" si="53"/>
        <v/>
      </c>
      <c r="BX857" s="1852" t="str">
        <f t="shared" si="54"/>
        <v/>
      </c>
      <c r="BY857" s="1852" t="str">
        <f t="shared" si="55"/>
        <v/>
      </c>
      <c r="BZ857" s="1852" t="str">
        <f t="shared" si="56"/>
        <v/>
      </c>
      <c r="CA857" s="1852" t="str">
        <f t="shared" si="57"/>
        <v/>
      </c>
      <c r="CB857" s="1852" t="str">
        <f t="shared" si="58"/>
        <v/>
      </c>
      <c r="CC857" s="1852" t="str">
        <f t="shared" si="59"/>
        <v/>
      </c>
      <c r="CD857" s="1852" t="str">
        <f t="shared" si="60"/>
        <v/>
      </c>
      <c r="CE857" s="1852" t="str">
        <f t="shared" si="61"/>
        <v/>
      </c>
      <c r="CF857" s="1852" t="str">
        <f t="shared" si="62"/>
        <v/>
      </c>
      <c r="CG857" s="1852" t="str">
        <f t="shared" si="63"/>
        <v/>
      </c>
      <c r="CH857" s="1852" t="str">
        <f t="shared" si="64"/>
        <v/>
      </c>
      <c r="CI857" s="1852" t="str">
        <f t="shared" si="65"/>
        <v/>
      </c>
      <c r="CJ857" s="1852" t="str">
        <f t="shared" si="66"/>
        <v/>
      </c>
      <c r="CK857" s="1852" t="str">
        <f t="shared" si="67"/>
        <v/>
      </c>
      <c r="CL857" s="1852" t="str">
        <f t="shared" si="68"/>
        <v/>
      </c>
      <c r="CM857" s="1852" t="str">
        <f t="shared" si="69"/>
        <v/>
      </c>
      <c r="CN857" s="1852" t="str">
        <f t="shared" si="70"/>
        <v/>
      </c>
      <c r="CO857" s="1852" t="str">
        <f t="shared" si="71"/>
        <v/>
      </c>
      <c r="CP857" s="1852" t="str">
        <f t="shared" si="72"/>
        <v/>
      </c>
      <c r="CQ857" s="1852" t="str">
        <f t="shared" si="73"/>
        <v/>
      </c>
      <c r="CR857" s="1852" t="str">
        <f t="shared" si="74"/>
        <v/>
      </c>
      <c r="CS857" s="1852" t="str">
        <f t="shared" si="75"/>
        <v/>
      </c>
      <c r="CT857" s="1852" t="str">
        <f t="shared" si="76"/>
        <v/>
      </c>
      <c r="CU857" s="1852" t="str">
        <f t="shared" si="77"/>
        <v/>
      </c>
      <c r="CV857" s="1852" t="str">
        <f t="shared" si="78"/>
        <v/>
      </c>
      <c r="CW857" s="1852" t="str">
        <f t="shared" si="79"/>
        <v/>
      </c>
      <c r="CX857" s="1852" t="str">
        <f t="shared" si="80"/>
        <v/>
      </c>
      <c r="CY857" s="1852" t="str">
        <f t="shared" si="81"/>
        <v/>
      </c>
      <c r="CZ857" s="1852" t="str">
        <f t="shared" si="82"/>
        <v/>
      </c>
      <c r="DA857" s="1852" t="str">
        <f t="shared" si="83"/>
        <v/>
      </c>
      <c r="DB857" s="1852" t="str">
        <f t="shared" si="84"/>
        <v/>
      </c>
      <c r="DC857" s="1852" t="str">
        <f t="shared" si="85"/>
        <v/>
      </c>
      <c r="DD857" s="1852" t="str">
        <f t="shared" si="86"/>
        <v/>
      </c>
      <c r="DE857" s="1852" t="str">
        <f t="shared" si="87"/>
        <v/>
      </c>
      <c r="DF857" s="1852" t="str">
        <f t="shared" si="88"/>
        <v/>
      </c>
      <c r="DG857" s="1852" t="str">
        <f t="shared" si="89"/>
        <v/>
      </c>
      <c r="DH857" s="1852" t="str">
        <f t="shared" si="90"/>
        <v/>
      </c>
      <c r="DI857" s="1852" t="str">
        <f t="shared" si="91"/>
        <v/>
      </c>
      <c r="DJ857" s="1852" t="str">
        <f t="shared" si="92"/>
        <v/>
      </c>
      <c r="DK857" s="1852" t="str">
        <f t="shared" si="93"/>
        <v/>
      </c>
      <c r="DL857" s="1852" t="str">
        <f t="shared" si="94"/>
        <v/>
      </c>
      <c r="DM857" s="1852" t="str">
        <f t="shared" si="95"/>
        <v/>
      </c>
      <c r="DN857" s="1852" t="str">
        <f t="shared" si="96"/>
        <v/>
      </c>
      <c r="DO857" s="1852" t="str">
        <f t="shared" si="97"/>
        <v/>
      </c>
      <c r="DP857" s="1852" t="str">
        <f t="shared" si="98"/>
        <v/>
      </c>
      <c r="DQ857" s="1852" t="str">
        <f t="shared" si="99"/>
        <v/>
      </c>
      <c r="DR857" s="1852" t="str">
        <f t="shared" si="100"/>
        <v/>
      </c>
      <c r="DS857" s="1852" t="str">
        <f t="shared" si="101"/>
        <v/>
      </c>
      <c r="DT857" s="1852" t="str">
        <f t="shared" si="102"/>
        <v/>
      </c>
      <c r="DU857" s="1852" t="str">
        <f t="shared" si="103"/>
        <v/>
      </c>
      <c r="DV857" s="1852" t="str">
        <f t="shared" si="104"/>
        <v/>
      </c>
      <c r="DW857" s="1852" t="str">
        <f t="shared" si="105"/>
        <v/>
      </c>
      <c r="DX857" s="1852" t="str">
        <f t="shared" si="106"/>
        <v/>
      </c>
      <c r="DY857" s="1852" t="str">
        <f t="shared" si="107"/>
        <v/>
      </c>
      <c r="DZ857" s="1852" t="str">
        <f t="shared" si="108"/>
        <v/>
      </c>
      <c r="EA857" s="1852" t="str">
        <f t="shared" si="109"/>
        <v/>
      </c>
      <c r="EB857" s="1852" t="str">
        <f t="shared" si="110"/>
        <v/>
      </c>
      <c r="EC857" s="1852" t="str">
        <f t="shared" si="111"/>
        <v/>
      </c>
      <c r="ED857" s="1852" t="str">
        <f t="shared" si="112"/>
        <v/>
      </c>
      <c r="EE857" s="1852" t="str">
        <f t="shared" si="113"/>
        <v/>
      </c>
      <c r="EF857" s="1852" t="str">
        <f t="shared" si="114"/>
        <v/>
      </c>
      <c r="EG857" s="1852" t="str">
        <f t="shared" si="115"/>
        <v/>
      </c>
      <c r="EH857" s="1852" t="str">
        <f t="shared" si="116"/>
        <v/>
      </c>
      <c r="EI857" s="1852" t="str">
        <f t="shared" si="117"/>
        <v/>
      </c>
      <c r="EJ857" s="1852" t="str">
        <f t="shared" si="118"/>
        <v/>
      </c>
      <c r="EK857" s="1852" t="str">
        <f t="shared" si="119"/>
        <v/>
      </c>
      <c r="EL857" s="1852" t="str">
        <f t="shared" si="120"/>
        <v/>
      </c>
      <c r="EM857" s="1852" t="str">
        <f t="shared" si="121"/>
        <v/>
      </c>
      <c r="EN857" s="1852" t="str">
        <f t="shared" si="122"/>
        <v/>
      </c>
      <c r="EO857" s="1852" t="str">
        <f t="shared" si="123"/>
        <v/>
      </c>
      <c r="EP857" s="1852" t="str">
        <f t="shared" si="124"/>
        <v/>
      </c>
      <c r="EQ857" s="1852" t="str">
        <f t="shared" si="125"/>
        <v/>
      </c>
      <c r="ER857" s="1852" t="str">
        <f t="shared" si="126"/>
        <v/>
      </c>
      <c r="ES857" s="1852" t="str">
        <f t="shared" si="127"/>
        <v/>
      </c>
      <c r="ET857" s="1852" t="str">
        <f t="shared" si="128"/>
        <v/>
      </c>
      <c r="EU857" s="1852" t="str">
        <f t="shared" si="129"/>
        <v/>
      </c>
      <c r="EV857" s="1852" t="str">
        <f t="shared" si="130"/>
        <v/>
      </c>
      <c r="EW857" s="1852" t="str">
        <f t="shared" si="131"/>
        <v/>
      </c>
      <c r="EX857" s="1852" t="str">
        <f t="shared" si="132"/>
        <v/>
      </c>
      <c r="EY857" s="1852" t="str">
        <f t="shared" si="133"/>
        <v/>
      </c>
      <c r="EZ857" s="1852" t="str">
        <f t="shared" si="134"/>
        <v/>
      </c>
      <c r="FA857" s="1852" t="str">
        <f t="shared" si="135"/>
        <v/>
      </c>
      <c r="FB857" s="1852" t="str">
        <f t="shared" si="136"/>
        <v/>
      </c>
      <c r="FC857" s="1852" t="str">
        <f t="shared" si="137"/>
        <v/>
      </c>
      <c r="FD857" s="1852" t="str">
        <f t="shared" si="138"/>
        <v/>
      </c>
      <c r="FE857" s="1852" t="str">
        <f t="shared" si="139"/>
        <v/>
      </c>
      <c r="FF857" s="1852" t="str">
        <f t="shared" si="140"/>
        <v/>
      </c>
      <c r="FG857" s="1852" t="str">
        <f t="shared" si="141"/>
        <v/>
      </c>
      <c r="FH857" s="1852" t="str">
        <f t="shared" si="142"/>
        <v/>
      </c>
      <c r="FI857" s="1852" t="str">
        <f t="shared" si="143"/>
        <v/>
      </c>
      <c r="FJ857" s="1852" t="str">
        <f t="shared" si="144"/>
        <v/>
      </c>
      <c r="FK857" s="1852" t="str">
        <f t="shared" si="145"/>
        <v/>
      </c>
      <c r="FL857" s="1852" t="str">
        <f t="shared" si="146"/>
        <v/>
      </c>
      <c r="FM857" s="1852" t="str">
        <f t="shared" si="147"/>
        <v/>
      </c>
      <c r="FN857" s="1852" t="str">
        <f t="shared" si="148"/>
        <v/>
      </c>
      <c r="FO857" s="1852" t="str">
        <f t="shared" si="149"/>
        <v/>
      </c>
      <c r="FP857" s="1852" t="str">
        <f t="shared" si="150"/>
        <v/>
      </c>
      <c r="FQ857" s="1852" t="str">
        <f t="shared" si="151"/>
        <v/>
      </c>
      <c r="FR857" s="1852" t="str">
        <f t="shared" si="152"/>
        <v/>
      </c>
      <c r="FS857" s="1852" t="str">
        <f t="shared" si="153"/>
        <v/>
      </c>
      <c r="FT857" s="1852" t="str">
        <f t="shared" si="154"/>
        <v/>
      </c>
      <c r="FU857" s="1852" t="str">
        <f t="shared" si="155"/>
        <v/>
      </c>
      <c r="FV857" s="1852" t="str">
        <f t="shared" si="156"/>
        <v/>
      </c>
      <c r="FW857" s="1852" t="str">
        <f t="shared" si="157"/>
        <v/>
      </c>
      <c r="FX857" s="1852" t="str">
        <f t="shared" si="158"/>
        <v/>
      </c>
      <c r="FY857" s="1852" t="str">
        <f t="shared" si="159"/>
        <v/>
      </c>
      <c r="FZ857" s="1852" t="str">
        <f t="shared" si="160"/>
        <v/>
      </c>
      <c r="GA857" s="1852" t="str">
        <f t="shared" si="161"/>
        <v/>
      </c>
      <c r="GB857" s="1852" t="str">
        <f t="shared" si="162"/>
        <v/>
      </c>
      <c r="GC857" s="1852" t="str">
        <f t="shared" si="163"/>
        <v/>
      </c>
      <c r="GD857" s="1852" t="str">
        <f t="shared" si="164"/>
        <v/>
      </c>
      <c r="GE857" s="1852" t="str">
        <f t="shared" si="165"/>
        <v/>
      </c>
      <c r="GF857" s="1852" t="str">
        <f t="shared" si="166"/>
        <v/>
      </c>
      <c r="GG857" s="1852" t="str">
        <f t="shared" si="167"/>
        <v/>
      </c>
      <c r="GH857" s="1852" t="str">
        <f t="shared" si="168"/>
        <v/>
      </c>
      <c r="GI857" s="1852" t="str">
        <f t="shared" si="169"/>
        <v/>
      </c>
      <c r="GJ857" s="1852" t="str">
        <f t="shared" si="170"/>
        <v/>
      </c>
      <c r="GK857" s="1852" t="str">
        <f t="shared" si="171"/>
        <v/>
      </c>
      <c r="GL857" s="1852" t="str">
        <f t="shared" si="172"/>
        <v/>
      </c>
      <c r="GM857" s="1852" t="str">
        <f t="shared" si="173"/>
        <v/>
      </c>
      <c r="GN857" s="1852" t="str">
        <f t="shared" si="174"/>
        <v/>
      </c>
      <c r="GO857" s="1852" t="str">
        <f t="shared" si="175"/>
        <v/>
      </c>
      <c r="GP857" s="1852" t="str">
        <f t="shared" si="176"/>
        <v/>
      </c>
      <c r="GQ857" s="1852" t="str">
        <f t="shared" si="177"/>
        <v/>
      </c>
      <c r="GR857" s="1852" t="str">
        <f t="shared" si="178"/>
        <v/>
      </c>
      <c r="GS857" s="1852" t="str">
        <f t="shared" si="179"/>
        <v/>
      </c>
      <c r="GT857" s="1852" t="str">
        <f t="shared" si="180"/>
        <v/>
      </c>
      <c r="GU857" s="1852" t="str">
        <f t="shared" si="181"/>
        <v/>
      </c>
      <c r="GV857" s="1852" t="str">
        <f t="shared" si="182"/>
        <v/>
      </c>
      <c r="GW857" s="1852" t="str">
        <f t="shared" si="183"/>
        <v/>
      </c>
      <c r="GX857" s="1852" t="str">
        <f t="shared" si="184"/>
        <v/>
      </c>
      <c r="GY857" s="1852" t="str">
        <f t="shared" si="185"/>
        <v/>
      </c>
      <c r="GZ857" s="1852" t="str">
        <f t="shared" si="186"/>
        <v/>
      </c>
      <c r="HA857" s="1852" t="str">
        <f t="shared" si="187"/>
        <v/>
      </c>
      <c r="HB857" s="1852" t="str">
        <f t="shared" si="188"/>
        <v/>
      </c>
      <c r="HC857" s="1852" t="str">
        <f t="shared" si="189"/>
        <v/>
      </c>
      <c r="HD857" s="1852" t="str">
        <f t="shared" si="190"/>
        <v/>
      </c>
      <c r="HE857" s="1852" t="str">
        <f t="shared" si="191"/>
        <v/>
      </c>
      <c r="HF857" s="1852" t="str">
        <f t="shared" si="192"/>
        <v/>
      </c>
      <c r="HG857" s="1852" t="str">
        <f t="shared" si="193"/>
        <v/>
      </c>
      <c r="HH857" s="1852" t="str">
        <f t="shared" si="194"/>
        <v/>
      </c>
      <c r="HI857" s="1852" t="str">
        <f t="shared" si="195"/>
        <v/>
      </c>
      <c r="HJ857" s="1852" t="str">
        <f t="shared" si="196"/>
        <v/>
      </c>
      <c r="HK857" s="1852" t="str">
        <f t="shared" si="197"/>
        <v/>
      </c>
      <c r="HL857" s="1852" t="str">
        <f t="shared" si="198"/>
        <v/>
      </c>
      <c r="HM857" s="1852" t="str">
        <f t="shared" si="199"/>
        <v/>
      </c>
      <c r="HN857" s="1852" t="str">
        <f t="shared" si="200"/>
        <v/>
      </c>
      <c r="HO857" s="1852" t="str">
        <f t="shared" si="201"/>
        <v/>
      </c>
      <c r="HP857" s="1852" t="str">
        <f t="shared" si="202"/>
        <v/>
      </c>
      <c r="HQ857" s="1852" t="str">
        <f t="shared" si="203"/>
        <v/>
      </c>
      <c r="HR857" s="1852" t="str">
        <f t="shared" si="204"/>
        <v/>
      </c>
      <c r="HS857" s="1852" t="str">
        <f t="shared" si="205"/>
        <v/>
      </c>
      <c r="HT857" s="1852" t="str">
        <f t="shared" si="206"/>
        <v/>
      </c>
      <c r="HU857" s="1852" t="str">
        <f t="shared" si="207"/>
        <v/>
      </c>
      <c r="HV857" s="1852" t="str">
        <f t="shared" si="208"/>
        <v/>
      </c>
      <c r="HW857" s="1852" t="str">
        <f t="shared" si="209"/>
        <v/>
      </c>
      <c r="HX857" s="1852" t="str">
        <f t="shared" si="210"/>
        <v/>
      </c>
      <c r="HY857" s="1852" t="str">
        <f t="shared" si="211"/>
        <v/>
      </c>
      <c r="HZ857" s="2140" t="str">
        <f t="shared" si="212"/>
        <v/>
      </c>
      <c r="IA857" s="2140" t="str">
        <f t="shared" si="213"/>
        <v/>
      </c>
      <c r="IB857" s="2140" t="str">
        <f t="shared" si="214"/>
        <v/>
      </c>
      <c r="IC857" s="2140" t="str">
        <f t="shared" si="215"/>
        <v/>
      </c>
      <c r="ID857" s="2140" t="str">
        <f t="shared" si="216"/>
        <v/>
      </c>
      <c r="IE857" s="2140" t="str">
        <f t="shared" si="217"/>
        <v/>
      </c>
      <c r="IF857" s="2140" t="str">
        <f t="shared" si="218"/>
        <v/>
      </c>
      <c r="IG857" s="2140" t="str">
        <f t="shared" si="219"/>
        <v/>
      </c>
      <c r="IH857" s="2140" t="str">
        <f t="shared" si="220"/>
        <v/>
      </c>
      <c r="II857" s="2140" t="str">
        <f t="shared" si="221"/>
        <v/>
      </c>
      <c r="IJ857" s="2140" t="str">
        <f t="shared" si="222"/>
        <v/>
      </c>
      <c r="IK857" s="2140" t="str">
        <f t="shared" si="223"/>
        <v/>
      </c>
      <c r="IL857" s="2140" t="str">
        <f t="shared" si="224"/>
        <v/>
      </c>
      <c r="IM857" s="2140" t="str">
        <f t="shared" si="225"/>
        <v/>
      </c>
      <c r="IN857" s="2140" t="str">
        <f t="shared" si="226"/>
        <v/>
      </c>
      <c r="IO857" s="2140" t="str">
        <f t="shared" si="227"/>
        <v/>
      </c>
      <c r="IP857" s="2140" t="str">
        <f t="shared" si="228"/>
        <v/>
      </c>
      <c r="IQ857" s="2140" t="str">
        <f t="shared" si="229"/>
        <v/>
      </c>
      <c r="IR857" s="2140" t="str">
        <f t="shared" si="230"/>
        <v/>
      </c>
      <c r="IS857" s="2140" t="str">
        <f t="shared" si="231"/>
        <v/>
      </c>
      <c r="IT857" s="2140" t="str">
        <f t="shared" si="232"/>
        <v/>
      </c>
      <c r="IU857" s="2140" t="str">
        <f t="shared" si="233"/>
        <v/>
      </c>
      <c r="IV857" s="2140" t="str">
        <f t="shared" si="234"/>
        <v/>
      </c>
      <c r="IW857" s="2140" t="str">
        <f t="shared" si="235"/>
        <v/>
      </c>
      <c r="IX857" s="2140" t="str">
        <f t="shared" si="236"/>
        <v/>
      </c>
      <c r="IY857" s="2140" t="str">
        <f t="shared" si="237"/>
        <v/>
      </c>
      <c r="IZ857" s="2140" t="str">
        <f t="shared" si="238"/>
        <v/>
      </c>
      <c r="JA857" s="2140" t="str">
        <f t="shared" si="239"/>
        <v/>
      </c>
      <c r="JB857" s="2140" t="str">
        <f t="shared" si="240"/>
        <v/>
      </c>
      <c r="JC857" s="2140" t="str">
        <f t="shared" si="241"/>
        <v/>
      </c>
      <c r="JD857" s="2140" t="str">
        <f t="shared" si="242"/>
        <v/>
      </c>
      <c r="JE857" s="2140" t="str">
        <f t="shared" si="243"/>
        <v/>
      </c>
      <c r="JF857" s="2140" t="str">
        <f t="shared" si="244"/>
        <v/>
      </c>
      <c r="JG857" s="2140" t="str">
        <f t="shared" si="245"/>
        <v/>
      </c>
      <c r="JH857" s="2140" t="str">
        <f t="shared" si="246"/>
        <v/>
      </c>
      <c r="JI857" s="2140" t="str">
        <f t="shared" si="247"/>
        <v/>
      </c>
      <c r="JJ857" s="2140" t="str">
        <f t="shared" si="248"/>
        <v/>
      </c>
      <c r="JK857" s="2140" t="str">
        <f t="shared" si="249"/>
        <v/>
      </c>
      <c r="JL857" s="2140" t="str">
        <f t="shared" si="250"/>
        <v/>
      </c>
      <c r="JM857" s="2140" t="str">
        <f t="shared" si="251"/>
        <v/>
      </c>
      <c r="JN857" s="2140" t="str">
        <f t="shared" si="252"/>
        <v/>
      </c>
      <c r="JO857" s="2140" t="str">
        <f t="shared" si="253"/>
        <v/>
      </c>
      <c r="JP857" s="2140" t="str">
        <f t="shared" si="254"/>
        <v/>
      </c>
      <c r="JQ857" s="2140" t="str">
        <f t="shared" si="255"/>
        <v/>
      </c>
      <c r="JR857" s="2140" t="str">
        <f t="shared" si="256"/>
        <v/>
      </c>
      <c r="JS857" s="2140" t="str">
        <f t="shared" si="257"/>
        <v/>
      </c>
      <c r="JT857" s="2140" t="str">
        <f t="shared" si="258"/>
        <v/>
      </c>
      <c r="JU857" s="2140" t="str">
        <f t="shared" si="259"/>
        <v/>
      </c>
      <c r="JV857" s="2140" t="str">
        <f t="shared" si="260"/>
        <v/>
      </c>
      <c r="JW857" s="2140" t="str">
        <f t="shared" si="261"/>
        <v/>
      </c>
      <c r="JX857" s="2140" t="str">
        <f t="shared" si="262"/>
        <v/>
      </c>
      <c r="JY857" s="2140" t="str">
        <f t="shared" si="263"/>
        <v/>
      </c>
      <c r="JZ857" s="2140" t="str">
        <f t="shared" si="264"/>
        <v/>
      </c>
      <c r="KA857" s="2140" t="str">
        <f t="shared" si="265"/>
        <v/>
      </c>
      <c r="KB857" s="2140" t="str">
        <f t="shared" si="266"/>
        <v/>
      </c>
      <c r="KC857" s="2140" t="str">
        <f t="shared" si="267"/>
        <v/>
      </c>
      <c r="KD857" s="2140" t="str">
        <f t="shared" si="268"/>
        <v/>
      </c>
      <c r="KE857" s="2140" t="str">
        <f t="shared" si="269"/>
        <v/>
      </c>
      <c r="KF857" s="2140" t="str">
        <f t="shared" si="270"/>
        <v/>
      </c>
      <c r="KG857" s="2140" t="str">
        <f t="shared" si="271"/>
        <v/>
      </c>
      <c r="KH857" s="2140" t="str">
        <f t="shared" si="272"/>
        <v/>
      </c>
      <c r="KI857" s="2140" t="str">
        <f t="shared" si="273"/>
        <v/>
      </c>
      <c r="KJ857" s="2140" t="str">
        <f t="shared" si="274"/>
        <v/>
      </c>
      <c r="KK857" s="2140" t="str">
        <f t="shared" si="275"/>
        <v/>
      </c>
      <c r="KL857" s="2140" t="str">
        <f t="shared" si="276"/>
        <v/>
      </c>
      <c r="KM857" s="2140" t="str">
        <f t="shared" si="277"/>
        <v/>
      </c>
      <c r="KN857" s="2140" t="str">
        <f t="shared" si="278"/>
        <v/>
      </c>
      <c r="KO857" s="2140" t="str">
        <f t="shared" si="279"/>
        <v/>
      </c>
      <c r="KP857" s="2140" t="str">
        <f t="shared" si="280"/>
        <v/>
      </c>
      <c r="KQ857" s="2140" t="str">
        <f t="shared" si="281"/>
        <v/>
      </c>
      <c r="KR857" s="2140" t="str">
        <f t="shared" si="282"/>
        <v/>
      </c>
      <c r="KS857" s="2140" t="str">
        <f t="shared" si="283"/>
        <v/>
      </c>
      <c r="KT857" s="2140" t="str">
        <f t="shared" si="284"/>
        <v/>
      </c>
      <c r="KU857" s="2140" t="str">
        <f t="shared" si="285"/>
        <v/>
      </c>
      <c r="KV857" s="2140" t="str">
        <f t="shared" si="286"/>
        <v/>
      </c>
      <c r="KW857" s="2140" t="str">
        <f t="shared" si="287"/>
        <v/>
      </c>
      <c r="KX857" s="2140" t="str">
        <f t="shared" si="288"/>
        <v/>
      </c>
      <c r="KY857" s="2140" t="str">
        <f t="shared" si="289"/>
        <v/>
      </c>
      <c r="KZ857" s="2140" t="str">
        <f t="shared" si="290"/>
        <v/>
      </c>
      <c r="LA857" s="2140" t="str">
        <f t="shared" si="291"/>
        <v/>
      </c>
      <c r="LB857" s="2140" t="str">
        <f t="shared" si="292"/>
        <v/>
      </c>
      <c r="LC857" s="2140" t="str">
        <f t="shared" si="293"/>
        <v/>
      </c>
      <c r="LD857" s="2140" t="str">
        <f t="shared" si="294"/>
        <v/>
      </c>
      <c r="LE857" s="2140" t="str">
        <f t="shared" si="295"/>
        <v/>
      </c>
      <c r="LF857" s="2140" t="str">
        <f t="shared" si="296"/>
        <v/>
      </c>
      <c r="LG857" s="2051" t="str">
        <f t="shared" si="297"/>
        <v/>
      </c>
      <c r="LH857" s="2051" t="str">
        <f t="shared" si="298"/>
        <v/>
      </c>
      <c r="LI857" s="2051" t="str">
        <f t="shared" si="299"/>
        <v/>
      </c>
      <c r="LJ857" s="2051" t="str">
        <f t="shared" si="300"/>
        <v/>
      </c>
      <c r="LK857" s="2051" t="str">
        <f t="shared" si="301"/>
        <v/>
      </c>
      <c r="LL857" s="1852" t="str">
        <f t="shared" si="302"/>
        <v/>
      </c>
      <c r="LM857" s="1852" t="str">
        <f t="shared" si="303"/>
        <v/>
      </c>
      <c r="LN857" s="1852" t="str">
        <f t="shared" si="304"/>
        <v/>
      </c>
      <c r="LO857" s="1852" t="str">
        <f t="shared" si="305"/>
        <v/>
      </c>
      <c r="LP857" s="1852" t="str">
        <f t="shared" si="306"/>
        <v/>
      </c>
      <c r="LQ857" s="1852" t="str">
        <f t="shared" si="307"/>
        <v/>
      </c>
      <c r="LR857" s="1852" t="str">
        <f t="shared" si="308"/>
        <v/>
      </c>
      <c r="LS857" s="1852" t="str">
        <f t="shared" si="309"/>
        <v/>
      </c>
      <c r="LT857" s="1852" t="str">
        <f t="shared" si="310"/>
        <v/>
      </c>
      <c r="LU857" s="1852" t="str">
        <f t="shared" si="311"/>
        <v/>
      </c>
      <c r="LV857" s="1852" t="str">
        <f t="shared" si="312"/>
        <v/>
      </c>
      <c r="LW857" s="1852" t="str">
        <f t="shared" si="313"/>
        <v/>
      </c>
      <c r="LX857" s="1852" t="str">
        <f t="shared" si="314"/>
        <v/>
      </c>
      <c r="LY857" s="1852" t="str">
        <f t="shared" si="315"/>
        <v/>
      </c>
      <c r="LZ857" s="1852" t="str">
        <f t="shared" si="316"/>
        <v/>
      </c>
      <c r="MA857" s="1852" t="str">
        <f t="shared" si="317"/>
        <v/>
      </c>
      <c r="MB857" s="1852" t="str">
        <f t="shared" si="318"/>
        <v/>
      </c>
      <c r="MC857" s="1852" t="str">
        <f t="shared" si="319"/>
        <v/>
      </c>
      <c r="MD857" s="1852" t="str">
        <f t="shared" si="320"/>
        <v/>
      </c>
      <c r="ME857" s="1852" t="str">
        <f t="shared" si="321"/>
        <v/>
      </c>
      <c r="MF857" s="2051">
        <f t="shared" si="328"/>
        <v>0</v>
      </c>
      <c r="MG857" s="2051">
        <f t="shared" si="329"/>
        <v>0</v>
      </c>
      <c r="MH857" s="2051">
        <f t="shared" si="330"/>
        <v>0</v>
      </c>
      <c r="MI857" s="2051">
        <f t="shared" si="331"/>
        <v>0</v>
      </c>
      <c r="MJ857" s="2051">
        <f t="shared" si="332"/>
        <v>0</v>
      </c>
      <c r="MK857" s="2051">
        <f t="shared" si="333"/>
        <v>0</v>
      </c>
      <c r="ML857" s="2051">
        <f t="shared" si="334"/>
        <v>0</v>
      </c>
      <c r="MM857" s="2051">
        <f t="shared" si="335"/>
        <v>0</v>
      </c>
      <c r="MN857" s="2051">
        <f t="shared" si="336"/>
        <v>0</v>
      </c>
      <c r="MO857" s="2051">
        <f t="shared" si="337"/>
        <v>0</v>
      </c>
      <c r="MP857" s="2051">
        <f t="shared" si="322"/>
        <v>0</v>
      </c>
      <c r="MQ857" s="2051">
        <f t="shared" si="323"/>
        <v>0</v>
      </c>
      <c r="MR857" s="2051">
        <f t="shared" si="324"/>
        <v>0</v>
      </c>
      <c r="MS857" s="2051">
        <f t="shared" si="325"/>
        <v>0</v>
      </c>
      <c r="MT857" s="2051">
        <f t="shared" si="326"/>
        <v>0</v>
      </c>
      <c r="NP857" s="1924" t="s">
        <v>6726</v>
      </c>
    </row>
    <row r="858" spans="1:380" s="1852" customFormat="1" ht="13.9" customHeight="1">
      <c r="A858" s="2108" t="str">
        <f t="shared" si="327"/>
        <v/>
      </c>
      <c r="B858" s="2130">
        <f>'Part VI-Revenues &amp; Expenses'!B18</f>
        <v>50</v>
      </c>
      <c r="C858" s="2131">
        <f>'Part VI-Revenues &amp; Expenses'!C18</f>
        <v>1</v>
      </c>
      <c r="D858" s="2132">
        <f>'Part VI-Revenues &amp; Expenses'!D18</f>
        <v>1</v>
      </c>
      <c r="E858" s="2133">
        <f>'Part VI-Revenues &amp; Expenses'!E18</f>
        <v>6</v>
      </c>
      <c r="F858" s="2133">
        <f>'Part VI-Revenues &amp; Expenses'!F18</f>
        <v>830</v>
      </c>
      <c r="G858" s="2133">
        <f>'Part VI-Revenues &amp; Expenses'!G18</f>
        <v>675</v>
      </c>
      <c r="H858" s="2133">
        <f>'Part VI-Revenues &amp; Expenses'!H18</f>
        <v>619</v>
      </c>
      <c r="I858" s="2133">
        <f>'Part VI-Revenues &amp; Expenses'!I18</f>
        <v>0</v>
      </c>
      <c r="J858" s="2133">
        <f>'Part VI-Revenues &amp; Expenses'!J18</f>
        <v>94</v>
      </c>
      <c r="K858" s="2134">
        <f>'Part VI-Revenues &amp; Expenses'!K18</f>
        <v>0</v>
      </c>
      <c r="L858" s="2135">
        <f t="shared" si="0"/>
        <v>525</v>
      </c>
      <c r="M858" s="2135">
        <f t="shared" si="1"/>
        <v>3150</v>
      </c>
      <c r="N858" s="1916" t="str">
        <f>'Part VI-Revenues &amp; Expenses'!N18</f>
        <v>No</v>
      </c>
      <c r="O858" s="2136" t="str">
        <f>'Part VI-Revenues &amp; Expenses'!O18</f>
        <v>Low-Rise Apt</v>
      </c>
      <c r="P858" s="1916" t="str">
        <f>'Part VI-Revenues &amp; Expenses'!P18</f>
        <v>New Construction</v>
      </c>
      <c r="Q858" s="2137" t="str">
        <f>'Part VI-Revenues &amp; Expenses'!Q18</f>
        <v>No</v>
      </c>
      <c r="R858" s="2138"/>
      <c r="S858" s="2139"/>
      <c r="T858" s="2043"/>
      <c r="U858" s="2043"/>
      <c r="V858" s="2043"/>
      <c r="W858" s="2043"/>
      <c r="X858" s="1852" t="str">
        <f t="shared" si="2"/>
        <v/>
      </c>
      <c r="Y858" s="1852" t="str">
        <f t="shared" si="3"/>
        <v/>
      </c>
      <c r="Z858" s="1852" t="str">
        <f t="shared" si="4"/>
        <v/>
      </c>
      <c r="AA858" s="1852" t="str">
        <f t="shared" si="5"/>
        <v/>
      </c>
      <c r="AB858" s="1852" t="str">
        <f t="shared" si="6"/>
        <v/>
      </c>
      <c r="AC858" s="1852" t="str">
        <f t="shared" si="7"/>
        <v/>
      </c>
      <c r="AD858" s="1852" t="str">
        <f t="shared" si="8"/>
        <v/>
      </c>
      <c r="AE858" s="1852" t="str">
        <f t="shared" si="9"/>
        <v/>
      </c>
      <c r="AF858" s="1852" t="str">
        <f t="shared" si="10"/>
        <v/>
      </c>
      <c r="AG858" s="1852" t="str">
        <f t="shared" si="11"/>
        <v/>
      </c>
      <c r="AH858" s="1852" t="str">
        <f t="shared" si="12"/>
        <v/>
      </c>
      <c r="AI858" s="1852" t="str">
        <f t="shared" si="13"/>
        <v/>
      </c>
      <c r="AJ858" s="1852" t="str">
        <f t="shared" si="14"/>
        <v/>
      </c>
      <c r="AK858" s="1852" t="str">
        <f t="shared" si="15"/>
        <v/>
      </c>
      <c r="AL858" s="1852" t="str">
        <f t="shared" si="16"/>
        <v/>
      </c>
      <c r="AM858" s="1852" t="str">
        <f t="shared" si="17"/>
        <v/>
      </c>
      <c r="AN858" s="1852">
        <f t="shared" si="18"/>
        <v>6</v>
      </c>
      <c r="AO858" s="1852" t="str">
        <f t="shared" si="19"/>
        <v/>
      </c>
      <c r="AP858" s="1852" t="str">
        <f t="shared" si="20"/>
        <v/>
      </c>
      <c r="AQ858" s="1852" t="str">
        <f t="shared" si="21"/>
        <v/>
      </c>
      <c r="AR858" s="1852" t="str">
        <f t="shared" si="22"/>
        <v/>
      </c>
      <c r="AS858" s="1852" t="str">
        <f t="shared" si="23"/>
        <v/>
      </c>
      <c r="AT858" s="1852" t="str">
        <f t="shared" si="24"/>
        <v/>
      </c>
      <c r="AU858" s="1852" t="str">
        <f t="shared" si="25"/>
        <v/>
      </c>
      <c r="AV858" s="1852" t="str">
        <f t="shared" si="26"/>
        <v/>
      </c>
      <c r="AW858" s="1852" t="str">
        <f t="shared" si="27"/>
        <v/>
      </c>
      <c r="AX858" s="1852" t="str">
        <f t="shared" si="28"/>
        <v/>
      </c>
      <c r="AY858" s="1852" t="str">
        <f t="shared" si="29"/>
        <v/>
      </c>
      <c r="AZ858" s="1852" t="str">
        <f t="shared" si="30"/>
        <v/>
      </c>
      <c r="BA858" s="1852" t="str">
        <f t="shared" si="31"/>
        <v/>
      </c>
      <c r="BB858" s="1852" t="str">
        <f t="shared" si="32"/>
        <v/>
      </c>
      <c r="BC858" s="1852" t="str">
        <f t="shared" si="33"/>
        <v/>
      </c>
      <c r="BD858" s="1852" t="str">
        <f t="shared" si="34"/>
        <v/>
      </c>
      <c r="BE858" s="1852" t="str">
        <f t="shared" si="35"/>
        <v/>
      </c>
      <c r="BF858" s="1852" t="str">
        <f t="shared" si="36"/>
        <v/>
      </c>
      <c r="BG858" s="1852" t="str">
        <f t="shared" si="37"/>
        <v/>
      </c>
      <c r="BH858" s="1852" t="str">
        <f t="shared" si="38"/>
        <v/>
      </c>
      <c r="BI858" s="1852" t="str">
        <f t="shared" si="39"/>
        <v/>
      </c>
      <c r="BJ858" s="1852" t="str">
        <f t="shared" si="40"/>
        <v/>
      </c>
      <c r="BK858" s="1852" t="str">
        <f t="shared" si="41"/>
        <v/>
      </c>
      <c r="BL858" s="1852" t="str">
        <f t="shared" si="42"/>
        <v/>
      </c>
      <c r="BM858" s="1852" t="str">
        <f t="shared" si="43"/>
        <v/>
      </c>
      <c r="BN858" s="1852" t="str">
        <f t="shared" si="44"/>
        <v/>
      </c>
      <c r="BO858" s="1852" t="str">
        <f t="shared" si="45"/>
        <v/>
      </c>
      <c r="BP858" s="1852" t="str">
        <f t="shared" si="46"/>
        <v/>
      </c>
      <c r="BQ858" s="1852" t="str">
        <f t="shared" si="47"/>
        <v/>
      </c>
      <c r="BR858" s="1852" t="str">
        <f t="shared" si="48"/>
        <v/>
      </c>
      <c r="BS858" s="1852" t="str">
        <f t="shared" si="49"/>
        <v/>
      </c>
      <c r="BT858" s="1852" t="str">
        <f t="shared" si="50"/>
        <v/>
      </c>
      <c r="BU858" s="1852" t="str">
        <f t="shared" si="51"/>
        <v/>
      </c>
      <c r="BV858" s="1852" t="str">
        <f t="shared" si="52"/>
        <v/>
      </c>
      <c r="BW858" s="1852" t="str">
        <f t="shared" si="53"/>
        <v/>
      </c>
      <c r="BX858" s="1852" t="str">
        <f t="shared" si="54"/>
        <v/>
      </c>
      <c r="BY858" s="1852" t="str">
        <f t="shared" si="55"/>
        <v/>
      </c>
      <c r="BZ858" s="1852" t="str">
        <f t="shared" si="56"/>
        <v/>
      </c>
      <c r="CA858" s="1852" t="str">
        <f t="shared" si="57"/>
        <v/>
      </c>
      <c r="CB858" s="1852" t="str">
        <f t="shared" si="58"/>
        <v/>
      </c>
      <c r="CC858" s="1852" t="str">
        <f t="shared" si="59"/>
        <v/>
      </c>
      <c r="CD858" s="1852" t="str">
        <f t="shared" si="60"/>
        <v/>
      </c>
      <c r="CE858" s="1852" t="str">
        <f t="shared" si="61"/>
        <v/>
      </c>
      <c r="CF858" s="1852" t="str">
        <f t="shared" si="62"/>
        <v/>
      </c>
      <c r="CG858" s="1852" t="str">
        <f t="shared" si="63"/>
        <v/>
      </c>
      <c r="CH858" s="1852" t="str">
        <f t="shared" si="64"/>
        <v/>
      </c>
      <c r="CI858" s="1852" t="str">
        <f t="shared" si="65"/>
        <v/>
      </c>
      <c r="CJ858" s="1852" t="str">
        <f t="shared" si="66"/>
        <v/>
      </c>
      <c r="CK858" s="1852" t="str">
        <f t="shared" si="67"/>
        <v/>
      </c>
      <c r="CL858" s="1852" t="str">
        <f t="shared" si="68"/>
        <v/>
      </c>
      <c r="CM858" s="1852" t="str">
        <f t="shared" si="69"/>
        <v/>
      </c>
      <c r="CN858" s="1852" t="str">
        <f t="shared" si="70"/>
        <v/>
      </c>
      <c r="CO858" s="1852" t="str">
        <f t="shared" si="71"/>
        <v/>
      </c>
      <c r="CP858" s="1852" t="str">
        <f t="shared" si="72"/>
        <v/>
      </c>
      <c r="CQ858" s="1852" t="str">
        <f t="shared" si="73"/>
        <v/>
      </c>
      <c r="CR858" s="1852" t="str">
        <f t="shared" si="74"/>
        <v/>
      </c>
      <c r="CS858" s="1852" t="str">
        <f t="shared" si="75"/>
        <v/>
      </c>
      <c r="CT858" s="1852" t="str">
        <f t="shared" si="76"/>
        <v/>
      </c>
      <c r="CU858" s="1852" t="str">
        <f t="shared" si="77"/>
        <v/>
      </c>
      <c r="CV858" s="1852" t="str">
        <f t="shared" si="78"/>
        <v/>
      </c>
      <c r="CW858" s="1852" t="str">
        <f t="shared" si="79"/>
        <v/>
      </c>
      <c r="CX858" s="1852" t="str">
        <f t="shared" si="80"/>
        <v/>
      </c>
      <c r="CY858" s="1852" t="str">
        <f t="shared" si="81"/>
        <v/>
      </c>
      <c r="CZ858" s="1852" t="str">
        <f t="shared" si="82"/>
        <v/>
      </c>
      <c r="DA858" s="1852" t="str">
        <f t="shared" si="83"/>
        <v/>
      </c>
      <c r="DB858" s="1852" t="str">
        <f t="shared" si="84"/>
        <v/>
      </c>
      <c r="DC858" s="1852" t="str">
        <f t="shared" si="85"/>
        <v/>
      </c>
      <c r="DD858" s="1852" t="str">
        <f t="shared" si="86"/>
        <v/>
      </c>
      <c r="DE858" s="1852" t="str">
        <f t="shared" si="87"/>
        <v/>
      </c>
      <c r="DF858" s="1852" t="str">
        <f t="shared" si="88"/>
        <v/>
      </c>
      <c r="DG858" s="1852" t="str">
        <f t="shared" si="89"/>
        <v/>
      </c>
      <c r="DH858" s="1852" t="str">
        <f t="shared" si="90"/>
        <v/>
      </c>
      <c r="DI858" s="1852" t="str">
        <f t="shared" si="91"/>
        <v/>
      </c>
      <c r="DJ858" s="1852" t="str">
        <f t="shared" si="92"/>
        <v/>
      </c>
      <c r="DK858" s="1852" t="str">
        <f t="shared" si="93"/>
        <v/>
      </c>
      <c r="DL858" s="1852" t="str">
        <f t="shared" si="94"/>
        <v/>
      </c>
      <c r="DM858" s="1852" t="str">
        <f t="shared" si="95"/>
        <v/>
      </c>
      <c r="DN858" s="1852" t="str">
        <f t="shared" si="96"/>
        <v/>
      </c>
      <c r="DO858" s="1852" t="str">
        <f t="shared" si="97"/>
        <v/>
      </c>
      <c r="DP858" s="1852" t="str">
        <f t="shared" si="98"/>
        <v/>
      </c>
      <c r="DQ858" s="1852" t="str">
        <f t="shared" si="99"/>
        <v/>
      </c>
      <c r="DR858" s="1852" t="str">
        <f t="shared" si="100"/>
        <v/>
      </c>
      <c r="DS858" s="1852" t="str">
        <f t="shared" si="101"/>
        <v/>
      </c>
      <c r="DT858" s="1852" t="str">
        <f t="shared" si="102"/>
        <v/>
      </c>
      <c r="DU858" s="1852" t="str">
        <f t="shared" si="103"/>
        <v/>
      </c>
      <c r="DV858" s="1852" t="str">
        <f t="shared" si="104"/>
        <v/>
      </c>
      <c r="DW858" s="1852" t="str">
        <f t="shared" si="105"/>
        <v/>
      </c>
      <c r="DX858" s="1852" t="str">
        <f t="shared" si="106"/>
        <v/>
      </c>
      <c r="DY858" s="1852" t="str">
        <f t="shared" si="107"/>
        <v/>
      </c>
      <c r="DZ858" s="1852" t="str">
        <f t="shared" si="108"/>
        <v/>
      </c>
      <c r="EA858" s="1852" t="str">
        <f t="shared" si="109"/>
        <v/>
      </c>
      <c r="EB858" s="1852" t="str">
        <f t="shared" si="110"/>
        <v/>
      </c>
      <c r="EC858" s="1852" t="str">
        <f t="shared" si="111"/>
        <v/>
      </c>
      <c r="ED858" s="1852" t="str">
        <f t="shared" si="112"/>
        <v/>
      </c>
      <c r="EE858" s="1852" t="str">
        <f t="shared" si="113"/>
        <v/>
      </c>
      <c r="EF858" s="1852" t="str">
        <f t="shared" si="114"/>
        <v/>
      </c>
      <c r="EG858" s="1852" t="str">
        <f t="shared" si="115"/>
        <v/>
      </c>
      <c r="EH858" s="1852" t="str">
        <f t="shared" si="116"/>
        <v/>
      </c>
      <c r="EI858" s="1852" t="str">
        <f t="shared" si="117"/>
        <v/>
      </c>
      <c r="EJ858" s="1852" t="str">
        <f t="shared" si="118"/>
        <v/>
      </c>
      <c r="EK858" s="1852" t="str">
        <f t="shared" si="119"/>
        <v/>
      </c>
      <c r="EL858" s="1852" t="str">
        <f t="shared" si="120"/>
        <v/>
      </c>
      <c r="EM858" s="1852" t="str">
        <f t="shared" si="121"/>
        <v/>
      </c>
      <c r="EN858" s="1852" t="str">
        <f t="shared" si="122"/>
        <v/>
      </c>
      <c r="EO858" s="1852" t="str">
        <f t="shared" si="123"/>
        <v/>
      </c>
      <c r="EP858" s="1852" t="str">
        <f t="shared" si="124"/>
        <v/>
      </c>
      <c r="EQ858" s="1852" t="str">
        <f t="shared" si="125"/>
        <v/>
      </c>
      <c r="ER858" s="1852" t="str">
        <f t="shared" si="126"/>
        <v/>
      </c>
      <c r="ES858" s="1852" t="str">
        <f t="shared" si="127"/>
        <v/>
      </c>
      <c r="ET858" s="1852" t="str">
        <f t="shared" si="128"/>
        <v/>
      </c>
      <c r="EU858" s="1852" t="str">
        <f t="shared" si="129"/>
        <v/>
      </c>
      <c r="EV858" s="1852" t="str">
        <f t="shared" si="130"/>
        <v/>
      </c>
      <c r="EW858" s="1852" t="str">
        <f t="shared" si="131"/>
        <v/>
      </c>
      <c r="EX858" s="1852" t="str">
        <f t="shared" si="132"/>
        <v/>
      </c>
      <c r="EY858" s="1852">
        <f t="shared" si="133"/>
        <v>4980</v>
      </c>
      <c r="EZ858" s="1852" t="str">
        <f t="shared" si="134"/>
        <v/>
      </c>
      <c r="FA858" s="1852" t="str">
        <f t="shared" si="135"/>
        <v/>
      </c>
      <c r="FB858" s="1852" t="str">
        <f t="shared" si="136"/>
        <v/>
      </c>
      <c r="FC858" s="1852" t="str">
        <f t="shared" si="137"/>
        <v/>
      </c>
      <c r="FD858" s="1852" t="str">
        <f t="shared" si="138"/>
        <v/>
      </c>
      <c r="FE858" s="1852" t="str">
        <f t="shared" si="139"/>
        <v/>
      </c>
      <c r="FF858" s="1852" t="str">
        <f t="shared" si="140"/>
        <v/>
      </c>
      <c r="FG858" s="1852" t="str">
        <f t="shared" si="141"/>
        <v/>
      </c>
      <c r="FH858" s="1852" t="str">
        <f t="shared" si="142"/>
        <v/>
      </c>
      <c r="FI858" s="1852" t="str">
        <f t="shared" si="143"/>
        <v/>
      </c>
      <c r="FJ858" s="1852" t="str">
        <f t="shared" si="144"/>
        <v/>
      </c>
      <c r="FK858" s="1852" t="str">
        <f t="shared" si="145"/>
        <v/>
      </c>
      <c r="FL858" s="1852" t="str">
        <f t="shared" si="146"/>
        <v/>
      </c>
      <c r="FM858" s="1852" t="str">
        <f t="shared" si="147"/>
        <v/>
      </c>
      <c r="FN858" s="1852" t="str">
        <f t="shared" si="148"/>
        <v/>
      </c>
      <c r="FO858" s="1852" t="str">
        <f t="shared" si="149"/>
        <v/>
      </c>
      <c r="FP858" s="1852" t="str">
        <f t="shared" si="150"/>
        <v/>
      </c>
      <c r="FQ858" s="1852" t="str">
        <f t="shared" si="151"/>
        <v/>
      </c>
      <c r="FR858" s="1852" t="str">
        <f t="shared" si="152"/>
        <v/>
      </c>
      <c r="FS858" s="1852" t="str">
        <f t="shared" si="153"/>
        <v/>
      </c>
      <c r="FT858" s="1852" t="str">
        <f t="shared" si="154"/>
        <v/>
      </c>
      <c r="FU858" s="1852" t="str">
        <f t="shared" si="155"/>
        <v/>
      </c>
      <c r="FV858" s="1852" t="str">
        <f t="shared" si="156"/>
        <v/>
      </c>
      <c r="FW858" s="1852" t="str">
        <f t="shared" si="157"/>
        <v/>
      </c>
      <c r="FX858" s="1852" t="str">
        <f t="shared" si="158"/>
        <v/>
      </c>
      <c r="FY858" s="1852" t="str">
        <f t="shared" si="159"/>
        <v/>
      </c>
      <c r="FZ858" s="1852" t="str">
        <f t="shared" si="160"/>
        <v/>
      </c>
      <c r="GA858" s="1852" t="str">
        <f t="shared" si="161"/>
        <v/>
      </c>
      <c r="GB858" s="1852" t="str">
        <f t="shared" si="162"/>
        <v/>
      </c>
      <c r="GC858" s="1852" t="str">
        <f t="shared" si="163"/>
        <v/>
      </c>
      <c r="GD858" s="1852" t="str">
        <f t="shared" si="164"/>
        <v/>
      </c>
      <c r="GE858" s="1852" t="str">
        <f t="shared" si="165"/>
        <v/>
      </c>
      <c r="GF858" s="1852" t="str">
        <f t="shared" si="166"/>
        <v/>
      </c>
      <c r="GG858" s="1852" t="str">
        <f t="shared" si="167"/>
        <v/>
      </c>
      <c r="GH858" s="1852">
        <f t="shared" si="168"/>
        <v>6</v>
      </c>
      <c r="GI858" s="1852" t="str">
        <f t="shared" si="169"/>
        <v/>
      </c>
      <c r="GJ858" s="1852" t="str">
        <f t="shared" si="170"/>
        <v/>
      </c>
      <c r="GK858" s="1852" t="str">
        <f t="shared" si="171"/>
        <v/>
      </c>
      <c r="GL858" s="1852" t="str">
        <f t="shared" si="172"/>
        <v/>
      </c>
      <c r="GM858" s="1852" t="str">
        <f t="shared" si="173"/>
        <v/>
      </c>
      <c r="GN858" s="1852" t="str">
        <f t="shared" si="174"/>
        <v/>
      </c>
      <c r="GO858" s="1852" t="str">
        <f t="shared" si="175"/>
        <v/>
      </c>
      <c r="GP858" s="1852" t="str">
        <f t="shared" si="176"/>
        <v/>
      </c>
      <c r="GQ858" s="1852" t="str">
        <f t="shared" si="177"/>
        <v/>
      </c>
      <c r="GR858" s="1852" t="str">
        <f t="shared" si="178"/>
        <v/>
      </c>
      <c r="GS858" s="1852" t="str">
        <f t="shared" si="179"/>
        <v/>
      </c>
      <c r="GT858" s="1852" t="str">
        <f t="shared" si="180"/>
        <v/>
      </c>
      <c r="GU858" s="1852" t="str">
        <f t="shared" si="181"/>
        <v/>
      </c>
      <c r="GV858" s="1852" t="str">
        <f t="shared" si="182"/>
        <v/>
      </c>
      <c r="GW858" s="1852" t="str">
        <f t="shared" si="183"/>
        <v/>
      </c>
      <c r="GX858" s="1852" t="str">
        <f t="shared" si="184"/>
        <v/>
      </c>
      <c r="GY858" s="1852" t="str">
        <f t="shared" si="185"/>
        <v/>
      </c>
      <c r="GZ858" s="1852" t="str">
        <f t="shared" si="186"/>
        <v/>
      </c>
      <c r="HA858" s="1852" t="str">
        <f t="shared" si="187"/>
        <v/>
      </c>
      <c r="HB858" s="1852" t="str">
        <f t="shared" si="188"/>
        <v/>
      </c>
      <c r="HC858" s="1852" t="str">
        <f t="shared" si="189"/>
        <v/>
      </c>
      <c r="HD858" s="1852" t="str">
        <f t="shared" si="190"/>
        <v/>
      </c>
      <c r="HE858" s="1852" t="str">
        <f t="shared" si="191"/>
        <v/>
      </c>
      <c r="HF858" s="1852" t="str">
        <f t="shared" si="192"/>
        <v/>
      </c>
      <c r="HG858" s="1852" t="str">
        <f t="shared" si="193"/>
        <v/>
      </c>
      <c r="HH858" s="1852" t="str">
        <f t="shared" si="194"/>
        <v/>
      </c>
      <c r="HI858" s="1852" t="str">
        <f t="shared" si="195"/>
        <v/>
      </c>
      <c r="HJ858" s="1852" t="str">
        <f t="shared" si="196"/>
        <v/>
      </c>
      <c r="HK858" s="1852" t="str">
        <f t="shared" si="197"/>
        <v/>
      </c>
      <c r="HL858" s="1852" t="str">
        <f t="shared" si="198"/>
        <v/>
      </c>
      <c r="HM858" s="1852" t="str">
        <f t="shared" si="199"/>
        <v/>
      </c>
      <c r="HN858" s="1852" t="str">
        <f t="shared" si="200"/>
        <v/>
      </c>
      <c r="HO858" s="1852" t="str">
        <f t="shared" si="201"/>
        <v/>
      </c>
      <c r="HP858" s="1852" t="str">
        <f t="shared" si="202"/>
        <v/>
      </c>
      <c r="HQ858" s="1852" t="str">
        <f t="shared" si="203"/>
        <v/>
      </c>
      <c r="HR858" s="1852" t="str">
        <f t="shared" si="204"/>
        <v/>
      </c>
      <c r="HS858" s="1852" t="str">
        <f t="shared" si="205"/>
        <v/>
      </c>
      <c r="HT858" s="1852" t="str">
        <f t="shared" si="206"/>
        <v/>
      </c>
      <c r="HU858" s="1852" t="str">
        <f t="shared" si="207"/>
        <v/>
      </c>
      <c r="HV858" s="1852" t="str">
        <f t="shared" si="208"/>
        <v/>
      </c>
      <c r="HW858" s="1852" t="str">
        <f t="shared" si="209"/>
        <v/>
      </c>
      <c r="HX858" s="1852" t="str">
        <f t="shared" si="210"/>
        <v/>
      </c>
      <c r="HY858" s="1852" t="str">
        <f t="shared" si="211"/>
        <v/>
      </c>
      <c r="HZ858" s="2140" t="str">
        <f t="shared" si="212"/>
        <v/>
      </c>
      <c r="IA858" s="2140">
        <f t="shared" si="213"/>
        <v>6</v>
      </c>
      <c r="IB858" s="2140" t="str">
        <f t="shared" si="214"/>
        <v/>
      </c>
      <c r="IC858" s="2140" t="str">
        <f t="shared" si="215"/>
        <v/>
      </c>
      <c r="ID858" s="2140" t="str">
        <f t="shared" si="216"/>
        <v/>
      </c>
      <c r="IE858" s="2140" t="str">
        <f t="shared" si="217"/>
        <v/>
      </c>
      <c r="IF858" s="2140" t="str">
        <f t="shared" si="218"/>
        <v/>
      </c>
      <c r="IG858" s="2140" t="str">
        <f t="shared" si="219"/>
        <v/>
      </c>
      <c r="IH858" s="2140" t="str">
        <f t="shared" si="220"/>
        <v/>
      </c>
      <c r="II858" s="2140" t="str">
        <f t="shared" si="221"/>
        <v/>
      </c>
      <c r="IJ858" s="2140" t="str">
        <f t="shared" si="222"/>
        <v/>
      </c>
      <c r="IK858" s="2140" t="str">
        <f t="shared" si="223"/>
        <v/>
      </c>
      <c r="IL858" s="2140" t="str">
        <f t="shared" si="224"/>
        <v/>
      </c>
      <c r="IM858" s="2140" t="str">
        <f t="shared" si="225"/>
        <v/>
      </c>
      <c r="IN858" s="2140" t="str">
        <f t="shared" si="226"/>
        <v/>
      </c>
      <c r="IO858" s="2140" t="str">
        <f t="shared" si="227"/>
        <v/>
      </c>
      <c r="IP858" s="2140" t="str">
        <f t="shared" si="228"/>
        <v/>
      </c>
      <c r="IQ858" s="2140" t="str">
        <f t="shared" si="229"/>
        <v/>
      </c>
      <c r="IR858" s="2140" t="str">
        <f t="shared" si="230"/>
        <v/>
      </c>
      <c r="IS858" s="2140" t="str">
        <f t="shared" si="231"/>
        <v/>
      </c>
      <c r="IT858" s="2140" t="str">
        <f t="shared" si="232"/>
        <v/>
      </c>
      <c r="IU858" s="2140" t="str">
        <f t="shared" si="233"/>
        <v/>
      </c>
      <c r="IV858" s="2140" t="str">
        <f t="shared" si="234"/>
        <v/>
      </c>
      <c r="IW858" s="2140" t="str">
        <f t="shared" si="235"/>
        <v/>
      </c>
      <c r="IX858" s="2140" t="str">
        <f t="shared" si="236"/>
        <v/>
      </c>
      <c r="IY858" s="2140" t="str">
        <f t="shared" si="237"/>
        <v/>
      </c>
      <c r="IZ858" s="2140" t="str">
        <f t="shared" si="238"/>
        <v/>
      </c>
      <c r="JA858" s="2140" t="str">
        <f t="shared" si="239"/>
        <v/>
      </c>
      <c r="JB858" s="2140" t="str">
        <f t="shared" si="240"/>
        <v/>
      </c>
      <c r="JC858" s="2140" t="str">
        <f t="shared" si="241"/>
        <v/>
      </c>
      <c r="JD858" s="2140" t="str">
        <f t="shared" si="242"/>
        <v/>
      </c>
      <c r="JE858" s="2140" t="str">
        <f t="shared" si="243"/>
        <v/>
      </c>
      <c r="JF858" s="2140" t="str">
        <f t="shared" si="244"/>
        <v/>
      </c>
      <c r="JG858" s="2140" t="str">
        <f t="shared" si="245"/>
        <v/>
      </c>
      <c r="JH858" s="2140" t="str">
        <f t="shared" si="246"/>
        <v/>
      </c>
      <c r="JI858" s="2140" t="str">
        <f t="shared" si="247"/>
        <v/>
      </c>
      <c r="JJ858" s="2140" t="str">
        <f t="shared" si="248"/>
        <v/>
      </c>
      <c r="JK858" s="2140" t="str">
        <f t="shared" si="249"/>
        <v/>
      </c>
      <c r="JL858" s="2140" t="str">
        <f t="shared" si="250"/>
        <v/>
      </c>
      <c r="JM858" s="2140" t="str">
        <f t="shared" si="251"/>
        <v/>
      </c>
      <c r="JN858" s="2140" t="str">
        <f t="shared" si="252"/>
        <v/>
      </c>
      <c r="JO858" s="2140" t="str">
        <f t="shared" si="253"/>
        <v/>
      </c>
      <c r="JP858" s="2140" t="str">
        <f t="shared" si="254"/>
        <v/>
      </c>
      <c r="JQ858" s="2140" t="str">
        <f t="shared" si="255"/>
        <v/>
      </c>
      <c r="JR858" s="2140" t="str">
        <f t="shared" si="256"/>
        <v/>
      </c>
      <c r="JS858" s="2140" t="str">
        <f t="shared" si="257"/>
        <v/>
      </c>
      <c r="JT858" s="2140">
        <f t="shared" si="258"/>
        <v>6</v>
      </c>
      <c r="JU858" s="2140" t="str">
        <f t="shared" si="259"/>
        <v/>
      </c>
      <c r="JV858" s="2140" t="str">
        <f t="shared" si="260"/>
        <v/>
      </c>
      <c r="JW858" s="2140" t="str">
        <f t="shared" si="261"/>
        <v/>
      </c>
      <c r="JX858" s="2140" t="str">
        <f t="shared" si="262"/>
        <v/>
      </c>
      <c r="JY858" s="2140" t="str">
        <f t="shared" si="263"/>
        <v/>
      </c>
      <c r="JZ858" s="2140" t="str">
        <f t="shared" si="264"/>
        <v/>
      </c>
      <c r="KA858" s="2140" t="str">
        <f t="shared" si="265"/>
        <v/>
      </c>
      <c r="KB858" s="2140" t="str">
        <f t="shared" si="266"/>
        <v/>
      </c>
      <c r="KC858" s="2140" t="str">
        <f t="shared" si="267"/>
        <v/>
      </c>
      <c r="KD858" s="2140" t="str">
        <f t="shared" si="268"/>
        <v/>
      </c>
      <c r="KE858" s="2140" t="str">
        <f t="shared" si="269"/>
        <v/>
      </c>
      <c r="KF858" s="2140" t="str">
        <f t="shared" si="270"/>
        <v/>
      </c>
      <c r="KG858" s="2140" t="str">
        <f t="shared" si="271"/>
        <v/>
      </c>
      <c r="KH858" s="2140" t="str">
        <f t="shared" si="272"/>
        <v/>
      </c>
      <c r="KI858" s="2140" t="str">
        <f t="shared" si="273"/>
        <v/>
      </c>
      <c r="KJ858" s="2140" t="str">
        <f t="shared" si="274"/>
        <v/>
      </c>
      <c r="KK858" s="2140" t="str">
        <f t="shared" si="275"/>
        <v/>
      </c>
      <c r="KL858" s="2140" t="str">
        <f t="shared" si="276"/>
        <v/>
      </c>
      <c r="KM858" s="2140" t="str">
        <f t="shared" si="277"/>
        <v/>
      </c>
      <c r="KN858" s="2140" t="str">
        <f t="shared" si="278"/>
        <v/>
      </c>
      <c r="KO858" s="2140" t="str">
        <f t="shared" si="279"/>
        <v/>
      </c>
      <c r="KP858" s="2140" t="str">
        <f t="shared" si="280"/>
        <v/>
      </c>
      <c r="KQ858" s="2140" t="str">
        <f t="shared" si="281"/>
        <v/>
      </c>
      <c r="KR858" s="2140" t="str">
        <f t="shared" si="282"/>
        <v/>
      </c>
      <c r="KS858" s="2140" t="str">
        <f t="shared" si="283"/>
        <v/>
      </c>
      <c r="KT858" s="2140" t="str">
        <f t="shared" si="284"/>
        <v/>
      </c>
      <c r="KU858" s="2140" t="str">
        <f t="shared" si="285"/>
        <v/>
      </c>
      <c r="KV858" s="2140" t="str">
        <f t="shared" si="286"/>
        <v/>
      </c>
      <c r="KW858" s="2140" t="str">
        <f t="shared" si="287"/>
        <v/>
      </c>
      <c r="KX858" s="2140" t="str">
        <f t="shared" si="288"/>
        <v/>
      </c>
      <c r="KY858" s="2140" t="str">
        <f t="shared" si="289"/>
        <v/>
      </c>
      <c r="KZ858" s="2140" t="str">
        <f t="shared" si="290"/>
        <v/>
      </c>
      <c r="LA858" s="2140" t="str">
        <f t="shared" si="291"/>
        <v/>
      </c>
      <c r="LB858" s="2140" t="str">
        <f t="shared" si="292"/>
        <v/>
      </c>
      <c r="LC858" s="2140" t="str">
        <f t="shared" si="293"/>
        <v/>
      </c>
      <c r="LD858" s="2140" t="str">
        <f t="shared" si="294"/>
        <v/>
      </c>
      <c r="LE858" s="2140" t="str">
        <f t="shared" si="295"/>
        <v/>
      </c>
      <c r="LF858" s="2140" t="str">
        <f t="shared" si="296"/>
        <v/>
      </c>
      <c r="LG858" s="2051" t="str">
        <f t="shared" si="297"/>
        <v/>
      </c>
      <c r="LH858" s="2051" t="str">
        <f t="shared" si="298"/>
        <v/>
      </c>
      <c r="LI858" s="2051" t="str">
        <f t="shared" si="299"/>
        <v/>
      </c>
      <c r="LJ858" s="2051" t="str">
        <f t="shared" si="300"/>
        <v/>
      </c>
      <c r="LK858" s="2051" t="str">
        <f t="shared" si="301"/>
        <v/>
      </c>
      <c r="LL858" s="1852" t="str">
        <f t="shared" si="302"/>
        <v/>
      </c>
      <c r="LM858" s="1852" t="str">
        <f t="shared" si="303"/>
        <v/>
      </c>
      <c r="LN858" s="1852" t="str">
        <f t="shared" si="304"/>
        <v/>
      </c>
      <c r="LO858" s="1852" t="str">
        <f t="shared" si="305"/>
        <v/>
      </c>
      <c r="LP858" s="1852" t="str">
        <f t="shared" si="306"/>
        <v/>
      </c>
      <c r="LQ858" s="1852" t="str">
        <f t="shared" si="307"/>
        <v/>
      </c>
      <c r="LR858" s="1852" t="str">
        <f t="shared" si="308"/>
        <v/>
      </c>
      <c r="LS858" s="1852" t="str">
        <f t="shared" si="309"/>
        <v/>
      </c>
      <c r="LT858" s="1852" t="str">
        <f t="shared" si="310"/>
        <v/>
      </c>
      <c r="LU858" s="1852" t="str">
        <f t="shared" si="311"/>
        <v/>
      </c>
      <c r="LV858" s="1852" t="str">
        <f t="shared" si="312"/>
        <v/>
      </c>
      <c r="LW858" s="1852" t="str">
        <f t="shared" si="313"/>
        <v/>
      </c>
      <c r="LX858" s="1852" t="str">
        <f t="shared" si="314"/>
        <v/>
      </c>
      <c r="LY858" s="1852" t="str">
        <f t="shared" si="315"/>
        <v/>
      </c>
      <c r="LZ858" s="1852" t="str">
        <f t="shared" si="316"/>
        <v/>
      </c>
      <c r="MA858" s="1852" t="str">
        <f t="shared" si="317"/>
        <v/>
      </c>
      <c r="MB858" s="1852" t="str">
        <f t="shared" si="318"/>
        <v/>
      </c>
      <c r="MC858" s="1852" t="str">
        <f t="shared" si="319"/>
        <v/>
      </c>
      <c r="MD858" s="1852" t="str">
        <f t="shared" si="320"/>
        <v/>
      </c>
      <c r="ME858" s="1852" t="str">
        <f t="shared" si="321"/>
        <v/>
      </c>
      <c r="MF858" s="2051">
        <f t="shared" si="328"/>
        <v>0</v>
      </c>
      <c r="MG858" s="2051">
        <f t="shared" si="329"/>
        <v>0</v>
      </c>
      <c r="MH858" s="2051">
        <f t="shared" si="330"/>
        <v>0</v>
      </c>
      <c r="MI858" s="2051">
        <f t="shared" si="331"/>
        <v>0</v>
      </c>
      <c r="MJ858" s="2051">
        <f t="shared" si="332"/>
        <v>0</v>
      </c>
      <c r="MK858" s="2051">
        <f t="shared" si="333"/>
        <v>0</v>
      </c>
      <c r="ML858" s="2051">
        <f t="shared" si="334"/>
        <v>6</v>
      </c>
      <c r="MM858" s="2051">
        <f t="shared" si="335"/>
        <v>0</v>
      </c>
      <c r="MN858" s="2051">
        <f t="shared" si="336"/>
        <v>0</v>
      </c>
      <c r="MO858" s="2051">
        <f t="shared" si="337"/>
        <v>0</v>
      </c>
      <c r="MP858" s="2051">
        <f t="shared" si="322"/>
        <v>0</v>
      </c>
      <c r="MQ858" s="2051">
        <f t="shared" si="323"/>
        <v>0</v>
      </c>
      <c r="MR858" s="2051">
        <f t="shared" si="324"/>
        <v>0</v>
      </c>
      <c r="MS858" s="2051">
        <f t="shared" si="325"/>
        <v>0</v>
      </c>
      <c r="MT858" s="2051">
        <f t="shared" si="326"/>
        <v>0</v>
      </c>
      <c r="NP858" s="1924" t="s">
        <v>6727</v>
      </c>
    </row>
    <row r="859" spans="1:380" s="1852" customFormat="1" ht="13.9" customHeight="1">
      <c r="A859" s="2108" t="str">
        <f t="shared" si="327"/>
        <v/>
      </c>
      <c r="B859" s="2130">
        <f>'Part VI-Revenues &amp; Expenses'!B19</f>
        <v>50</v>
      </c>
      <c r="C859" s="2131">
        <f>'Part VI-Revenues &amp; Expenses'!C19</f>
        <v>2</v>
      </c>
      <c r="D859" s="2132">
        <f>'Part VI-Revenues &amp; Expenses'!D19</f>
        <v>2</v>
      </c>
      <c r="E859" s="2133">
        <f>'Part VI-Revenues &amp; Expenses'!E19</f>
        <v>9</v>
      </c>
      <c r="F859" s="2133">
        <f>'Part VI-Revenues &amp; Expenses'!F19</f>
        <v>1083</v>
      </c>
      <c r="G859" s="2133">
        <f>'Part VI-Revenues &amp; Expenses'!G19</f>
        <v>810</v>
      </c>
      <c r="H859" s="2133">
        <f>'Part VI-Revenues &amp; Expenses'!H19</f>
        <v>736</v>
      </c>
      <c r="I859" s="2133">
        <f>'Part VI-Revenues &amp; Expenses'!I19</f>
        <v>0</v>
      </c>
      <c r="J859" s="2133">
        <f>'Part VI-Revenues &amp; Expenses'!J19</f>
        <v>121</v>
      </c>
      <c r="K859" s="2134">
        <f>'Part VI-Revenues &amp; Expenses'!K19</f>
        <v>0</v>
      </c>
      <c r="L859" s="2135">
        <f t="shared" si="0"/>
        <v>615</v>
      </c>
      <c r="M859" s="2135">
        <f t="shared" si="1"/>
        <v>5535</v>
      </c>
      <c r="N859" s="1916" t="str">
        <f>'Part VI-Revenues &amp; Expenses'!N19</f>
        <v>No</v>
      </c>
      <c r="O859" s="2136" t="str">
        <f>'Part VI-Revenues &amp; Expenses'!O19</f>
        <v>Low-Rise Apt</v>
      </c>
      <c r="P859" s="1916" t="str">
        <f>'Part VI-Revenues &amp; Expenses'!P19</f>
        <v>New Construction</v>
      </c>
      <c r="Q859" s="2137" t="str">
        <f>'Part VI-Revenues &amp; Expenses'!Q19</f>
        <v>No</v>
      </c>
      <c r="R859" s="2138"/>
      <c r="S859" s="2139"/>
      <c r="T859" s="2043"/>
      <c r="U859" s="2043"/>
      <c r="V859" s="2043"/>
      <c r="W859" s="2043"/>
      <c r="X859" s="1852" t="str">
        <f t="shared" si="2"/>
        <v/>
      </c>
      <c r="Y859" s="1852" t="str">
        <f t="shared" si="3"/>
        <v/>
      </c>
      <c r="Z859" s="1852" t="str">
        <f t="shared" si="4"/>
        <v/>
      </c>
      <c r="AA859" s="1852" t="str">
        <f t="shared" si="5"/>
        <v/>
      </c>
      <c r="AB859" s="1852" t="str">
        <f t="shared" si="6"/>
        <v/>
      </c>
      <c r="AC859" s="1852" t="str">
        <f t="shared" si="7"/>
        <v/>
      </c>
      <c r="AD859" s="1852" t="str">
        <f t="shared" si="8"/>
        <v/>
      </c>
      <c r="AE859" s="1852" t="str">
        <f t="shared" si="9"/>
        <v/>
      </c>
      <c r="AF859" s="1852" t="str">
        <f t="shared" si="10"/>
        <v/>
      </c>
      <c r="AG859" s="1852" t="str">
        <f t="shared" si="11"/>
        <v/>
      </c>
      <c r="AH859" s="1852" t="str">
        <f t="shared" si="12"/>
        <v/>
      </c>
      <c r="AI859" s="1852" t="str">
        <f t="shared" si="13"/>
        <v/>
      </c>
      <c r="AJ859" s="1852" t="str">
        <f t="shared" si="14"/>
        <v/>
      </c>
      <c r="AK859" s="1852" t="str">
        <f t="shared" si="15"/>
        <v/>
      </c>
      <c r="AL859" s="1852" t="str">
        <f t="shared" si="16"/>
        <v/>
      </c>
      <c r="AM859" s="1852" t="str">
        <f t="shared" si="17"/>
        <v/>
      </c>
      <c r="AN859" s="1852" t="str">
        <f t="shared" si="18"/>
        <v/>
      </c>
      <c r="AO859" s="1852">
        <f t="shared" si="19"/>
        <v>9</v>
      </c>
      <c r="AP859" s="1852" t="str">
        <f t="shared" si="20"/>
        <v/>
      </c>
      <c r="AQ859" s="1852" t="str">
        <f t="shared" si="21"/>
        <v/>
      </c>
      <c r="AR859" s="1852" t="str">
        <f t="shared" si="22"/>
        <v/>
      </c>
      <c r="AS859" s="1852" t="str">
        <f t="shared" si="23"/>
        <v/>
      </c>
      <c r="AT859" s="1852" t="str">
        <f t="shared" si="24"/>
        <v/>
      </c>
      <c r="AU859" s="1852" t="str">
        <f t="shared" si="25"/>
        <v/>
      </c>
      <c r="AV859" s="1852" t="str">
        <f t="shared" si="26"/>
        <v/>
      </c>
      <c r="AW859" s="1852" t="str">
        <f t="shared" si="27"/>
        <v/>
      </c>
      <c r="AX859" s="1852" t="str">
        <f t="shared" si="28"/>
        <v/>
      </c>
      <c r="AY859" s="1852" t="str">
        <f t="shared" si="29"/>
        <v/>
      </c>
      <c r="AZ859" s="1852" t="str">
        <f t="shared" si="30"/>
        <v/>
      </c>
      <c r="BA859" s="1852" t="str">
        <f t="shared" si="31"/>
        <v/>
      </c>
      <c r="BB859" s="1852" t="str">
        <f t="shared" si="32"/>
        <v/>
      </c>
      <c r="BC859" s="1852" t="str">
        <f t="shared" si="33"/>
        <v/>
      </c>
      <c r="BD859" s="1852" t="str">
        <f t="shared" si="34"/>
        <v/>
      </c>
      <c r="BE859" s="1852" t="str">
        <f t="shared" si="35"/>
        <v/>
      </c>
      <c r="BF859" s="1852" t="str">
        <f t="shared" si="36"/>
        <v/>
      </c>
      <c r="BG859" s="1852" t="str">
        <f t="shared" si="37"/>
        <v/>
      </c>
      <c r="BH859" s="1852" t="str">
        <f t="shared" si="38"/>
        <v/>
      </c>
      <c r="BI859" s="1852" t="str">
        <f t="shared" si="39"/>
        <v/>
      </c>
      <c r="BJ859" s="1852" t="str">
        <f t="shared" si="40"/>
        <v/>
      </c>
      <c r="BK859" s="1852" t="str">
        <f t="shared" si="41"/>
        <v/>
      </c>
      <c r="BL859" s="1852" t="str">
        <f t="shared" si="42"/>
        <v/>
      </c>
      <c r="BM859" s="1852" t="str">
        <f t="shared" si="43"/>
        <v/>
      </c>
      <c r="BN859" s="1852" t="str">
        <f t="shared" si="44"/>
        <v/>
      </c>
      <c r="BO859" s="1852" t="str">
        <f t="shared" si="45"/>
        <v/>
      </c>
      <c r="BP859" s="1852" t="str">
        <f t="shared" si="46"/>
        <v/>
      </c>
      <c r="BQ859" s="1852" t="str">
        <f t="shared" si="47"/>
        <v/>
      </c>
      <c r="BR859" s="1852" t="str">
        <f t="shared" si="48"/>
        <v/>
      </c>
      <c r="BS859" s="1852" t="str">
        <f t="shared" si="49"/>
        <v/>
      </c>
      <c r="BT859" s="1852" t="str">
        <f t="shared" si="50"/>
        <v/>
      </c>
      <c r="BU859" s="1852" t="str">
        <f t="shared" si="51"/>
        <v/>
      </c>
      <c r="BV859" s="1852" t="str">
        <f t="shared" si="52"/>
        <v/>
      </c>
      <c r="BW859" s="1852" t="str">
        <f t="shared" si="53"/>
        <v/>
      </c>
      <c r="BX859" s="1852" t="str">
        <f t="shared" si="54"/>
        <v/>
      </c>
      <c r="BY859" s="1852" t="str">
        <f t="shared" si="55"/>
        <v/>
      </c>
      <c r="BZ859" s="1852" t="str">
        <f t="shared" si="56"/>
        <v/>
      </c>
      <c r="CA859" s="1852" t="str">
        <f t="shared" si="57"/>
        <v/>
      </c>
      <c r="CB859" s="1852" t="str">
        <f t="shared" si="58"/>
        <v/>
      </c>
      <c r="CC859" s="1852" t="str">
        <f t="shared" si="59"/>
        <v/>
      </c>
      <c r="CD859" s="1852" t="str">
        <f t="shared" si="60"/>
        <v/>
      </c>
      <c r="CE859" s="1852" t="str">
        <f t="shared" si="61"/>
        <v/>
      </c>
      <c r="CF859" s="1852" t="str">
        <f t="shared" si="62"/>
        <v/>
      </c>
      <c r="CG859" s="1852" t="str">
        <f t="shared" si="63"/>
        <v/>
      </c>
      <c r="CH859" s="1852" t="str">
        <f t="shared" si="64"/>
        <v/>
      </c>
      <c r="CI859" s="1852" t="str">
        <f t="shared" si="65"/>
        <v/>
      </c>
      <c r="CJ859" s="1852" t="str">
        <f t="shared" si="66"/>
        <v/>
      </c>
      <c r="CK859" s="1852" t="str">
        <f t="shared" si="67"/>
        <v/>
      </c>
      <c r="CL859" s="1852" t="str">
        <f t="shared" si="68"/>
        <v/>
      </c>
      <c r="CM859" s="1852" t="str">
        <f t="shared" si="69"/>
        <v/>
      </c>
      <c r="CN859" s="1852" t="str">
        <f t="shared" si="70"/>
        <v/>
      </c>
      <c r="CO859" s="1852" t="str">
        <f t="shared" si="71"/>
        <v/>
      </c>
      <c r="CP859" s="1852" t="str">
        <f t="shared" si="72"/>
        <v/>
      </c>
      <c r="CQ859" s="1852" t="str">
        <f t="shared" si="73"/>
        <v/>
      </c>
      <c r="CR859" s="1852" t="str">
        <f t="shared" si="74"/>
        <v/>
      </c>
      <c r="CS859" s="1852" t="str">
        <f t="shared" si="75"/>
        <v/>
      </c>
      <c r="CT859" s="1852" t="str">
        <f t="shared" si="76"/>
        <v/>
      </c>
      <c r="CU859" s="1852" t="str">
        <f t="shared" si="77"/>
        <v/>
      </c>
      <c r="CV859" s="1852" t="str">
        <f t="shared" si="78"/>
        <v/>
      </c>
      <c r="CW859" s="1852" t="str">
        <f t="shared" si="79"/>
        <v/>
      </c>
      <c r="CX859" s="1852" t="str">
        <f t="shared" si="80"/>
        <v/>
      </c>
      <c r="CY859" s="1852" t="str">
        <f t="shared" si="81"/>
        <v/>
      </c>
      <c r="CZ859" s="1852" t="str">
        <f t="shared" si="82"/>
        <v/>
      </c>
      <c r="DA859" s="1852" t="str">
        <f t="shared" si="83"/>
        <v/>
      </c>
      <c r="DB859" s="1852" t="str">
        <f t="shared" si="84"/>
        <v/>
      </c>
      <c r="DC859" s="1852" t="str">
        <f t="shared" si="85"/>
        <v/>
      </c>
      <c r="DD859" s="1852" t="str">
        <f t="shared" si="86"/>
        <v/>
      </c>
      <c r="DE859" s="1852" t="str">
        <f t="shared" si="87"/>
        <v/>
      </c>
      <c r="DF859" s="1852" t="str">
        <f t="shared" si="88"/>
        <v/>
      </c>
      <c r="DG859" s="1852" t="str">
        <f t="shared" si="89"/>
        <v/>
      </c>
      <c r="DH859" s="1852" t="str">
        <f t="shared" si="90"/>
        <v/>
      </c>
      <c r="DI859" s="1852" t="str">
        <f t="shared" si="91"/>
        <v/>
      </c>
      <c r="DJ859" s="1852" t="str">
        <f t="shared" si="92"/>
        <v/>
      </c>
      <c r="DK859" s="1852" t="str">
        <f t="shared" si="93"/>
        <v/>
      </c>
      <c r="DL859" s="1852" t="str">
        <f t="shared" si="94"/>
        <v/>
      </c>
      <c r="DM859" s="1852" t="str">
        <f t="shared" si="95"/>
        <v/>
      </c>
      <c r="DN859" s="1852" t="str">
        <f t="shared" si="96"/>
        <v/>
      </c>
      <c r="DO859" s="1852" t="str">
        <f t="shared" si="97"/>
        <v/>
      </c>
      <c r="DP859" s="1852" t="str">
        <f t="shared" si="98"/>
        <v/>
      </c>
      <c r="DQ859" s="1852" t="str">
        <f t="shared" si="99"/>
        <v/>
      </c>
      <c r="DR859" s="1852" t="str">
        <f t="shared" si="100"/>
        <v/>
      </c>
      <c r="DS859" s="1852" t="str">
        <f t="shared" si="101"/>
        <v/>
      </c>
      <c r="DT859" s="1852" t="str">
        <f t="shared" si="102"/>
        <v/>
      </c>
      <c r="DU859" s="1852" t="str">
        <f t="shared" si="103"/>
        <v/>
      </c>
      <c r="DV859" s="1852" t="str">
        <f t="shared" si="104"/>
        <v/>
      </c>
      <c r="DW859" s="1852" t="str">
        <f t="shared" si="105"/>
        <v/>
      </c>
      <c r="DX859" s="1852" t="str">
        <f t="shared" si="106"/>
        <v/>
      </c>
      <c r="DY859" s="1852" t="str">
        <f t="shared" si="107"/>
        <v/>
      </c>
      <c r="DZ859" s="1852" t="str">
        <f t="shared" si="108"/>
        <v/>
      </c>
      <c r="EA859" s="1852" t="str">
        <f t="shared" si="109"/>
        <v/>
      </c>
      <c r="EB859" s="1852" t="str">
        <f t="shared" si="110"/>
        <v/>
      </c>
      <c r="EC859" s="1852" t="str">
        <f t="shared" si="111"/>
        <v/>
      </c>
      <c r="ED859" s="1852" t="str">
        <f t="shared" si="112"/>
        <v/>
      </c>
      <c r="EE859" s="1852" t="str">
        <f t="shared" si="113"/>
        <v/>
      </c>
      <c r="EF859" s="1852" t="str">
        <f t="shared" si="114"/>
        <v/>
      </c>
      <c r="EG859" s="1852" t="str">
        <f t="shared" si="115"/>
        <v/>
      </c>
      <c r="EH859" s="1852" t="str">
        <f t="shared" si="116"/>
        <v/>
      </c>
      <c r="EI859" s="1852" t="str">
        <f t="shared" si="117"/>
        <v/>
      </c>
      <c r="EJ859" s="1852" t="str">
        <f t="shared" si="118"/>
        <v/>
      </c>
      <c r="EK859" s="1852" t="str">
        <f t="shared" si="119"/>
        <v/>
      </c>
      <c r="EL859" s="1852" t="str">
        <f t="shared" si="120"/>
        <v/>
      </c>
      <c r="EM859" s="1852" t="str">
        <f t="shared" si="121"/>
        <v/>
      </c>
      <c r="EN859" s="1852" t="str">
        <f t="shared" si="122"/>
        <v/>
      </c>
      <c r="EO859" s="1852" t="str">
        <f t="shared" si="123"/>
        <v/>
      </c>
      <c r="EP859" s="1852" t="str">
        <f t="shared" si="124"/>
        <v/>
      </c>
      <c r="EQ859" s="1852" t="str">
        <f t="shared" si="125"/>
        <v/>
      </c>
      <c r="ER859" s="1852" t="str">
        <f t="shared" si="126"/>
        <v/>
      </c>
      <c r="ES859" s="1852" t="str">
        <f t="shared" si="127"/>
        <v/>
      </c>
      <c r="ET859" s="1852" t="str">
        <f t="shared" si="128"/>
        <v/>
      </c>
      <c r="EU859" s="1852" t="str">
        <f t="shared" si="129"/>
        <v/>
      </c>
      <c r="EV859" s="1852" t="str">
        <f t="shared" si="130"/>
        <v/>
      </c>
      <c r="EW859" s="1852" t="str">
        <f t="shared" si="131"/>
        <v/>
      </c>
      <c r="EX859" s="1852" t="str">
        <f t="shared" si="132"/>
        <v/>
      </c>
      <c r="EY859" s="1852" t="str">
        <f t="shared" si="133"/>
        <v/>
      </c>
      <c r="EZ859" s="1852">
        <f t="shared" si="134"/>
        <v>9747</v>
      </c>
      <c r="FA859" s="1852" t="str">
        <f t="shared" si="135"/>
        <v/>
      </c>
      <c r="FB859" s="1852" t="str">
        <f t="shared" si="136"/>
        <v/>
      </c>
      <c r="FC859" s="1852" t="str">
        <f t="shared" si="137"/>
        <v/>
      </c>
      <c r="FD859" s="1852" t="str">
        <f t="shared" si="138"/>
        <v/>
      </c>
      <c r="FE859" s="1852" t="str">
        <f t="shared" si="139"/>
        <v/>
      </c>
      <c r="FF859" s="1852" t="str">
        <f t="shared" si="140"/>
        <v/>
      </c>
      <c r="FG859" s="1852" t="str">
        <f t="shared" si="141"/>
        <v/>
      </c>
      <c r="FH859" s="1852" t="str">
        <f t="shared" si="142"/>
        <v/>
      </c>
      <c r="FI859" s="1852" t="str">
        <f t="shared" si="143"/>
        <v/>
      </c>
      <c r="FJ859" s="1852" t="str">
        <f t="shared" si="144"/>
        <v/>
      </c>
      <c r="FK859" s="1852" t="str">
        <f t="shared" si="145"/>
        <v/>
      </c>
      <c r="FL859" s="1852" t="str">
        <f t="shared" si="146"/>
        <v/>
      </c>
      <c r="FM859" s="1852" t="str">
        <f t="shared" si="147"/>
        <v/>
      </c>
      <c r="FN859" s="1852" t="str">
        <f t="shared" si="148"/>
        <v/>
      </c>
      <c r="FO859" s="1852" t="str">
        <f t="shared" si="149"/>
        <v/>
      </c>
      <c r="FP859" s="1852" t="str">
        <f t="shared" si="150"/>
        <v/>
      </c>
      <c r="FQ859" s="1852" t="str">
        <f t="shared" si="151"/>
        <v/>
      </c>
      <c r="FR859" s="1852" t="str">
        <f t="shared" si="152"/>
        <v/>
      </c>
      <c r="FS859" s="1852" t="str">
        <f t="shared" si="153"/>
        <v/>
      </c>
      <c r="FT859" s="1852" t="str">
        <f t="shared" si="154"/>
        <v/>
      </c>
      <c r="FU859" s="1852" t="str">
        <f t="shared" si="155"/>
        <v/>
      </c>
      <c r="FV859" s="1852" t="str">
        <f t="shared" si="156"/>
        <v/>
      </c>
      <c r="FW859" s="1852" t="str">
        <f t="shared" si="157"/>
        <v/>
      </c>
      <c r="FX859" s="1852" t="str">
        <f t="shared" si="158"/>
        <v/>
      </c>
      <c r="FY859" s="1852" t="str">
        <f t="shared" si="159"/>
        <v/>
      </c>
      <c r="FZ859" s="1852" t="str">
        <f t="shared" si="160"/>
        <v/>
      </c>
      <c r="GA859" s="1852" t="str">
        <f t="shared" si="161"/>
        <v/>
      </c>
      <c r="GB859" s="1852" t="str">
        <f t="shared" si="162"/>
        <v/>
      </c>
      <c r="GC859" s="1852" t="str">
        <f t="shared" si="163"/>
        <v/>
      </c>
      <c r="GD859" s="1852" t="str">
        <f t="shared" si="164"/>
        <v/>
      </c>
      <c r="GE859" s="1852" t="str">
        <f t="shared" si="165"/>
        <v/>
      </c>
      <c r="GF859" s="1852" t="str">
        <f t="shared" si="166"/>
        <v/>
      </c>
      <c r="GG859" s="1852" t="str">
        <f t="shared" si="167"/>
        <v/>
      </c>
      <c r="GH859" s="1852" t="str">
        <f t="shared" si="168"/>
        <v/>
      </c>
      <c r="GI859" s="1852">
        <f t="shared" si="169"/>
        <v>9</v>
      </c>
      <c r="GJ859" s="1852" t="str">
        <f t="shared" si="170"/>
        <v/>
      </c>
      <c r="GK859" s="1852" t="str">
        <f t="shared" si="171"/>
        <v/>
      </c>
      <c r="GL859" s="1852" t="str">
        <f t="shared" si="172"/>
        <v/>
      </c>
      <c r="GM859" s="1852" t="str">
        <f t="shared" si="173"/>
        <v/>
      </c>
      <c r="GN859" s="1852" t="str">
        <f t="shared" si="174"/>
        <v/>
      </c>
      <c r="GO859" s="1852" t="str">
        <f t="shared" si="175"/>
        <v/>
      </c>
      <c r="GP859" s="1852" t="str">
        <f t="shared" si="176"/>
        <v/>
      </c>
      <c r="GQ859" s="1852" t="str">
        <f t="shared" si="177"/>
        <v/>
      </c>
      <c r="GR859" s="1852" t="str">
        <f t="shared" si="178"/>
        <v/>
      </c>
      <c r="GS859" s="1852" t="str">
        <f t="shared" si="179"/>
        <v/>
      </c>
      <c r="GT859" s="1852" t="str">
        <f t="shared" si="180"/>
        <v/>
      </c>
      <c r="GU859" s="1852" t="str">
        <f t="shared" si="181"/>
        <v/>
      </c>
      <c r="GV859" s="1852" t="str">
        <f t="shared" si="182"/>
        <v/>
      </c>
      <c r="GW859" s="1852" t="str">
        <f t="shared" si="183"/>
        <v/>
      </c>
      <c r="GX859" s="1852" t="str">
        <f t="shared" si="184"/>
        <v/>
      </c>
      <c r="GY859" s="1852" t="str">
        <f t="shared" si="185"/>
        <v/>
      </c>
      <c r="GZ859" s="1852" t="str">
        <f t="shared" si="186"/>
        <v/>
      </c>
      <c r="HA859" s="1852" t="str">
        <f t="shared" si="187"/>
        <v/>
      </c>
      <c r="HB859" s="1852" t="str">
        <f t="shared" si="188"/>
        <v/>
      </c>
      <c r="HC859" s="1852" t="str">
        <f t="shared" si="189"/>
        <v/>
      </c>
      <c r="HD859" s="1852" t="str">
        <f t="shared" si="190"/>
        <v/>
      </c>
      <c r="HE859" s="1852" t="str">
        <f t="shared" si="191"/>
        <v/>
      </c>
      <c r="HF859" s="1852" t="str">
        <f t="shared" si="192"/>
        <v/>
      </c>
      <c r="HG859" s="1852" t="str">
        <f t="shared" si="193"/>
        <v/>
      </c>
      <c r="HH859" s="1852" t="str">
        <f t="shared" si="194"/>
        <v/>
      </c>
      <c r="HI859" s="1852" t="str">
        <f t="shared" si="195"/>
        <v/>
      </c>
      <c r="HJ859" s="1852" t="str">
        <f t="shared" si="196"/>
        <v/>
      </c>
      <c r="HK859" s="1852" t="str">
        <f t="shared" si="197"/>
        <v/>
      </c>
      <c r="HL859" s="1852" t="str">
        <f t="shared" si="198"/>
        <v/>
      </c>
      <c r="HM859" s="1852" t="str">
        <f t="shared" si="199"/>
        <v/>
      </c>
      <c r="HN859" s="1852" t="str">
        <f t="shared" si="200"/>
        <v/>
      </c>
      <c r="HO859" s="1852" t="str">
        <f t="shared" si="201"/>
        <v/>
      </c>
      <c r="HP859" s="1852" t="str">
        <f t="shared" si="202"/>
        <v/>
      </c>
      <c r="HQ859" s="1852" t="str">
        <f t="shared" si="203"/>
        <v/>
      </c>
      <c r="HR859" s="1852" t="str">
        <f t="shared" si="204"/>
        <v/>
      </c>
      <c r="HS859" s="1852" t="str">
        <f t="shared" si="205"/>
        <v/>
      </c>
      <c r="HT859" s="1852" t="str">
        <f t="shared" si="206"/>
        <v/>
      </c>
      <c r="HU859" s="1852" t="str">
        <f t="shared" si="207"/>
        <v/>
      </c>
      <c r="HV859" s="1852" t="str">
        <f t="shared" si="208"/>
        <v/>
      </c>
      <c r="HW859" s="1852" t="str">
        <f t="shared" si="209"/>
        <v/>
      </c>
      <c r="HX859" s="1852" t="str">
        <f t="shared" si="210"/>
        <v/>
      </c>
      <c r="HY859" s="1852" t="str">
        <f t="shared" si="211"/>
        <v/>
      </c>
      <c r="HZ859" s="2140" t="str">
        <f t="shared" si="212"/>
        <v/>
      </c>
      <c r="IA859" s="2140" t="str">
        <f t="shared" si="213"/>
        <v/>
      </c>
      <c r="IB859" s="2140">
        <f t="shared" si="214"/>
        <v>9</v>
      </c>
      <c r="IC859" s="2140" t="str">
        <f t="shared" si="215"/>
        <v/>
      </c>
      <c r="ID859" s="2140" t="str">
        <f t="shared" si="216"/>
        <v/>
      </c>
      <c r="IE859" s="2140" t="str">
        <f t="shared" si="217"/>
        <v/>
      </c>
      <c r="IF859" s="2140" t="str">
        <f t="shared" si="218"/>
        <v/>
      </c>
      <c r="IG859" s="2140" t="str">
        <f t="shared" si="219"/>
        <v/>
      </c>
      <c r="IH859" s="2140" t="str">
        <f t="shared" si="220"/>
        <v/>
      </c>
      <c r="II859" s="2140" t="str">
        <f t="shared" si="221"/>
        <v/>
      </c>
      <c r="IJ859" s="2140" t="str">
        <f t="shared" si="222"/>
        <v/>
      </c>
      <c r="IK859" s="2140" t="str">
        <f t="shared" si="223"/>
        <v/>
      </c>
      <c r="IL859" s="2140" t="str">
        <f t="shared" si="224"/>
        <v/>
      </c>
      <c r="IM859" s="2140" t="str">
        <f t="shared" si="225"/>
        <v/>
      </c>
      <c r="IN859" s="2140" t="str">
        <f t="shared" si="226"/>
        <v/>
      </c>
      <c r="IO859" s="2140" t="str">
        <f t="shared" si="227"/>
        <v/>
      </c>
      <c r="IP859" s="2140" t="str">
        <f t="shared" si="228"/>
        <v/>
      </c>
      <c r="IQ859" s="2140" t="str">
        <f t="shared" si="229"/>
        <v/>
      </c>
      <c r="IR859" s="2140" t="str">
        <f t="shared" si="230"/>
        <v/>
      </c>
      <c r="IS859" s="2140" t="str">
        <f t="shared" si="231"/>
        <v/>
      </c>
      <c r="IT859" s="2140" t="str">
        <f t="shared" si="232"/>
        <v/>
      </c>
      <c r="IU859" s="2140" t="str">
        <f t="shared" si="233"/>
        <v/>
      </c>
      <c r="IV859" s="2140" t="str">
        <f t="shared" si="234"/>
        <v/>
      </c>
      <c r="IW859" s="2140" t="str">
        <f t="shared" si="235"/>
        <v/>
      </c>
      <c r="IX859" s="2140" t="str">
        <f t="shared" si="236"/>
        <v/>
      </c>
      <c r="IY859" s="2140" t="str">
        <f t="shared" si="237"/>
        <v/>
      </c>
      <c r="IZ859" s="2140" t="str">
        <f t="shared" si="238"/>
        <v/>
      </c>
      <c r="JA859" s="2140" t="str">
        <f t="shared" si="239"/>
        <v/>
      </c>
      <c r="JB859" s="2140" t="str">
        <f t="shared" si="240"/>
        <v/>
      </c>
      <c r="JC859" s="2140" t="str">
        <f t="shared" si="241"/>
        <v/>
      </c>
      <c r="JD859" s="2140" t="str">
        <f t="shared" si="242"/>
        <v/>
      </c>
      <c r="JE859" s="2140" t="str">
        <f t="shared" si="243"/>
        <v/>
      </c>
      <c r="JF859" s="2140" t="str">
        <f t="shared" si="244"/>
        <v/>
      </c>
      <c r="JG859" s="2140" t="str">
        <f t="shared" si="245"/>
        <v/>
      </c>
      <c r="JH859" s="2140" t="str">
        <f t="shared" si="246"/>
        <v/>
      </c>
      <c r="JI859" s="2140" t="str">
        <f t="shared" si="247"/>
        <v/>
      </c>
      <c r="JJ859" s="2140" t="str">
        <f t="shared" si="248"/>
        <v/>
      </c>
      <c r="JK859" s="2140" t="str">
        <f t="shared" si="249"/>
        <v/>
      </c>
      <c r="JL859" s="2140" t="str">
        <f t="shared" si="250"/>
        <v/>
      </c>
      <c r="JM859" s="2140" t="str">
        <f t="shared" si="251"/>
        <v/>
      </c>
      <c r="JN859" s="2140" t="str">
        <f t="shared" si="252"/>
        <v/>
      </c>
      <c r="JO859" s="2140" t="str">
        <f t="shared" si="253"/>
        <v/>
      </c>
      <c r="JP859" s="2140" t="str">
        <f t="shared" si="254"/>
        <v/>
      </c>
      <c r="JQ859" s="2140" t="str">
        <f t="shared" si="255"/>
        <v/>
      </c>
      <c r="JR859" s="2140" t="str">
        <f t="shared" si="256"/>
        <v/>
      </c>
      <c r="JS859" s="2140" t="str">
        <f t="shared" si="257"/>
        <v/>
      </c>
      <c r="JT859" s="2140" t="str">
        <f t="shared" si="258"/>
        <v/>
      </c>
      <c r="JU859" s="2140">
        <f t="shared" si="259"/>
        <v>9</v>
      </c>
      <c r="JV859" s="2140" t="str">
        <f t="shared" si="260"/>
        <v/>
      </c>
      <c r="JW859" s="2140" t="str">
        <f t="shared" si="261"/>
        <v/>
      </c>
      <c r="JX859" s="2140" t="str">
        <f t="shared" si="262"/>
        <v/>
      </c>
      <c r="JY859" s="2140" t="str">
        <f t="shared" si="263"/>
        <v/>
      </c>
      <c r="JZ859" s="2140" t="str">
        <f t="shared" si="264"/>
        <v/>
      </c>
      <c r="KA859" s="2140" t="str">
        <f t="shared" si="265"/>
        <v/>
      </c>
      <c r="KB859" s="2140" t="str">
        <f t="shared" si="266"/>
        <v/>
      </c>
      <c r="KC859" s="2140" t="str">
        <f t="shared" si="267"/>
        <v/>
      </c>
      <c r="KD859" s="2140" t="str">
        <f t="shared" si="268"/>
        <v/>
      </c>
      <c r="KE859" s="2140" t="str">
        <f t="shared" si="269"/>
        <v/>
      </c>
      <c r="KF859" s="2140" t="str">
        <f t="shared" si="270"/>
        <v/>
      </c>
      <c r="KG859" s="2140" t="str">
        <f t="shared" si="271"/>
        <v/>
      </c>
      <c r="KH859" s="2140" t="str">
        <f t="shared" si="272"/>
        <v/>
      </c>
      <c r="KI859" s="2140" t="str">
        <f t="shared" si="273"/>
        <v/>
      </c>
      <c r="KJ859" s="2140" t="str">
        <f t="shared" si="274"/>
        <v/>
      </c>
      <c r="KK859" s="2140" t="str">
        <f t="shared" si="275"/>
        <v/>
      </c>
      <c r="KL859" s="2140" t="str">
        <f t="shared" si="276"/>
        <v/>
      </c>
      <c r="KM859" s="2140" t="str">
        <f t="shared" si="277"/>
        <v/>
      </c>
      <c r="KN859" s="2140" t="str">
        <f t="shared" si="278"/>
        <v/>
      </c>
      <c r="KO859" s="2140" t="str">
        <f t="shared" si="279"/>
        <v/>
      </c>
      <c r="KP859" s="2140" t="str">
        <f t="shared" si="280"/>
        <v/>
      </c>
      <c r="KQ859" s="2140" t="str">
        <f t="shared" si="281"/>
        <v/>
      </c>
      <c r="KR859" s="2140" t="str">
        <f t="shared" si="282"/>
        <v/>
      </c>
      <c r="KS859" s="2140" t="str">
        <f t="shared" si="283"/>
        <v/>
      </c>
      <c r="KT859" s="2140" t="str">
        <f t="shared" si="284"/>
        <v/>
      </c>
      <c r="KU859" s="2140" t="str">
        <f t="shared" si="285"/>
        <v/>
      </c>
      <c r="KV859" s="2140" t="str">
        <f t="shared" si="286"/>
        <v/>
      </c>
      <c r="KW859" s="2140" t="str">
        <f t="shared" si="287"/>
        <v/>
      </c>
      <c r="KX859" s="2140" t="str">
        <f t="shared" si="288"/>
        <v/>
      </c>
      <c r="KY859" s="2140" t="str">
        <f t="shared" si="289"/>
        <v/>
      </c>
      <c r="KZ859" s="2140" t="str">
        <f t="shared" si="290"/>
        <v/>
      </c>
      <c r="LA859" s="2140" t="str">
        <f t="shared" si="291"/>
        <v/>
      </c>
      <c r="LB859" s="2140" t="str">
        <f t="shared" si="292"/>
        <v/>
      </c>
      <c r="LC859" s="2140" t="str">
        <f t="shared" si="293"/>
        <v/>
      </c>
      <c r="LD859" s="2140" t="str">
        <f t="shared" si="294"/>
        <v/>
      </c>
      <c r="LE859" s="2140" t="str">
        <f t="shared" si="295"/>
        <v/>
      </c>
      <c r="LF859" s="2140" t="str">
        <f t="shared" si="296"/>
        <v/>
      </c>
      <c r="LG859" s="2051" t="str">
        <f t="shared" si="297"/>
        <v/>
      </c>
      <c r="LH859" s="2051" t="str">
        <f t="shared" si="298"/>
        <v/>
      </c>
      <c r="LI859" s="2051" t="str">
        <f t="shared" si="299"/>
        <v/>
      </c>
      <c r="LJ859" s="2051" t="str">
        <f t="shared" si="300"/>
        <v/>
      </c>
      <c r="LK859" s="2051" t="str">
        <f t="shared" si="301"/>
        <v/>
      </c>
      <c r="LL859" s="1852" t="str">
        <f t="shared" si="302"/>
        <v/>
      </c>
      <c r="LM859" s="1852" t="str">
        <f t="shared" si="303"/>
        <v/>
      </c>
      <c r="LN859" s="1852" t="str">
        <f t="shared" si="304"/>
        <v/>
      </c>
      <c r="LO859" s="1852" t="str">
        <f t="shared" si="305"/>
        <v/>
      </c>
      <c r="LP859" s="1852" t="str">
        <f t="shared" si="306"/>
        <v/>
      </c>
      <c r="LQ859" s="1852" t="str">
        <f t="shared" si="307"/>
        <v/>
      </c>
      <c r="LR859" s="1852" t="str">
        <f t="shared" si="308"/>
        <v/>
      </c>
      <c r="LS859" s="1852" t="str">
        <f t="shared" si="309"/>
        <v/>
      </c>
      <c r="LT859" s="1852" t="str">
        <f t="shared" si="310"/>
        <v/>
      </c>
      <c r="LU859" s="1852" t="str">
        <f t="shared" si="311"/>
        <v/>
      </c>
      <c r="LV859" s="1852" t="str">
        <f t="shared" si="312"/>
        <v/>
      </c>
      <c r="LW859" s="1852" t="str">
        <f t="shared" si="313"/>
        <v/>
      </c>
      <c r="LX859" s="1852" t="str">
        <f t="shared" si="314"/>
        <v/>
      </c>
      <c r="LY859" s="1852" t="str">
        <f t="shared" si="315"/>
        <v/>
      </c>
      <c r="LZ859" s="1852" t="str">
        <f t="shared" si="316"/>
        <v/>
      </c>
      <c r="MA859" s="1852" t="str">
        <f t="shared" si="317"/>
        <v/>
      </c>
      <c r="MB859" s="1852" t="str">
        <f t="shared" si="318"/>
        <v/>
      </c>
      <c r="MC859" s="1852" t="str">
        <f t="shared" si="319"/>
        <v/>
      </c>
      <c r="MD859" s="1852" t="str">
        <f t="shared" si="320"/>
        <v/>
      </c>
      <c r="ME859" s="1852" t="str">
        <f t="shared" si="321"/>
        <v/>
      </c>
      <c r="MF859" s="2051">
        <f t="shared" si="328"/>
        <v>0</v>
      </c>
      <c r="MG859" s="2051">
        <f t="shared" si="329"/>
        <v>0</v>
      </c>
      <c r="MH859" s="2051">
        <f t="shared" si="330"/>
        <v>0</v>
      </c>
      <c r="MI859" s="2051">
        <f t="shared" si="331"/>
        <v>0</v>
      </c>
      <c r="MJ859" s="2051">
        <f t="shared" si="332"/>
        <v>0</v>
      </c>
      <c r="MK859" s="2051">
        <f t="shared" si="333"/>
        <v>0</v>
      </c>
      <c r="ML859" s="2051">
        <f t="shared" si="334"/>
        <v>0</v>
      </c>
      <c r="MM859" s="2051">
        <f t="shared" si="335"/>
        <v>9</v>
      </c>
      <c r="MN859" s="2051">
        <f t="shared" si="336"/>
        <v>0</v>
      </c>
      <c r="MO859" s="2051">
        <f t="shared" si="337"/>
        <v>0</v>
      </c>
      <c r="MP859" s="2051">
        <f t="shared" si="322"/>
        <v>0</v>
      </c>
      <c r="MQ859" s="2051">
        <f t="shared" si="323"/>
        <v>0</v>
      </c>
      <c r="MR859" s="2051">
        <f t="shared" si="324"/>
        <v>0</v>
      </c>
      <c r="MS859" s="2051">
        <f t="shared" si="325"/>
        <v>0</v>
      </c>
      <c r="MT859" s="2051">
        <f t="shared" si="326"/>
        <v>0</v>
      </c>
      <c r="NP859" s="1924" t="s">
        <v>6728</v>
      </c>
    </row>
    <row r="860" spans="1:380" s="1852" customFormat="1" ht="13.9" customHeight="1">
      <c r="A860" s="2108" t="str">
        <f t="shared" si="327"/>
        <v/>
      </c>
      <c r="B860" s="2130">
        <f>'Part VI-Revenues &amp; Expenses'!B20</f>
        <v>50</v>
      </c>
      <c r="C860" s="2131">
        <f>'Part VI-Revenues &amp; Expenses'!C20</f>
        <v>3</v>
      </c>
      <c r="D860" s="2132">
        <f>'Part VI-Revenues &amp; Expenses'!D20</f>
        <v>2</v>
      </c>
      <c r="E860" s="2133">
        <f>'Part VI-Revenues &amp; Expenses'!E20</f>
        <v>4</v>
      </c>
      <c r="F860" s="2133">
        <f>'Part VI-Revenues &amp; Expenses'!F20</f>
        <v>1301</v>
      </c>
      <c r="G860" s="2133">
        <f>'Part VI-Revenues &amp; Expenses'!G20</f>
        <v>936</v>
      </c>
      <c r="H860" s="2133">
        <f>'Part VI-Revenues &amp; Expenses'!H20</f>
        <v>849</v>
      </c>
      <c r="I860" s="2133">
        <f>'Part VI-Revenues &amp; Expenses'!I20</f>
        <v>0</v>
      </c>
      <c r="J860" s="2133">
        <f>'Part VI-Revenues &amp; Expenses'!J20</f>
        <v>149</v>
      </c>
      <c r="K860" s="2134">
        <f>'Part VI-Revenues &amp; Expenses'!K20</f>
        <v>0</v>
      </c>
      <c r="L860" s="2135">
        <f t="shared" si="0"/>
        <v>700</v>
      </c>
      <c r="M860" s="2135">
        <f t="shared" si="1"/>
        <v>2800</v>
      </c>
      <c r="N860" s="1916" t="str">
        <f>'Part VI-Revenues &amp; Expenses'!N20</f>
        <v>No</v>
      </c>
      <c r="O860" s="2136" t="str">
        <f>'Part VI-Revenues &amp; Expenses'!O20</f>
        <v>Low-Rise Apt</v>
      </c>
      <c r="P860" s="1916" t="str">
        <f>'Part VI-Revenues &amp; Expenses'!P20</f>
        <v>New Construction</v>
      </c>
      <c r="Q860" s="2137" t="str">
        <f>'Part VI-Revenues &amp; Expenses'!Q20</f>
        <v>No</v>
      </c>
      <c r="R860" s="2138"/>
      <c r="S860" s="2139"/>
      <c r="T860" s="2043"/>
      <c r="U860" s="2043"/>
      <c r="V860" s="2043"/>
      <c r="W860" s="2043"/>
      <c r="X860" s="1852" t="str">
        <f t="shared" si="2"/>
        <v/>
      </c>
      <c r="Y860" s="1852" t="str">
        <f t="shared" si="3"/>
        <v/>
      </c>
      <c r="Z860" s="1852" t="str">
        <f t="shared" si="4"/>
        <v/>
      </c>
      <c r="AA860" s="1852" t="str">
        <f t="shared" si="5"/>
        <v/>
      </c>
      <c r="AB860" s="1852" t="str">
        <f t="shared" si="6"/>
        <v/>
      </c>
      <c r="AC860" s="1852" t="str">
        <f t="shared" si="7"/>
        <v/>
      </c>
      <c r="AD860" s="1852" t="str">
        <f t="shared" si="8"/>
        <v/>
      </c>
      <c r="AE860" s="1852" t="str">
        <f t="shared" si="9"/>
        <v/>
      </c>
      <c r="AF860" s="1852" t="str">
        <f t="shared" si="10"/>
        <v/>
      </c>
      <c r="AG860" s="1852" t="str">
        <f t="shared" si="11"/>
        <v/>
      </c>
      <c r="AH860" s="1852" t="str">
        <f t="shared" si="12"/>
        <v/>
      </c>
      <c r="AI860" s="1852" t="str">
        <f t="shared" si="13"/>
        <v/>
      </c>
      <c r="AJ860" s="1852" t="str">
        <f t="shared" si="14"/>
        <v/>
      </c>
      <c r="AK860" s="1852" t="str">
        <f t="shared" si="15"/>
        <v/>
      </c>
      <c r="AL860" s="1852" t="str">
        <f t="shared" si="16"/>
        <v/>
      </c>
      <c r="AM860" s="1852" t="str">
        <f t="shared" si="17"/>
        <v/>
      </c>
      <c r="AN860" s="1852" t="str">
        <f t="shared" si="18"/>
        <v/>
      </c>
      <c r="AO860" s="1852" t="str">
        <f t="shared" si="19"/>
        <v/>
      </c>
      <c r="AP860" s="1852">
        <f t="shared" si="20"/>
        <v>4</v>
      </c>
      <c r="AQ860" s="1852" t="str">
        <f t="shared" si="21"/>
        <v/>
      </c>
      <c r="AR860" s="1852" t="str">
        <f t="shared" si="22"/>
        <v/>
      </c>
      <c r="AS860" s="1852" t="str">
        <f t="shared" si="23"/>
        <v/>
      </c>
      <c r="AT860" s="1852" t="str">
        <f t="shared" si="24"/>
        <v/>
      </c>
      <c r="AU860" s="1852" t="str">
        <f t="shared" si="25"/>
        <v/>
      </c>
      <c r="AV860" s="1852" t="str">
        <f t="shared" si="26"/>
        <v/>
      </c>
      <c r="AW860" s="1852" t="str">
        <f t="shared" si="27"/>
        <v/>
      </c>
      <c r="AX860" s="1852" t="str">
        <f t="shared" si="28"/>
        <v/>
      </c>
      <c r="AY860" s="1852" t="str">
        <f t="shared" si="29"/>
        <v/>
      </c>
      <c r="AZ860" s="1852" t="str">
        <f t="shared" si="30"/>
        <v/>
      </c>
      <c r="BA860" s="1852" t="str">
        <f t="shared" si="31"/>
        <v/>
      </c>
      <c r="BB860" s="1852" t="str">
        <f t="shared" si="32"/>
        <v/>
      </c>
      <c r="BC860" s="1852" t="str">
        <f t="shared" si="33"/>
        <v/>
      </c>
      <c r="BD860" s="1852" t="str">
        <f t="shared" si="34"/>
        <v/>
      </c>
      <c r="BE860" s="1852" t="str">
        <f t="shared" si="35"/>
        <v/>
      </c>
      <c r="BF860" s="1852" t="str">
        <f t="shared" si="36"/>
        <v/>
      </c>
      <c r="BG860" s="1852" t="str">
        <f t="shared" si="37"/>
        <v/>
      </c>
      <c r="BH860" s="1852" t="str">
        <f t="shared" si="38"/>
        <v/>
      </c>
      <c r="BI860" s="1852" t="str">
        <f t="shared" si="39"/>
        <v/>
      </c>
      <c r="BJ860" s="1852" t="str">
        <f t="shared" si="40"/>
        <v/>
      </c>
      <c r="BK860" s="1852" t="str">
        <f t="shared" si="41"/>
        <v/>
      </c>
      <c r="BL860" s="1852" t="str">
        <f t="shared" si="42"/>
        <v/>
      </c>
      <c r="BM860" s="1852" t="str">
        <f t="shared" si="43"/>
        <v/>
      </c>
      <c r="BN860" s="1852" t="str">
        <f t="shared" si="44"/>
        <v/>
      </c>
      <c r="BO860" s="1852" t="str">
        <f t="shared" si="45"/>
        <v/>
      </c>
      <c r="BP860" s="1852" t="str">
        <f t="shared" si="46"/>
        <v/>
      </c>
      <c r="BQ860" s="1852" t="str">
        <f t="shared" si="47"/>
        <v/>
      </c>
      <c r="BR860" s="1852" t="str">
        <f t="shared" si="48"/>
        <v/>
      </c>
      <c r="BS860" s="1852" t="str">
        <f t="shared" si="49"/>
        <v/>
      </c>
      <c r="BT860" s="1852" t="str">
        <f t="shared" si="50"/>
        <v/>
      </c>
      <c r="BU860" s="1852" t="str">
        <f t="shared" si="51"/>
        <v/>
      </c>
      <c r="BV860" s="1852" t="str">
        <f t="shared" si="52"/>
        <v/>
      </c>
      <c r="BW860" s="1852" t="str">
        <f t="shared" si="53"/>
        <v/>
      </c>
      <c r="BX860" s="1852" t="str">
        <f t="shared" si="54"/>
        <v/>
      </c>
      <c r="BY860" s="1852" t="str">
        <f t="shared" si="55"/>
        <v/>
      </c>
      <c r="BZ860" s="1852" t="str">
        <f t="shared" si="56"/>
        <v/>
      </c>
      <c r="CA860" s="1852" t="str">
        <f t="shared" si="57"/>
        <v/>
      </c>
      <c r="CB860" s="1852" t="str">
        <f t="shared" si="58"/>
        <v/>
      </c>
      <c r="CC860" s="1852" t="str">
        <f t="shared" si="59"/>
        <v/>
      </c>
      <c r="CD860" s="1852" t="str">
        <f t="shared" si="60"/>
        <v/>
      </c>
      <c r="CE860" s="1852" t="str">
        <f t="shared" si="61"/>
        <v/>
      </c>
      <c r="CF860" s="1852" t="str">
        <f t="shared" si="62"/>
        <v/>
      </c>
      <c r="CG860" s="1852" t="str">
        <f t="shared" si="63"/>
        <v/>
      </c>
      <c r="CH860" s="1852" t="str">
        <f t="shared" si="64"/>
        <v/>
      </c>
      <c r="CI860" s="1852" t="str">
        <f t="shared" si="65"/>
        <v/>
      </c>
      <c r="CJ860" s="1852" t="str">
        <f t="shared" si="66"/>
        <v/>
      </c>
      <c r="CK860" s="1852" t="str">
        <f t="shared" si="67"/>
        <v/>
      </c>
      <c r="CL860" s="1852" t="str">
        <f t="shared" si="68"/>
        <v/>
      </c>
      <c r="CM860" s="1852" t="str">
        <f t="shared" si="69"/>
        <v/>
      </c>
      <c r="CN860" s="1852" t="str">
        <f t="shared" si="70"/>
        <v/>
      </c>
      <c r="CO860" s="1852" t="str">
        <f t="shared" si="71"/>
        <v/>
      </c>
      <c r="CP860" s="1852" t="str">
        <f t="shared" si="72"/>
        <v/>
      </c>
      <c r="CQ860" s="1852" t="str">
        <f t="shared" si="73"/>
        <v/>
      </c>
      <c r="CR860" s="1852" t="str">
        <f t="shared" si="74"/>
        <v/>
      </c>
      <c r="CS860" s="1852" t="str">
        <f t="shared" si="75"/>
        <v/>
      </c>
      <c r="CT860" s="1852" t="str">
        <f t="shared" si="76"/>
        <v/>
      </c>
      <c r="CU860" s="1852" t="str">
        <f t="shared" si="77"/>
        <v/>
      </c>
      <c r="CV860" s="1852" t="str">
        <f t="shared" si="78"/>
        <v/>
      </c>
      <c r="CW860" s="1852" t="str">
        <f t="shared" si="79"/>
        <v/>
      </c>
      <c r="CX860" s="1852" t="str">
        <f t="shared" si="80"/>
        <v/>
      </c>
      <c r="CY860" s="1852" t="str">
        <f t="shared" si="81"/>
        <v/>
      </c>
      <c r="CZ860" s="1852" t="str">
        <f t="shared" si="82"/>
        <v/>
      </c>
      <c r="DA860" s="1852" t="str">
        <f t="shared" si="83"/>
        <v/>
      </c>
      <c r="DB860" s="1852" t="str">
        <f t="shared" si="84"/>
        <v/>
      </c>
      <c r="DC860" s="1852" t="str">
        <f t="shared" si="85"/>
        <v/>
      </c>
      <c r="DD860" s="1852" t="str">
        <f t="shared" si="86"/>
        <v/>
      </c>
      <c r="DE860" s="1852" t="str">
        <f t="shared" si="87"/>
        <v/>
      </c>
      <c r="DF860" s="1852" t="str">
        <f t="shared" si="88"/>
        <v/>
      </c>
      <c r="DG860" s="1852" t="str">
        <f t="shared" si="89"/>
        <v/>
      </c>
      <c r="DH860" s="1852" t="str">
        <f t="shared" si="90"/>
        <v/>
      </c>
      <c r="DI860" s="1852" t="str">
        <f t="shared" si="91"/>
        <v/>
      </c>
      <c r="DJ860" s="1852" t="str">
        <f t="shared" si="92"/>
        <v/>
      </c>
      <c r="DK860" s="1852" t="str">
        <f t="shared" si="93"/>
        <v/>
      </c>
      <c r="DL860" s="1852" t="str">
        <f t="shared" si="94"/>
        <v/>
      </c>
      <c r="DM860" s="1852" t="str">
        <f t="shared" si="95"/>
        <v/>
      </c>
      <c r="DN860" s="1852" t="str">
        <f t="shared" si="96"/>
        <v/>
      </c>
      <c r="DO860" s="1852" t="str">
        <f t="shared" si="97"/>
        <v/>
      </c>
      <c r="DP860" s="1852" t="str">
        <f t="shared" si="98"/>
        <v/>
      </c>
      <c r="DQ860" s="1852" t="str">
        <f t="shared" si="99"/>
        <v/>
      </c>
      <c r="DR860" s="1852" t="str">
        <f t="shared" si="100"/>
        <v/>
      </c>
      <c r="DS860" s="1852" t="str">
        <f t="shared" si="101"/>
        <v/>
      </c>
      <c r="DT860" s="1852" t="str">
        <f t="shared" si="102"/>
        <v/>
      </c>
      <c r="DU860" s="1852" t="str">
        <f t="shared" si="103"/>
        <v/>
      </c>
      <c r="DV860" s="1852" t="str">
        <f t="shared" si="104"/>
        <v/>
      </c>
      <c r="DW860" s="1852" t="str">
        <f t="shared" si="105"/>
        <v/>
      </c>
      <c r="DX860" s="1852" t="str">
        <f t="shared" si="106"/>
        <v/>
      </c>
      <c r="DY860" s="1852" t="str">
        <f t="shared" si="107"/>
        <v/>
      </c>
      <c r="DZ860" s="1852" t="str">
        <f t="shared" si="108"/>
        <v/>
      </c>
      <c r="EA860" s="1852" t="str">
        <f t="shared" si="109"/>
        <v/>
      </c>
      <c r="EB860" s="1852" t="str">
        <f t="shared" si="110"/>
        <v/>
      </c>
      <c r="EC860" s="1852" t="str">
        <f t="shared" si="111"/>
        <v/>
      </c>
      <c r="ED860" s="1852" t="str">
        <f t="shared" si="112"/>
        <v/>
      </c>
      <c r="EE860" s="1852" t="str">
        <f t="shared" si="113"/>
        <v/>
      </c>
      <c r="EF860" s="1852" t="str">
        <f t="shared" si="114"/>
        <v/>
      </c>
      <c r="EG860" s="1852" t="str">
        <f t="shared" si="115"/>
        <v/>
      </c>
      <c r="EH860" s="1852" t="str">
        <f t="shared" si="116"/>
        <v/>
      </c>
      <c r="EI860" s="1852" t="str">
        <f t="shared" si="117"/>
        <v/>
      </c>
      <c r="EJ860" s="1852" t="str">
        <f t="shared" si="118"/>
        <v/>
      </c>
      <c r="EK860" s="1852" t="str">
        <f t="shared" si="119"/>
        <v/>
      </c>
      <c r="EL860" s="1852" t="str">
        <f t="shared" si="120"/>
        <v/>
      </c>
      <c r="EM860" s="1852" t="str">
        <f t="shared" si="121"/>
        <v/>
      </c>
      <c r="EN860" s="1852" t="str">
        <f t="shared" si="122"/>
        <v/>
      </c>
      <c r="EO860" s="1852" t="str">
        <f t="shared" si="123"/>
        <v/>
      </c>
      <c r="EP860" s="1852" t="str">
        <f t="shared" si="124"/>
        <v/>
      </c>
      <c r="EQ860" s="1852" t="str">
        <f t="shared" si="125"/>
        <v/>
      </c>
      <c r="ER860" s="1852" t="str">
        <f t="shared" si="126"/>
        <v/>
      </c>
      <c r="ES860" s="1852" t="str">
        <f t="shared" si="127"/>
        <v/>
      </c>
      <c r="ET860" s="1852" t="str">
        <f t="shared" si="128"/>
        <v/>
      </c>
      <c r="EU860" s="1852" t="str">
        <f t="shared" si="129"/>
        <v/>
      </c>
      <c r="EV860" s="1852" t="str">
        <f t="shared" si="130"/>
        <v/>
      </c>
      <c r="EW860" s="1852" t="str">
        <f t="shared" si="131"/>
        <v/>
      </c>
      <c r="EX860" s="1852" t="str">
        <f t="shared" si="132"/>
        <v/>
      </c>
      <c r="EY860" s="1852" t="str">
        <f t="shared" si="133"/>
        <v/>
      </c>
      <c r="EZ860" s="1852" t="str">
        <f t="shared" si="134"/>
        <v/>
      </c>
      <c r="FA860" s="1852">
        <f t="shared" si="135"/>
        <v>5204</v>
      </c>
      <c r="FB860" s="1852" t="str">
        <f t="shared" si="136"/>
        <v/>
      </c>
      <c r="FC860" s="1852" t="str">
        <f t="shared" si="137"/>
        <v/>
      </c>
      <c r="FD860" s="1852" t="str">
        <f t="shared" si="138"/>
        <v/>
      </c>
      <c r="FE860" s="1852" t="str">
        <f t="shared" si="139"/>
        <v/>
      </c>
      <c r="FF860" s="1852" t="str">
        <f t="shared" si="140"/>
        <v/>
      </c>
      <c r="FG860" s="1852" t="str">
        <f t="shared" si="141"/>
        <v/>
      </c>
      <c r="FH860" s="1852" t="str">
        <f t="shared" si="142"/>
        <v/>
      </c>
      <c r="FI860" s="1852" t="str">
        <f t="shared" si="143"/>
        <v/>
      </c>
      <c r="FJ860" s="1852" t="str">
        <f t="shared" si="144"/>
        <v/>
      </c>
      <c r="FK860" s="1852" t="str">
        <f t="shared" si="145"/>
        <v/>
      </c>
      <c r="FL860" s="1852" t="str">
        <f t="shared" si="146"/>
        <v/>
      </c>
      <c r="FM860" s="1852" t="str">
        <f t="shared" si="147"/>
        <v/>
      </c>
      <c r="FN860" s="1852" t="str">
        <f t="shared" si="148"/>
        <v/>
      </c>
      <c r="FO860" s="1852" t="str">
        <f t="shared" si="149"/>
        <v/>
      </c>
      <c r="FP860" s="1852" t="str">
        <f t="shared" si="150"/>
        <v/>
      </c>
      <c r="FQ860" s="1852" t="str">
        <f t="shared" si="151"/>
        <v/>
      </c>
      <c r="FR860" s="1852" t="str">
        <f t="shared" si="152"/>
        <v/>
      </c>
      <c r="FS860" s="1852" t="str">
        <f t="shared" si="153"/>
        <v/>
      </c>
      <c r="FT860" s="1852" t="str">
        <f t="shared" si="154"/>
        <v/>
      </c>
      <c r="FU860" s="1852" t="str">
        <f t="shared" si="155"/>
        <v/>
      </c>
      <c r="FV860" s="1852" t="str">
        <f t="shared" si="156"/>
        <v/>
      </c>
      <c r="FW860" s="1852" t="str">
        <f t="shared" si="157"/>
        <v/>
      </c>
      <c r="FX860" s="1852" t="str">
        <f t="shared" si="158"/>
        <v/>
      </c>
      <c r="FY860" s="1852" t="str">
        <f t="shared" si="159"/>
        <v/>
      </c>
      <c r="FZ860" s="1852" t="str">
        <f t="shared" si="160"/>
        <v/>
      </c>
      <c r="GA860" s="1852" t="str">
        <f t="shared" si="161"/>
        <v/>
      </c>
      <c r="GB860" s="1852" t="str">
        <f t="shared" si="162"/>
        <v/>
      </c>
      <c r="GC860" s="1852" t="str">
        <f t="shared" si="163"/>
        <v/>
      </c>
      <c r="GD860" s="1852" t="str">
        <f t="shared" si="164"/>
        <v/>
      </c>
      <c r="GE860" s="1852" t="str">
        <f t="shared" si="165"/>
        <v/>
      </c>
      <c r="GF860" s="1852" t="str">
        <f t="shared" si="166"/>
        <v/>
      </c>
      <c r="GG860" s="1852" t="str">
        <f t="shared" si="167"/>
        <v/>
      </c>
      <c r="GH860" s="1852" t="str">
        <f t="shared" si="168"/>
        <v/>
      </c>
      <c r="GI860" s="1852" t="str">
        <f t="shared" si="169"/>
        <v/>
      </c>
      <c r="GJ860" s="1852">
        <f t="shared" si="170"/>
        <v>4</v>
      </c>
      <c r="GK860" s="1852" t="str">
        <f t="shared" si="171"/>
        <v/>
      </c>
      <c r="GL860" s="1852" t="str">
        <f t="shared" si="172"/>
        <v/>
      </c>
      <c r="GM860" s="1852" t="str">
        <f t="shared" si="173"/>
        <v/>
      </c>
      <c r="GN860" s="1852" t="str">
        <f t="shared" si="174"/>
        <v/>
      </c>
      <c r="GO860" s="1852" t="str">
        <f t="shared" si="175"/>
        <v/>
      </c>
      <c r="GP860" s="1852" t="str">
        <f t="shared" si="176"/>
        <v/>
      </c>
      <c r="GQ860" s="1852" t="str">
        <f t="shared" si="177"/>
        <v/>
      </c>
      <c r="GR860" s="1852" t="str">
        <f t="shared" si="178"/>
        <v/>
      </c>
      <c r="GS860" s="1852" t="str">
        <f t="shared" si="179"/>
        <v/>
      </c>
      <c r="GT860" s="1852" t="str">
        <f t="shared" si="180"/>
        <v/>
      </c>
      <c r="GU860" s="1852" t="str">
        <f t="shared" si="181"/>
        <v/>
      </c>
      <c r="GV860" s="1852" t="str">
        <f t="shared" si="182"/>
        <v/>
      </c>
      <c r="GW860" s="1852" t="str">
        <f t="shared" si="183"/>
        <v/>
      </c>
      <c r="GX860" s="1852" t="str">
        <f t="shared" si="184"/>
        <v/>
      </c>
      <c r="GY860" s="1852" t="str">
        <f t="shared" si="185"/>
        <v/>
      </c>
      <c r="GZ860" s="1852" t="str">
        <f t="shared" si="186"/>
        <v/>
      </c>
      <c r="HA860" s="1852" t="str">
        <f t="shared" si="187"/>
        <v/>
      </c>
      <c r="HB860" s="1852" t="str">
        <f t="shared" si="188"/>
        <v/>
      </c>
      <c r="HC860" s="1852" t="str">
        <f t="shared" si="189"/>
        <v/>
      </c>
      <c r="HD860" s="1852" t="str">
        <f t="shared" si="190"/>
        <v/>
      </c>
      <c r="HE860" s="1852" t="str">
        <f t="shared" si="191"/>
        <v/>
      </c>
      <c r="HF860" s="1852" t="str">
        <f t="shared" si="192"/>
        <v/>
      </c>
      <c r="HG860" s="1852" t="str">
        <f t="shared" si="193"/>
        <v/>
      </c>
      <c r="HH860" s="1852" t="str">
        <f t="shared" si="194"/>
        <v/>
      </c>
      <c r="HI860" s="1852" t="str">
        <f t="shared" si="195"/>
        <v/>
      </c>
      <c r="HJ860" s="1852" t="str">
        <f t="shared" si="196"/>
        <v/>
      </c>
      <c r="HK860" s="1852" t="str">
        <f t="shared" si="197"/>
        <v/>
      </c>
      <c r="HL860" s="1852" t="str">
        <f t="shared" si="198"/>
        <v/>
      </c>
      <c r="HM860" s="1852" t="str">
        <f t="shared" si="199"/>
        <v/>
      </c>
      <c r="HN860" s="1852" t="str">
        <f t="shared" si="200"/>
        <v/>
      </c>
      <c r="HO860" s="1852" t="str">
        <f t="shared" si="201"/>
        <v/>
      </c>
      <c r="HP860" s="1852" t="str">
        <f t="shared" si="202"/>
        <v/>
      </c>
      <c r="HQ860" s="1852" t="str">
        <f t="shared" si="203"/>
        <v/>
      </c>
      <c r="HR860" s="1852" t="str">
        <f t="shared" si="204"/>
        <v/>
      </c>
      <c r="HS860" s="1852" t="str">
        <f t="shared" si="205"/>
        <v/>
      </c>
      <c r="HT860" s="1852" t="str">
        <f t="shared" si="206"/>
        <v/>
      </c>
      <c r="HU860" s="1852" t="str">
        <f t="shared" si="207"/>
        <v/>
      </c>
      <c r="HV860" s="1852" t="str">
        <f t="shared" si="208"/>
        <v/>
      </c>
      <c r="HW860" s="1852" t="str">
        <f t="shared" si="209"/>
        <v/>
      </c>
      <c r="HX860" s="1852" t="str">
        <f t="shared" si="210"/>
        <v/>
      </c>
      <c r="HY860" s="1852" t="str">
        <f t="shared" si="211"/>
        <v/>
      </c>
      <c r="HZ860" s="2140" t="str">
        <f t="shared" si="212"/>
        <v/>
      </c>
      <c r="IA860" s="2140" t="str">
        <f t="shared" si="213"/>
        <v/>
      </c>
      <c r="IB860" s="2140" t="str">
        <f t="shared" si="214"/>
        <v/>
      </c>
      <c r="IC860" s="2140">
        <f t="shared" si="215"/>
        <v>4</v>
      </c>
      <c r="ID860" s="2140" t="str">
        <f t="shared" si="216"/>
        <v/>
      </c>
      <c r="IE860" s="2140" t="str">
        <f t="shared" si="217"/>
        <v/>
      </c>
      <c r="IF860" s="2140" t="str">
        <f t="shared" si="218"/>
        <v/>
      </c>
      <c r="IG860" s="2140" t="str">
        <f t="shared" si="219"/>
        <v/>
      </c>
      <c r="IH860" s="2140" t="str">
        <f t="shared" si="220"/>
        <v/>
      </c>
      <c r="II860" s="2140" t="str">
        <f t="shared" si="221"/>
        <v/>
      </c>
      <c r="IJ860" s="2140" t="str">
        <f t="shared" si="222"/>
        <v/>
      </c>
      <c r="IK860" s="2140" t="str">
        <f t="shared" si="223"/>
        <v/>
      </c>
      <c r="IL860" s="2140" t="str">
        <f t="shared" si="224"/>
        <v/>
      </c>
      <c r="IM860" s="2140" t="str">
        <f t="shared" si="225"/>
        <v/>
      </c>
      <c r="IN860" s="2140" t="str">
        <f t="shared" si="226"/>
        <v/>
      </c>
      <c r="IO860" s="2140" t="str">
        <f t="shared" si="227"/>
        <v/>
      </c>
      <c r="IP860" s="2140" t="str">
        <f t="shared" si="228"/>
        <v/>
      </c>
      <c r="IQ860" s="2140" t="str">
        <f t="shared" si="229"/>
        <v/>
      </c>
      <c r="IR860" s="2140" t="str">
        <f t="shared" si="230"/>
        <v/>
      </c>
      <c r="IS860" s="2140" t="str">
        <f t="shared" si="231"/>
        <v/>
      </c>
      <c r="IT860" s="2140" t="str">
        <f t="shared" si="232"/>
        <v/>
      </c>
      <c r="IU860" s="2140" t="str">
        <f t="shared" si="233"/>
        <v/>
      </c>
      <c r="IV860" s="2140" t="str">
        <f t="shared" si="234"/>
        <v/>
      </c>
      <c r="IW860" s="2140" t="str">
        <f t="shared" si="235"/>
        <v/>
      </c>
      <c r="IX860" s="2140" t="str">
        <f t="shared" si="236"/>
        <v/>
      </c>
      <c r="IY860" s="2140" t="str">
        <f t="shared" si="237"/>
        <v/>
      </c>
      <c r="IZ860" s="2140" t="str">
        <f t="shared" si="238"/>
        <v/>
      </c>
      <c r="JA860" s="2140" t="str">
        <f t="shared" si="239"/>
        <v/>
      </c>
      <c r="JB860" s="2140" t="str">
        <f t="shared" si="240"/>
        <v/>
      </c>
      <c r="JC860" s="2140" t="str">
        <f t="shared" si="241"/>
        <v/>
      </c>
      <c r="JD860" s="2140" t="str">
        <f t="shared" si="242"/>
        <v/>
      </c>
      <c r="JE860" s="2140" t="str">
        <f t="shared" si="243"/>
        <v/>
      </c>
      <c r="JF860" s="2140" t="str">
        <f t="shared" si="244"/>
        <v/>
      </c>
      <c r="JG860" s="2140" t="str">
        <f t="shared" si="245"/>
        <v/>
      </c>
      <c r="JH860" s="2140" t="str">
        <f t="shared" si="246"/>
        <v/>
      </c>
      <c r="JI860" s="2140" t="str">
        <f t="shared" si="247"/>
        <v/>
      </c>
      <c r="JJ860" s="2140" t="str">
        <f t="shared" si="248"/>
        <v/>
      </c>
      <c r="JK860" s="2140" t="str">
        <f t="shared" si="249"/>
        <v/>
      </c>
      <c r="JL860" s="2140" t="str">
        <f t="shared" si="250"/>
        <v/>
      </c>
      <c r="JM860" s="2140" t="str">
        <f t="shared" si="251"/>
        <v/>
      </c>
      <c r="JN860" s="2140" t="str">
        <f t="shared" si="252"/>
        <v/>
      </c>
      <c r="JO860" s="2140" t="str">
        <f t="shared" si="253"/>
        <v/>
      </c>
      <c r="JP860" s="2140" t="str">
        <f t="shared" si="254"/>
        <v/>
      </c>
      <c r="JQ860" s="2140" t="str">
        <f t="shared" si="255"/>
        <v/>
      </c>
      <c r="JR860" s="2140" t="str">
        <f t="shared" si="256"/>
        <v/>
      </c>
      <c r="JS860" s="2140" t="str">
        <f t="shared" si="257"/>
        <v/>
      </c>
      <c r="JT860" s="2140" t="str">
        <f t="shared" si="258"/>
        <v/>
      </c>
      <c r="JU860" s="2140" t="str">
        <f t="shared" si="259"/>
        <v/>
      </c>
      <c r="JV860" s="2140">
        <f t="shared" si="260"/>
        <v>4</v>
      </c>
      <c r="JW860" s="2140" t="str">
        <f t="shared" si="261"/>
        <v/>
      </c>
      <c r="JX860" s="2140" t="str">
        <f t="shared" si="262"/>
        <v/>
      </c>
      <c r="JY860" s="2140" t="str">
        <f t="shared" si="263"/>
        <v/>
      </c>
      <c r="JZ860" s="2140" t="str">
        <f t="shared" si="264"/>
        <v/>
      </c>
      <c r="KA860" s="2140" t="str">
        <f t="shared" si="265"/>
        <v/>
      </c>
      <c r="KB860" s="2140" t="str">
        <f t="shared" si="266"/>
        <v/>
      </c>
      <c r="KC860" s="2140" t="str">
        <f t="shared" si="267"/>
        <v/>
      </c>
      <c r="KD860" s="2140" t="str">
        <f t="shared" si="268"/>
        <v/>
      </c>
      <c r="KE860" s="2140" t="str">
        <f t="shared" si="269"/>
        <v/>
      </c>
      <c r="KF860" s="2140" t="str">
        <f t="shared" si="270"/>
        <v/>
      </c>
      <c r="KG860" s="2140" t="str">
        <f t="shared" si="271"/>
        <v/>
      </c>
      <c r="KH860" s="2140" t="str">
        <f t="shared" si="272"/>
        <v/>
      </c>
      <c r="KI860" s="2140" t="str">
        <f t="shared" si="273"/>
        <v/>
      </c>
      <c r="KJ860" s="2140" t="str">
        <f t="shared" si="274"/>
        <v/>
      </c>
      <c r="KK860" s="2140" t="str">
        <f t="shared" si="275"/>
        <v/>
      </c>
      <c r="KL860" s="2140" t="str">
        <f t="shared" si="276"/>
        <v/>
      </c>
      <c r="KM860" s="2140" t="str">
        <f t="shared" si="277"/>
        <v/>
      </c>
      <c r="KN860" s="2140" t="str">
        <f t="shared" si="278"/>
        <v/>
      </c>
      <c r="KO860" s="2140" t="str">
        <f t="shared" si="279"/>
        <v/>
      </c>
      <c r="KP860" s="2140" t="str">
        <f t="shared" si="280"/>
        <v/>
      </c>
      <c r="KQ860" s="2140" t="str">
        <f t="shared" si="281"/>
        <v/>
      </c>
      <c r="KR860" s="2140" t="str">
        <f t="shared" si="282"/>
        <v/>
      </c>
      <c r="KS860" s="2140" t="str">
        <f t="shared" si="283"/>
        <v/>
      </c>
      <c r="KT860" s="2140" t="str">
        <f t="shared" si="284"/>
        <v/>
      </c>
      <c r="KU860" s="2140" t="str">
        <f t="shared" si="285"/>
        <v/>
      </c>
      <c r="KV860" s="2140" t="str">
        <f t="shared" si="286"/>
        <v/>
      </c>
      <c r="KW860" s="2140" t="str">
        <f t="shared" si="287"/>
        <v/>
      </c>
      <c r="KX860" s="2140" t="str">
        <f t="shared" si="288"/>
        <v/>
      </c>
      <c r="KY860" s="2140" t="str">
        <f t="shared" si="289"/>
        <v/>
      </c>
      <c r="KZ860" s="2140" t="str">
        <f t="shared" si="290"/>
        <v/>
      </c>
      <c r="LA860" s="2140" t="str">
        <f t="shared" si="291"/>
        <v/>
      </c>
      <c r="LB860" s="2140" t="str">
        <f t="shared" si="292"/>
        <v/>
      </c>
      <c r="LC860" s="2140" t="str">
        <f t="shared" si="293"/>
        <v/>
      </c>
      <c r="LD860" s="2140" t="str">
        <f t="shared" si="294"/>
        <v/>
      </c>
      <c r="LE860" s="2140" t="str">
        <f t="shared" si="295"/>
        <v/>
      </c>
      <c r="LF860" s="2140" t="str">
        <f t="shared" si="296"/>
        <v/>
      </c>
      <c r="LG860" s="2051" t="str">
        <f t="shared" si="297"/>
        <v/>
      </c>
      <c r="LH860" s="2051" t="str">
        <f t="shared" si="298"/>
        <v/>
      </c>
      <c r="LI860" s="2051" t="str">
        <f t="shared" si="299"/>
        <v/>
      </c>
      <c r="LJ860" s="2051" t="str">
        <f t="shared" si="300"/>
        <v/>
      </c>
      <c r="LK860" s="2051" t="str">
        <f t="shared" si="301"/>
        <v/>
      </c>
      <c r="LL860" s="1852" t="str">
        <f t="shared" si="302"/>
        <v/>
      </c>
      <c r="LM860" s="1852" t="str">
        <f t="shared" si="303"/>
        <v/>
      </c>
      <c r="LN860" s="1852" t="str">
        <f t="shared" si="304"/>
        <v/>
      </c>
      <c r="LO860" s="1852" t="str">
        <f t="shared" si="305"/>
        <v/>
      </c>
      <c r="LP860" s="1852" t="str">
        <f t="shared" si="306"/>
        <v/>
      </c>
      <c r="LQ860" s="1852" t="str">
        <f t="shared" si="307"/>
        <v/>
      </c>
      <c r="LR860" s="1852" t="str">
        <f t="shared" si="308"/>
        <v/>
      </c>
      <c r="LS860" s="1852" t="str">
        <f t="shared" si="309"/>
        <v/>
      </c>
      <c r="LT860" s="1852" t="str">
        <f t="shared" si="310"/>
        <v/>
      </c>
      <c r="LU860" s="1852" t="str">
        <f t="shared" si="311"/>
        <v/>
      </c>
      <c r="LV860" s="1852" t="str">
        <f t="shared" si="312"/>
        <v/>
      </c>
      <c r="LW860" s="1852" t="str">
        <f t="shared" si="313"/>
        <v/>
      </c>
      <c r="LX860" s="1852" t="str">
        <f t="shared" si="314"/>
        <v/>
      </c>
      <c r="LY860" s="1852" t="str">
        <f t="shared" si="315"/>
        <v/>
      </c>
      <c r="LZ860" s="1852" t="str">
        <f t="shared" si="316"/>
        <v/>
      </c>
      <c r="MA860" s="1852" t="str">
        <f t="shared" si="317"/>
        <v/>
      </c>
      <c r="MB860" s="1852" t="str">
        <f t="shared" si="318"/>
        <v/>
      </c>
      <c r="MC860" s="1852" t="str">
        <f t="shared" si="319"/>
        <v/>
      </c>
      <c r="MD860" s="1852" t="str">
        <f t="shared" si="320"/>
        <v/>
      </c>
      <c r="ME860" s="1852" t="str">
        <f t="shared" si="321"/>
        <v/>
      </c>
      <c r="MF860" s="2051">
        <f t="shared" si="328"/>
        <v>0</v>
      </c>
      <c r="MG860" s="2051">
        <f t="shared" si="329"/>
        <v>0</v>
      </c>
      <c r="MH860" s="2051">
        <f t="shared" si="330"/>
        <v>0</v>
      </c>
      <c r="MI860" s="2051">
        <f t="shared" si="331"/>
        <v>0</v>
      </c>
      <c r="MJ860" s="2051">
        <f t="shared" si="332"/>
        <v>0</v>
      </c>
      <c r="MK860" s="2051">
        <f t="shared" si="333"/>
        <v>0</v>
      </c>
      <c r="ML860" s="2051">
        <f t="shared" si="334"/>
        <v>0</v>
      </c>
      <c r="MM860" s="2051">
        <f t="shared" si="335"/>
        <v>0</v>
      </c>
      <c r="MN860" s="2051">
        <f t="shared" si="336"/>
        <v>4</v>
      </c>
      <c r="MO860" s="2051">
        <f t="shared" si="337"/>
        <v>0</v>
      </c>
      <c r="MP860" s="2051">
        <f t="shared" si="322"/>
        <v>0</v>
      </c>
      <c r="MQ860" s="2051">
        <f t="shared" si="323"/>
        <v>0</v>
      </c>
      <c r="MR860" s="2051">
        <f t="shared" si="324"/>
        <v>0</v>
      </c>
      <c r="MS860" s="2051">
        <f t="shared" si="325"/>
        <v>0</v>
      </c>
      <c r="MT860" s="2051">
        <f t="shared" si="326"/>
        <v>0</v>
      </c>
      <c r="NP860" s="1924" t="s">
        <v>6729</v>
      </c>
    </row>
    <row r="861" spans="1:380" s="1852" customFormat="1" ht="13.9" customHeight="1">
      <c r="A861" s="2108" t="str">
        <f t="shared" si="327"/>
        <v/>
      </c>
      <c r="B861" s="2130">
        <f>'Part VI-Revenues &amp; Expenses'!B21</f>
        <v>60</v>
      </c>
      <c r="C861" s="2131">
        <f>'Part VI-Revenues &amp; Expenses'!C21</f>
        <v>1</v>
      </c>
      <c r="D861" s="2132">
        <f>'Part VI-Revenues &amp; Expenses'!D21</f>
        <v>1</v>
      </c>
      <c r="E861" s="2133">
        <f>'Part VI-Revenues &amp; Expenses'!E21</f>
        <v>4</v>
      </c>
      <c r="F861" s="2133">
        <f>'Part VI-Revenues &amp; Expenses'!F21</f>
        <v>830</v>
      </c>
      <c r="G861" s="2133">
        <f>'Part VI-Revenues &amp; Expenses'!G21</f>
        <v>810</v>
      </c>
      <c r="H861" s="2133">
        <f>'Part VI-Revenues &amp; Expenses'!H21</f>
        <v>649</v>
      </c>
      <c r="I861" s="2133">
        <f>'Part VI-Revenues &amp; Expenses'!I21</f>
        <v>0</v>
      </c>
      <c r="J861" s="2133">
        <f>'Part VI-Revenues &amp; Expenses'!J21</f>
        <v>94</v>
      </c>
      <c r="K861" s="2134">
        <f>'Part VI-Revenues &amp; Expenses'!K21</f>
        <v>0</v>
      </c>
      <c r="L861" s="2135">
        <f t="shared" si="0"/>
        <v>555</v>
      </c>
      <c r="M861" s="2135">
        <f t="shared" si="1"/>
        <v>2220</v>
      </c>
      <c r="N861" s="1916" t="str">
        <f>'Part VI-Revenues &amp; Expenses'!N21</f>
        <v>No</v>
      </c>
      <c r="O861" s="2136" t="str">
        <f>'Part VI-Revenues &amp; Expenses'!O21</f>
        <v>Low-Rise Apt</v>
      </c>
      <c r="P861" s="1916" t="str">
        <f>'Part VI-Revenues &amp; Expenses'!P21</f>
        <v>New Construction</v>
      </c>
      <c r="Q861" s="2137" t="str">
        <f>'Part VI-Revenues &amp; Expenses'!Q21</f>
        <v>No</v>
      </c>
      <c r="R861" s="2138"/>
      <c r="S861" s="2139"/>
      <c r="T861" s="2043"/>
      <c r="U861" s="2043"/>
      <c r="V861" s="2043"/>
      <c r="W861" s="2043"/>
      <c r="X861" s="1852" t="str">
        <f t="shared" si="2"/>
        <v/>
      </c>
      <c r="Y861" s="1852" t="str">
        <f t="shared" si="3"/>
        <v/>
      </c>
      <c r="Z861" s="1852" t="str">
        <f t="shared" si="4"/>
        <v/>
      </c>
      <c r="AA861" s="1852" t="str">
        <f t="shared" si="5"/>
        <v/>
      </c>
      <c r="AB861" s="1852" t="str">
        <f t="shared" si="6"/>
        <v/>
      </c>
      <c r="AC861" s="1852" t="str">
        <f t="shared" si="7"/>
        <v/>
      </c>
      <c r="AD861" s="1852" t="str">
        <f t="shared" si="8"/>
        <v/>
      </c>
      <c r="AE861" s="1852" t="str">
        <f t="shared" si="9"/>
        <v/>
      </c>
      <c r="AF861" s="1852" t="str">
        <f t="shared" si="10"/>
        <v/>
      </c>
      <c r="AG861" s="1852" t="str">
        <f t="shared" si="11"/>
        <v/>
      </c>
      <c r="AH861" s="1852" t="str">
        <f t="shared" si="12"/>
        <v/>
      </c>
      <c r="AI861" s="1852">
        <f t="shared" si="13"/>
        <v>4</v>
      </c>
      <c r="AJ861" s="1852" t="str">
        <f t="shared" si="14"/>
        <v/>
      </c>
      <c r="AK861" s="1852" t="str">
        <f t="shared" si="15"/>
        <v/>
      </c>
      <c r="AL861" s="1852" t="str">
        <f t="shared" si="16"/>
        <v/>
      </c>
      <c r="AM861" s="1852" t="str">
        <f t="shared" si="17"/>
        <v/>
      </c>
      <c r="AN861" s="1852" t="str">
        <f t="shared" si="18"/>
        <v/>
      </c>
      <c r="AO861" s="1852" t="str">
        <f t="shared" si="19"/>
        <v/>
      </c>
      <c r="AP861" s="1852" t="str">
        <f t="shared" si="20"/>
        <v/>
      </c>
      <c r="AQ861" s="1852" t="str">
        <f t="shared" si="21"/>
        <v/>
      </c>
      <c r="AR861" s="1852" t="str">
        <f t="shared" si="22"/>
        <v/>
      </c>
      <c r="AS861" s="1852" t="str">
        <f t="shared" si="23"/>
        <v/>
      </c>
      <c r="AT861" s="1852" t="str">
        <f t="shared" si="24"/>
        <v/>
      </c>
      <c r="AU861" s="1852" t="str">
        <f t="shared" si="25"/>
        <v/>
      </c>
      <c r="AV861" s="1852" t="str">
        <f t="shared" si="26"/>
        <v/>
      </c>
      <c r="AW861" s="1852" t="str">
        <f t="shared" si="27"/>
        <v/>
      </c>
      <c r="AX861" s="1852" t="str">
        <f t="shared" si="28"/>
        <v/>
      </c>
      <c r="AY861" s="1852" t="str">
        <f t="shared" si="29"/>
        <v/>
      </c>
      <c r="AZ861" s="1852" t="str">
        <f t="shared" si="30"/>
        <v/>
      </c>
      <c r="BA861" s="1852" t="str">
        <f t="shared" si="31"/>
        <v/>
      </c>
      <c r="BB861" s="1852" t="str">
        <f t="shared" si="32"/>
        <v/>
      </c>
      <c r="BC861" s="1852" t="str">
        <f t="shared" si="33"/>
        <v/>
      </c>
      <c r="BD861" s="1852" t="str">
        <f t="shared" si="34"/>
        <v/>
      </c>
      <c r="BE861" s="1852" t="str">
        <f t="shared" si="35"/>
        <v/>
      </c>
      <c r="BF861" s="1852" t="str">
        <f t="shared" si="36"/>
        <v/>
      </c>
      <c r="BG861" s="1852" t="str">
        <f t="shared" si="37"/>
        <v/>
      </c>
      <c r="BH861" s="1852" t="str">
        <f t="shared" si="38"/>
        <v/>
      </c>
      <c r="BI861" s="1852" t="str">
        <f t="shared" si="39"/>
        <v/>
      </c>
      <c r="BJ861" s="1852" t="str">
        <f t="shared" si="40"/>
        <v/>
      </c>
      <c r="BK861" s="1852" t="str">
        <f t="shared" si="41"/>
        <v/>
      </c>
      <c r="BL861" s="1852" t="str">
        <f t="shared" si="42"/>
        <v/>
      </c>
      <c r="BM861" s="1852" t="str">
        <f t="shared" si="43"/>
        <v/>
      </c>
      <c r="BN861" s="1852" t="str">
        <f t="shared" si="44"/>
        <v/>
      </c>
      <c r="BO861" s="1852" t="str">
        <f t="shared" si="45"/>
        <v/>
      </c>
      <c r="BP861" s="1852" t="str">
        <f t="shared" si="46"/>
        <v/>
      </c>
      <c r="BQ861" s="1852" t="str">
        <f t="shared" si="47"/>
        <v/>
      </c>
      <c r="BR861" s="1852" t="str">
        <f t="shared" si="48"/>
        <v/>
      </c>
      <c r="BS861" s="1852" t="str">
        <f t="shared" si="49"/>
        <v/>
      </c>
      <c r="BT861" s="1852" t="str">
        <f t="shared" si="50"/>
        <v/>
      </c>
      <c r="BU861" s="1852" t="str">
        <f t="shared" si="51"/>
        <v/>
      </c>
      <c r="BV861" s="1852" t="str">
        <f t="shared" si="52"/>
        <v/>
      </c>
      <c r="BW861" s="1852" t="str">
        <f t="shared" si="53"/>
        <v/>
      </c>
      <c r="BX861" s="1852" t="str">
        <f t="shared" si="54"/>
        <v/>
      </c>
      <c r="BY861" s="1852" t="str">
        <f t="shared" si="55"/>
        <v/>
      </c>
      <c r="BZ861" s="1852" t="str">
        <f t="shared" si="56"/>
        <v/>
      </c>
      <c r="CA861" s="1852" t="str">
        <f t="shared" si="57"/>
        <v/>
      </c>
      <c r="CB861" s="1852" t="str">
        <f t="shared" si="58"/>
        <v/>
      </c>
      <c r="CC861" s="1852" t="str">
        <f t="shared" si="59"/>
        <v/>
      </c>
      <c r="CD861" s="1852" t="str">
        <f t="shared" si="60"/>
        <v/>
      </c>
      <c r="CE861" s="1852" t="str">
        <f t="shared" si="61"/>
        <v/>
      </c>
      <c r="CF861" s="1852" t="str">
        <f t="shared" si="62"/>
        <v/>
      </c>
      <c r="CG861" s="1852" t="str">
        <f t="shared" si="63"/>
        <v/>
      </c>
      <c r="CH861" s="1852" t="str">
        <f t="shared" si="64"/>
        <v/>
      </c>
      <c r="CI861" s="1852" t="str">
        <f t="shared" si="65"/>
        <v/>
      </c>
      <c r="CJ861" s="1852" t="str">
        <f t="shared" si="66"/>
        <v/>
      </c>
      <c r="CK861" s="1852" t="str">
        <f t="shared" si="67"/>
        <v/>
      </c>
      <c r="CL861" s="1852" t="str">
        <f t="shared" si="68"/>
        <v/>
      </c>
      <c r="CM861" s="1852" t="str">
        <f t="shared" si="69"/>
        <v/>
      </c>
      <c r="CN861" s="1852" t="str">
        <f t="shared" si="70"/>
        <v/>
      </c>
      <c r="CO861" s="1852" t="str">
        <f t="shared" si="71"/>
        <v/>
      </c>
      <c r="CP861" s="1852" t="str">
        <f t="shared" si="72"/>
        <v/>
      </c>
      <c r="CQ861" s="1852" t="str">
        <f t="shared" si="73"/>
        <v/>
      </c>
      <c r="CR861" s="1852" t="str">
        <f t="shared" si="74"/>
        <v/>
      </c>
      <c r="CS861" s="1852" t="str">
        <f t="shared" si="75"/>
        <v/>
      </c>
      <c r="CT861" s="1852" t="str">
        <f t="shared" si="76"/>
        <v/>
      </c>
      <c r="CU861" s="1852" t="str">
        <f t="shared" si="77"/>
        <v/>
      </c>
      <c r="CV861" s="1852" t="str">
        <f t="shared" si="78"/>
        <v/>
      </c>
      <c r="CW861" s="1852" t="str">
        <f t="shared" si="79"/>
        <v/>
      </c>
      <c r="CX861" s="1852" t="str">
        <f t="shared" si="80"/>
        <v/>
      </c>
      <c r="CY861" s="1852" t="str">
        <f t="shared" si="81"/>
        <v/>
      </c>
      <c r="CZ861" s="1852" t="str">
        <f t="shared" si="82"/>
        <v/>
      </c>
      <c r="DA861" s="1852" t="str">
        <f t="shared" si="83"/>
        <v/>
      </c>
      <c r="DB861" s="1852" t="str">
        <f t="shared" si="84"/>
        <v/>
      </c>
      <c r="DC861" s="1852" t="str">
        <f t="shared" si="85"/>
        <v/>
      </c>
      <c r="DD861" s="1852" t="str">
        <f t="shared" si="86"/>
        <v/>
      </c>
      <c r="DE861" s="1852" t="str">
        <f t="shared" si="87"/>
        <v/>
      </c>
      <c r="DF861" s="1852" t="str">
        <f t="shared" si="88"/>
        <v/>
      </c>
      <c r="DG861" s="1852" t="str">
        <f t="shared" si="89"/>
        <v/>
      </c>
      <c r="DH861" s="1852" t="str">
        <f t="shared" si="90"/>
        <v/>
      </c>
      <c r="DI861" s="1852" t="str">
        <f t="shared" si="91"/>
        <v/>
      </c>
      <c r="DJ861" s="1852" t="str">
        <f t="shared" si="92"/>
        <v/>
      </c>
      <c r="DK861" s="1852" t="str">
        <f t="shared" si="93"/>
        <v/>
      </c>
      <c r="DL861" s="1852" t="str">
        <f t="shared" si="94"/>
        <v/>
      </c>
      <c r="DM861" s="1852" t="str">
        <f t="shared" si="95"/>
        <v/>
      </c>
      <c r="DN861" s="1852" t="str">
        <f t="shared" si="96"/>
        <v/>
      </c>
      <c r="DO861" s="1852" t="str">
        <f t="shared" si="97"/>
        <v/>
      </c>
      <c r="DP861" s="1852" t="str">
        <f t="shared" si="98"/>
        <v/>
      </c>
      <c r="DQ861" s="1852" t="str">
        <f t="shared" si="99"/>
        <v/>
      </c>
      <c r="DR861" s="1852" t="str">
        <f t="shared" si="100"/>
        <v/>
      </c>
      <c r="DS861" s="1852" t="str">
        <f t="shared" si="101"/>
        <v/>
      </c>
      <c r="DT861" s="1852" t="str">
        <f t="shared" si="102"/>
        <v/>
      </c>
      <c r="DU861" s="1852" t="str">
        <f t="shared" si="103"/>
        <v/>
      </c>
      <c r="DV861" s="1852" t="str">
        <f t="shared" si="104"/>
        <v/>
      </c>
      <c r="DW861" s="1852" t="str">
        <f t="shared" si="105"/>
        <v/>
      </c>
      <c r="DX861" s="1852" t="str">
        <f t="shared" si="106"/>
        <v/>
      </c>
      <c r="DY861" s="1852" t="str">
        <f t="shared" si="107"/>
        <v/>
      </c>
      <c r="DZ861" s="1852" t="str">
        <f t="shared" si="108"/>
        <v/>
      </c>
      <c r="EA861" s="1852" t="str">
        <f t="shared" si="109"/>
        <v/>
      </c>
      <c r="EB861" s="1852" t="str">
        <f t="shared" si="110"/>
        <v/>
      </c>
      <c r="EC861" s="1852" t="str">
        <f t="shared" si="111"/>
        <v/>
      </c>
      <c r="ED861" s="1852" t="str">
        <f t="shared" si="112"/>
        <v/>
      </c>
      <c r="EE861" s="1852" t="str">
        <f t="shared" si="113"/>
        <v/>
      </c>
      <c r="EF861" s="1852" t="str">
        <f t="shared" si="114"/>
        <v/>
      </c>
      <c r="EG861" s="1852" t="str">
        <f t="shared" si="115"/>
        <v/>
      </c>
      <c r="EH861" s="1852" t="str">
        <f t="shared" si="116"/>
        <v/>
      </c>
      <c r="EI861" s="1852" t="str">
        <f t="shared" si="117"/>
        <v/>
      </c>
      <c r="EJ861" s="1852" t="str">
        <f t="shared" si="118"/>
        <v/>
      </c>
      <c r="EK861" s="1852" t="str">
        <f t="shared" si="119"/>
        <v/>
      </c>
      <c r="EL861" s="1852" t="str">
        <f t="shared" si="120"/>
        <v/>
      </c>
      <c r="EM861" s="1852" t="str">
        <f t="shared" si="121"/>
        <v/>
      </c>
      <c r="EN861" s="1852" t="str">
        <f t="shared" si="122"/>
        <v/>
      </c>
      <c r="EO861" s="1852" t="str">
        <f t="shared" si="123"/>
        <v/>
      </c>
      <c r="EP861" s="1852" t="str">
        <f t="shared" si="124"/>
        <v/>
      </c>
      <c r="EQ861" s="1852" t="str">
        <f t="shared" si="125"/>
        <v/>
      </c>
      <c r="ER861" s="1852" t="str">
        <f t="shared" si="126"/>
        <v/>
      </c>
      <c r="ES861" s="1852" t="str">
        <f t="shared" si="127"/>
        <v/>
      </c>
      <c r="ET861" s="1852">
        <f t="shared" si="128"/>
        <v>3320</v>
      </c>
      <c r="EU861" s="1852" t="str">
        <f t="shared" si="129"/>
        <v/>
      </c>
      <c r="EV861" s="1852" t="str">
        <f t="shared" si="130"/>
        <v/>
      </c>
      <c r="EW861" s="1852" t="str">
        <f t="shared" si="131"/>
        <v/>
      </c>
      <c r="EX861" s="1852" t="str">
        <f t="shared" si="132"/>
        <v/>
      </c>
      <c r="EY861" s="1852" t="str">
        <f t="shared" si="133"/>
        <v/>
      </c>
      <c r="EZ861" s="1852" t="str">
        <f t="shared" si="134"/>
        <v/>
      </c>
      <c r="FA861" s="1852" t="str">
        <f t="shared" si="135"/>
        <v/>
      </c>
      <c r="FB861" s="1852" t="str">
        <f t="shared" si="136"/>
        <v/>
      </c>
      <c r="FC861" s="1852" t="str">
        <f t="shared" si="137"/>
        <v/>
      </c>
      <c r="FD861" s="1852" t="str">
        <f t="shared" si="138"/>
        <v/>
      </c>
      <c r="FE861" s="1852" t="str">
        <f t="shared" si="139"/>
        <v/>
      </c>
      <c r="FF861" s="1852" t="str">
        <f t="shared" si="140"/>
        <v/>
      </c>
      <c r="FG861" s="1852" t="str">
        <f t="shared" si="141"/>
        <v/>
      </c>
      <c r="FH861" s="1852" t="str">
        <f t="shared" si="142"/>
        <v/>
      </c>
      <c r="FI861" s="1852" t="str">
        <f t="shared" si="143"/>
        <v/>
      </c>
      <c r="FJ861" s="1852" t="str">
        <f t="shared" si="144"/>
        <v/>
      </c>
      <c r="FK861" s="1852" t="str">
        <f t="shared" si="145"/>
        <v/>
      </c>
      <c r="FL861" s="1852" t="str">
        <f t="shared" si="146"/>
        <v/>
      </c>
      <c r="FM861" s="1852" t="str">
        <f t="shared" si="147"/>
        <v/>
      </c>
      <c r="FN861" s="1852" t="str">
        <f t="shared" si="148"/>
        <v/>
      </c>
      <c r="FO861" s="1852" t="str">
        <f t="shared" si="149"/>
        <v/>
      </c>
      <c r="FP861" s="1852" t="str">
        <f t="shared" si="150"/>
        <v/>
      </c>
      <c r="FQ861" s="1852" t="str">
        <f t="shared" si="151"/>
        <v/>
      </c>
      <c r="FR861" s="1852" t="str">
        <f t="shared" si="152"/>
        <v/>
      </c>
      <c r="FS861" s="1852" t="str">
        <f t="shared" si="153"/>
        <v/>
      </c>
      <c r="FT861" s="1852" t="str">
        <f t="shared" si="154"/>
        <v/>
      </c>
      <c r="FU861" s="1852" t="str">
        <f t="shared" si="155"/>
        <v/>
      </c>
      <c r="FV861" s="1852" t="str">
        <f t="shared" si="156"/>
        <v/>
      </c>
      <c r="FW861" s="1852" t="str">
        <f t="shared" si="157"/>
        <v/>
      </c>
      <c r="FX861" s="1852" t="str">
        <f t="shared" si="158"/>
        <v/>
      </c>
      <c r="FY861" s="1852" t="str">
        <f t="shared" si="159"/>
        <v/>
      </c>
      <c r="FZ861" s="1852" t="str">
        <f t="shared" si="160"/>
        <v/>
      </c>
      <c r="GA861" s="1852" t="str">
        <f t="shared" si="161"/>
        <v/>
      </c>
      <c r="GB861" s="1852" t="str">
        <f t="shared" si="162"/>
        <v/>
      </c>
      <c r="GC861" s="1852" t="str">
        <f t="shared" si="163"/>
        <v/>
      </c>
      <c r="GD861" s="1852" t="str">
        <f t="shared" si="164"/>
        <v/>
      </c>
      <c r="GE861" s="1852" t="str">
        <f t="shared" si="165"/>
        <v/>
      </c>
      <c r="GF861" s="1852" t="str">
        <f t="shared" si="166"/>
        <v/>
      </c>
      <c r="GG861" s="1852" t="str">
        <f t="shared" si="167"/>
        <v/>
      </c>
      <c r="GH861" s="1852">
        <f t="shared" si="168"/>
        <v>4</v>
      </c>
      <c r="GI861" s="1852" t="str">
        <f t="shared" si="169"/>
        <v/>
      </c>
      <c r="GJ861" s="1852" t="str">
        <f t="shared" si="170"/>
        <v/>
      </c>
      <c r="GK861" s="1852" t="str">
        <f t="shared" si="171"/>
        <v/>
      </c>
      <c r="GL861" s="1852" t="str">
        <f t="shared" si="172"/>
        <v/>
      </c>
      <c r="GM861" s="1852" t="str">
        <f t="shared" si="173"/>
        <v/>
      </c>
      <c r="GN861" s="1852" t="str">
        <f t="shared" si="174"/>
        <v/>
      </c>
      <c r="GO861" s="1852" t="str">
        <f t="shared" si="175"/>
        <v/>
      </c>
      <c r="GP861" s="1852" t="str">
        <f t="shared" si="176"/>
        <v/>
      </c>
      <c r="GQ861" s="1852" t="str">
        <f t="shared" si="177"/>
        <v/>
      </c>
      <c r="GR861" s="1852" t="str">
        <f t="shared" si="178"/>
        <v/>
      </c>
      <c r="GS861" s="1852" t="str">
        <f t="shared" si="179"/>
        <v/>
      </c>
      <c r="GT861" s="1852" t="str">
        <f t="shared" si="180"/>
        <v/>
      </c>
      <c r="GU861" s="1852" t="str">
        <f t="shared" si="181"/>
        <v/>
      </c>
      <c r="GV861" s="1852" t="str">
        <f t="shared" si="182"/>
        <v/>
      </c>
      <c r="GW861" s="1852" t="str">
        <f t="shared" si="183"/>
        <v/>
      </c>
      <c r="GX861" s="1852" t="str">
        <f t="shared" si="184"/>
        <v/>
      </c>
      <c r="GY861" s="1852" t="str">
        <f t="shared" si="185"/>
        <v/>
      </c>
      <c r="GZ861" s="1852" t="str">
        <f t="shared" si="186"/>
        <v/>
      </c>
      <c r="HA861" s="1852" t="str">
        <f t="shared" si="187"/>
        <v/>
      </c>
      <c r="HB861" s="1852" t="str">
        <f t="shared" si="188"/>
        <v/>
      </c>
      <c r="HC861" s="1852" t="str">
        <f t="shared" si="189"/>
        <v/>
      </c>
      <c r="HD861" s="1852" t="str">
        <f t="shared" si="190"/>
        <v/>
      </c>
      <c r="HE861" s="1852" t="str">
        <f t="shared" si="191"/>
        <v/>
      </c>
      <c r="HF861" s="1852" t="str">
        <f t="shared" si="192"/>
        <v/>
      </c>
      <c r="HG861" s="1852" t="str">
        <f t="shared" si="193"/>
        <v/>
      </c>
      <c r="HH861" s="1852" t="str">
        <f t="shared" si="194"/>
        <v/>
      </c>
      <c r="HI861" s="1852" t="str">
        <f t="shared" si="195"/>
        <v/>
      </c>
      <c r="HJ861" s="1852" t="str">
        <f t="shared" si="196"/>
        <v/>
      </c>
      <c r="HK861" s="1852" t="str">
        <f t="shared" si="197"/>
        <v/>
      </c>
      <c r="HL861" s="1852" t="str">
        <f t="shared" si="198"/>
        <v/>
      </c>
      <c r="HM861" s="1852" t="str">
        <f t="shared" si="199"/>
        <v/>
      </c>
      <c r="HN861" s="1852" t="str">
        <f t="shared" si="200"/>
        <v/>
      </c>
      <c r="HO861" s="1852" t="str">
        <f t="shared" si="201"/>
        <v/>
      </c>
      <c r="HP861" s="1852" t="str">
        <f t="shared" si="202"/>
        <v/>
      </c>
      <c r="HQ861" s="1852" t="str">
        <f t="shared" si="203"/>
        <v/>
      </c>
      <c r="HR861" s="1852" t="str">
        <f t="shared" si="204"/>
        <v/>
      </c>
      <c r="HS861" s="1852" t="str">
        <f t="shared" si="205"/>
        <v/>
      </c>
      <c r="HT861" s="1852" t="str">
        <f t="shared" si="206"/>
        <v/>
      </c>
      <c r="HU861" s="1852" t="str">
        <f t="shared" si="207"/>
        <v/>
      </c>
      <c r="HV861" s="1852" t="str">
        <f t="shared" si="208"/>
        <v/>
      </c>
      <c r="HW861" s="1852" t="str">
        <f t="shared" si="209"/>
        <v/>
      </c>
      <c r="HX861" s="1852" t="str">
        <f t="shared" si="210"/>
        <v/>
      </c>
      <c r="HY861" s="1852" t="str">
        <f t="shared" si="211"/>
        <v/>
      </c>
      <c r="HZ861" s="2140" t="str">
        <f t="shared" si="212"/>
        <v/>
      </c>
      <c r="IA861" s="2140">
        <f t="shared" si="213"/>
        <v>4</v>
      </c>
      <c r="IB861" s="2140" t="str">
        <f t="shared" si="214"/>
        <v/>
      </c>
      <c r="IC861" s="2140" t="str">
        <f t="shared" si="215"/>
        <v/>
      </c>
      <c r="ID861" s="2140" t="str">
        <f t="shared" si="216"/>
        <v/>
      </c>
      <c r="IE861" s="2140" t="str">
        <f t="shared" si="217"/>
        <v/>
      </c>
      <c r="IF861" s="2140" t="str">
        <f t="shared" si="218"/>
        <v/>
      </c>
      <c r="IG861" s="2140" t="str">
        <f t="shared" si="219"/>
        <v/>
      </c>
      <c r="IH861" s="2140" t="str">
        <f t="shared" si="220"/>
        <v/>
      </c>
      <c r="II861" s="2140" t="str">
        <f t="shared" si="221"/>
        <v/>
      </c>
      <c r="IJ861" s="2140" t="str">
        <f t="shared" si="222"/>
        <v/>
      </c>
      <c r="IK861" s="2140" t="str">
        <f t="shared" si="223"/>
        <v/>
      </c>
      <c r="IL861" s="2140" t="str">
        <f t="shared" si="224"/>
        <v/>
      </c>
      <c r="IM861" s="2140" t="str">
        <f t="shared" si="225"/>
        <v/>
      </c>
      <c r="IN861" s="2140" t="str">
        <f t="shared" si="226"/>
        <v/>
      </c>
      <c r="IO861" s="2140" t="str">
        <f t="shared" si="227"/>
        <v/>
      </c>
      <c r="IP861" s="2140" t="str">
        <f t="shared" si="228"/>
        <v/>
      </c>
      <c r="IQ861" s="2140" t="str">
        <f t="shared" si="229"/>
        <v/>
      </c>
      <c r="IR861" s="2140" t="str">
        <f t="shared" si="230"/>
        <v/>
      </c>
      <c r="IS861" s="2140" t="str">
        <f t="shared" si="231"/>
        <v/>
      </c>
      <c r="IT861" s="2140" t="str">
        <f t="shared" si="232"/>
        <v/>
      </c>
      <c r="IU861" s="2140" t="str">
        <f t="shared" si="233"/>
        <v/>
      </c>
      <c r="IV861" s="2140" t="str">
        <f t="shared" si="234"/>
        <v/>
      </c>
      <c r="IW861" s="2140" t="str">
        <f t="shared" si="235"/>
        <v/>
      </c>
      <c r="IX861" s="2140" t="str">
        <f t="shared" si="236"/>
        <v/>
      </c>
      <c r="IY861" s="2140" t="str">
        <f t="shared" si="237"/>
        <v/>
      </c>
      <c r="IZ861" s="2140" t="str">
        <f t="shared" si="238"/>
        <v/>
      </c>
      <c r="JA861" s="2140" t="str">
        <f t="shared" si="239"/>
        <v/>
      </c>
      <c r="JB861" s="2140" t="str">
        <f t="shared" si="240"/>
        <v/>
      </c>
      <c r="JC861" s="2140" t="str">
        <f t="shared" si="241"/>
        <v/>
      </c>
      <c r="JD861" s="2140" t="str">
        <f t="shared" si="242"/>
        <v/>
      </c>
      <c r="JE861" s="2140" t="str">
        <f t="shared" si="243"/>
        <v/>
      </c>
      <c r="JF861" s="2140" t="str">
        <f t="shared" si="244"/>
        <v/>
      </c>
      <c r="JG861" s="2140" t="str">
        <f t="shared" si="245"/>
        <v/>
      </c>
      <c r="JH861" s="2140" t="str">
        <f t="shared" si="246"/>
        <v/>
      </c>
      <c r="JI861" s="2140" t="str">
        <f t="shared" si="247"/>
        <v/>
      </c>
      <c r="JJ861" s="2140" t="str">
        <f t="shared" si="248"/>
        <v/>
      </c>
      <c r="JK861" s="2140" t="str">
        <f t="shared" si="249"/>
        <v/>
      </c>
      <c r="JL861" s="2140" t="str">
        <f t="shared" si="250"/>
        <v/>
      </c>
      <c r="JM861" s="2140" t="str">
        <f t="shared" si="251"/>
        <v/>
      </c>
      <c r="JN861" s="2140" t="str">
        <f t="shared" si="252"/>
        <v/>
      </c>
      <c r="JO861" s="2140" t="str">
        <f t="shared" si="253"/>
        <v/>
      </c>
      <c r="JP861" s="2140" t="str">
        <f t="shared" si="254"/>
        <v/>
      </c>
      <c r="JQ861" s="2140" t="str">
        <f t="shared" si="255"/>
        <v/>
      </c>
      <c r="JR861" s="2140" t="str">
        <f t="shared" si="256"/>
        <v/>
      </c>
      <c r="JS861" s="2140" t="str">
        <f t="shared" si="257"/>
        <v/>
      </c>
      <c r="JT861" s="2140">
        <f t="shared" si="258"/>
        <v>4</v>
      </c>
      <c r="JU861" s="2140" t="str">
        <f t="shared" si="259"/>
        <v/>
      </c>
      <c r="JV861" s="2140" t="str">
        <f t="shared" si="260"/>
        <v/>
      </c>
      <c r="JW861" s="2140" t="str">
        <f t="shared" si="261"/>
        <v/>
      </c>
      <c r="JX861" s="2140" t="str">
        <f t="shared" si="262"/>
        <v/>
      </c>
      <c r="JY861" s="2140" t="str">
        <f t="shared" si="263"/>
        <v/>
      </c>
      <c r="JZ861" s="2140" t="str">
        <f t="shared" si="264"/>
        <v/>
      </c>
      <c r="KA861" s="2140" t="str">
        <f t="shared" si="265"/>
        <v/>
      </c>
      <c r="KB861" s="2140" t="str">
        <f t="shared" si="266"/>
        <v/>
      </c>
      <c r="KC861" s="2140" t="str">
        <f t="shared" si="267"/>
        <v/>
      </c>
      <c r="KD861" s="2140" t="str">
        <f t="shared" si="268"/>
        <v/>
      </c>
      <c r="KE861" s="2140" t="str">
        <f t="shared" si="269"/>
        <v/>
      </c>
      <c r="KF861" s="2140" t="str">
        <f t="shared" si="270"/>
        <v/>
      </c>
      <c r="KG861" s="2140" t="str">
        <f t="shared" si="271"/>
        <v/>
      </c>
      <c r="KH861" s="2140" t="str">
        <f t="shared" si="272"/>
        <v/>
      </c>
      <c r="KI861" s="2140" t="str">
        <f t="shared" si="273"/>
        <v/>
      </c>
      <c r="KJ861" s="2140" t="str">
        <f t="shared" si="274"/>
        <v/>
      </c>
      <c r="KK861" s="2140" t="str">
        <f t="shared" si="275"/>
        <v/>
      </c>
      <c r="KL861" s="2140" t="str">
        <f t="shared" si="276"/>
        <v/>
      </c>
      <c r="KM861" s="2140" t="str">
        <f t="shared" si="277"/>
        <v/>
      </c>
      <c r="KN861" s="2140" t="str">
        <f t="shared" si="278"/>
        <v/>
      </c>
      <c r="KO861" s="2140" t="str">
        <f t="shared" si="279"/>
        <v/>
      </c>
      <c r="KP861" s="2140" t="str">
        <f t="shared" si="280"/>
        <v/>
      </c>
      <c r="KQ861" s="2140" t="str">
        <f t="shared" si="281"/>
        <v/>
      </c>
      <c r="KR861" s="2140" t="str">
        <f t="shared" si="282"/>
        <v/>
      </c>
      <c r="KS861" s="2140" t="str">
        <f t="shared" si="283"/>
        <v/>
      </c>
      <c r="KT861" s="2140" t="str">
        <f t="shared" si="284"/>
        <v/>
      </c>
      <c r="KU861" s="2140" t="str">
        <f t="shared" si="285"/>
        <v/>
      </c>
      <c r="KV861" s="2140" t="str">
        <f t="shared" si="286"/>
        <v/>
      </c>
      <c r="KW861" s="2140" t="str">
        <f t="shared" si="287"/>
        <v/>
      </c>
      <c r="KX861" s="2140" t="str">
        <f t="shared" si="288"/>
        <v/>
      </c>
      <c r="KY861" s="2140" t="str">
        <f t="shared" si="289"/>
        <v/>
      </c>
      <c r="KZ861" s="2140" t="str">
        <f t="shared" si="290"/>
        <v/>
      </c>
      <c r="LA861" s="2140" t="str">
        <f t="shared" si="291"/>
        <v/>
      </c>
      <c r="LB861" s="2140" t="str">
        <f t="shared" si="292"/>
        <v/>
      </c>
      <c r="LC861" s="2140" t="str">
        <f t="shared" si="293"/>
        <v/>
      </c>
      <c r="LD861" s="2140" t="str">
        <f t="shared" si="294"/>
        <v/>
      </c>
      <c r="LE861" s="2140" t="str">
        <f t="shared" si="295"/>
        <v/>
      </c>
      <c r="LF861" s="2140" t="str">
        <f t="shared" si="296"/>
        <v/>
      </c>
      <c r="LG861" s="2051" t="str">
        <f t="shared" si="297"/>
        <v/>
      </c>
      <c r="LH861" s="2051" t="str">
        <f t="shared" si="298"/>
        <v/>
      </c>
      <c r="LI861" s="2051" t="str">
        <f t="shared" si="299"/>
        <v/>
      </c>
      <c r="LJ861" s="2051" t="str">
        <f t="shared" si="300"/>
        <v/>
      </c>
      <c r="LK861" s="2051" t="str">
        <f t="shared" si="301"/>
        <v/>
      </c>
      <c r="LL861" s="1852" t="str">
        <f t="shared" si="302"/>
        <v/>
      </c>
      <c r="LM861" s="1852" t="str">
        <f t="shared" si="303"/>
        <v/>
      </c>
      <c r="LN861" s="1852" t="str">
        <f t="shared" si="304"/>
        <v/>
      </c>
      <c r="LO861" s="1852" t="str">
        <f t="shared" si="305"/>
        <v/>
      </c>
      <c r="LP861" s="1852" t="str">
        <f t="shared" si="306"/>
        <v/>
      </c>
      <c r="LQ861" s="1852" t="str">
        <f t="shared" si="307"/>
        <v/>
      </c>
      <c r="LR861" s="1852" t="str">
        <f t="shared" si="308"/>
        <v/>
      </c>
      <c r="LS861" s="1852" t="str">
        <f t="shared" si="309"/>
        <v/>
      </c>
      <c r="LT861" s="1852" t="str">
        <f t="shared" si="310"/>
        <v/>
      </c>
      <c r="LU861" s="1852" t="str">
        <f t="shared" si="311"/>
        <v/>
      </c>
      <c r="LV861" s="1852" t="str">
        <f t="shared" si="312"/>
        <v/>
      </c>
      <c r="LW861" s="1852" t="str">
        <f t="shared" si="313"/>
        <v/>
      </c>
      <c r="LX861" s="1852" t="str">
        <f t="shared" si="314"/>
        <v/>
      </c>
      <c r="LY861" s="1852" t="str">
        <f t="shared" si="315"/>
        <v/>
      </c>
      <c r="LZ861" s="1852" t="str">
        <f t="shared" si="316"/>
        <v/>
      </c>
      <c r="MA861" s="1852" t="str">
        <f t="shared" si="317"/>
        <v/>
      </c>
      <c r="MB861" s="1852" t="str">
        <f t="shared" si="318"/>
        <v/>
      </c>
      <c r="MC861" s="1852" t="str">
        <f t="shared" si="319"/>
        <v/>
      </c>
      <c r="MD861" s="1852" t="str">
        <f t="shared" si="320"/>
        <v/>
      </c>
      <c r="ME861" s="1852" t="str">
        <f t="shared" si="321"/>
        <v/>
      </c>
      <c r="MF861" s="2051">
        <f t="shared" si="328"/>
        <v>0</v>
      </c>
      <c r="MG861" s="2051">
        <f t="shared" si="329"/>
        <v>0</v>
      </c>
      <c r="MH861" s="2051">
        <f t="shared" si="330"/>
        <v>0</v>
      </c>
      <c r="MI861" s="2051">
        <f t="shared" si="331"/>
        <v>0</v>
      </c>
      <c r="MJ861" s="2051">
        <f t="shared" si="332"/>
        <v>0</v>
      </c>
      <c r="MK861" s="2051">
        <f t="shared" si="333"/>
        <v>0</v>
      </c>
      <c r="ML861" s="2051">
        <f t="shared" si="334"/>
        <v>4</v>
      </c>
      <c r="MM861" s="2051">
        <f t="shared" si="335"/>
        <v>0</v>
      </c>
      <c r="MN861" s="2051">
        <f t="shared" si="336"/>
        <v>0</v>
      </c>
      <c r="MO861" s="2051">
        <f t="shared" si="337"/>
        <v>0</v>
      </c>
      <c r="MP861" s="2051">
        <f t="shared" si="322"/>
        <v>0</v>
      </c>
      <c r="MQ861" s="2051">
        <f t="shared" si="323"/>
        <v>0</v>
      </c>
      <c r="MR861" s="2051">
        <f t="shared" si="324"/>
        <v>0</v>
      </c>
      <c r="MS861" s="2051">
        <f t="shared" si="325"/>
        <v>0</v>
      </c>
      <c r="MT861" s="2051">
        <f t="shared" si="326"/>
        <v>0</v>
      </c>
      <c r="NP861" s="1924" t="s">
        <v>6730</v>
      </c>
    </row>
    <row r="862" spans="1:380" s="1852" customFormat="1" ht="13.9" customHeight="1">
      <c r="A862" s="2108" t="str">
        <f t="shared" si="327"/>
        <v/>
      </c>
      <c r="B862" s="2130">
        <f>'Part VI-Revenues &amp; Expenses'!B22</f>
        <v>60</v>
      </c>
      <c r="C862" s="2131">
        <f>'Part VI-Revenues &amp; Expenses'!C22</f>
        <v>2</v>
      </c>
      <c r="D862" s="2132">
        <f>'Part VI-Revenues &amp; Expenses'!D22</f>
        <v>2</v>
      </c>
      <c r="E862" s="2133">
        <f>'Part VI-Revenues &amp; Expenses'!E22</f>
        <v>13</v>
      </c>
      <c r="F862" s="2133">
        <f>'Part VI-Revenues &amp; Expenses'!F22</f>
        <v>1083</v>
      </c>
      <c r="G862" s="2133">
        <f>'Part VI-Revenues &amp; Expenses'!G22</f>
        <v>972</v>
      </c>
      <c r="H862" s="2133">
        <f>'Part VI-Revenues &amp; Expenses'!H22</f>
        <v>766</v>
      </c>
      <c r="I862" s="2133">
        <f>'Part VI-Revenues &amp; Expenses'!I22</f>
        <v>0</v>
      </c>
      <c r="J862" s="2133">
        <f>'Part VI-Revenues &amp; Expenses'!J22</f>
        <v>121</v>
      </c>
      <c r="K862" s="2134">
        <f>'Part VI-Revenues &amp; Expenses'!K22</f>
        <v>0</v>
      </c>
      <c r="L862" s="2135">
        <f t="shared" si="0"/>
        <v>645</v>
      </c>
      <c r="M862" s="2135">
        <f t="shared" si="1"/>
        <v>8385</v>
      </c>
      <c r="N862" s="1916" t="str">
        <f>'Part VI-Revenues &amp; Expenses'!N22</f>
        <v>No</v>
      </c>
      <c r="O862" s="2136" t="str">
        <f>'Part VI-Revenues &amp; Expenses'!O22</f>
        <v>Low-Rise Apt</v>
      </c>
      <c r="P862" s="1916" t="str">
        <f>'Part VI-Revenues &amp; Expenses'!P22</f>
        <v>New Construction</v>
      </c>
      <c r="Q862" s="2137" t="str">
        <f>'Part VI-Revenues &amp; Expenses'!Q22</f>
        <v>No</v>
      </c>
      <c r="R862" s="2138"/>
      <c r="S862" s="2139"/>
      <c r="T862" s="2043"/>
      <c r="U862" s="2043"/>
      <c r="V862" s="2043"/>
      <c r="W862" s="2043"/>
      <c r="X862" s="1852" t="str">
        <f t="shared" si="2"/>
        <v/>
      </c>
      <c r="Y862" s="1852" t="str">
        <f t="shared" si="3"/>
        <v/>
      </c>
      <c r="Z862" s="1852" t="str">
        <f t="shared" si="4"/>
        <v/>
      </c>
      <c r="AA862" s="1852" t="str">
        <f t="shared" si="5"/>
        <v/>
      </c>
      <c r="AB862" s="1852" t="str">
        <f t="shared" si="6"/>
        <v/>
      </c>
      <c r="AC862" s="1852" t="str">
        <f t="shared" si="7"/>
        <v/>
      </c>
      <c r="AD862" s="1852" t="str">
        <f t="shared" si="8"/>
        <v/>
      </c>
      <c r="AE862" s="1852" t="str">
        <f t="shared" si="9"/>
        <v/>
      </c>
      <c r="AF862" s="1852" t="str">
        <f t="shared" si="10"/>
        <v/>
      </c>
      <c r="AG862" s="1852" t="str">
        <f t="shared" si="11"/>
        <v/>
      </c>
      <c r="AH862" s="1852" t="str">
        <f t="shared" si="12"/>
        <v/>
      </c>
      <c r="AI862" s="1852" t="str">
        <f t="shared" si="13"/>
        <v/>
      </c>
      <c r="AJ862" s="1852">
        <f t="shared" si="14"/>
        <v>13</v>
      </c>
      <c r="AK862" s="1852" t="str">
        <f t="shared" si="15"/>
        <v/>
      </c>
      <c r="AL862" s="1852" t="str">
        <f t="shared" si="16"/>
        <v/>
      </c>
      <c r="AM862" s="1852" t="str">
        <f t="shared" si="17"/>
        <v/>
      </c>
      <c r="AN862" s="1852" t="str">
        <f t="shared" si="18"/>
        <v/>
      </c>
      <c r="AO862" s="1852" t="str">
        <f t="shared" si="19"/>
        <v/>
      </c>
      <c r="AP862" s="1852" t="str">
        <f t="shared" si="20"/>
        <v/>
      </c>
      <c r="AQ862" s="1852" t="str">
        <f t="shared" si="21"/>
        <v/>
      </c>
      <c r="AR862" s="1852" t="str">
        <f t="shared" si="22"/>
        <v/>
      </c>
      <c r="AS862" s="1852" t="str">
        <f t="shared" si="23"/>
        <v/>
      </c>
      <c r="AT862" s="1852" t="str">
        <f t="shared" si="24"/>
        <v/>
      </c>
      <c r="AU862" s="1852" t="str">
        <f t="shared" si="25"/>
        <v/>
      </c>
      <c r="AV862" s="1852" t="str">
        <f t="shared" si="26"/>
        <v/>
      </c>
      <c r="AW862" s="1852" t="str">
        <f t="shared" si="27"/>
        <v/>
      </c>
      <c r="AX862" s="1852" t="str">
        <f t="shared" si="28"/>
        <v/>
      </c>
      <c r="AY862" s="1852" t="str">
        <f t="shared" si="29"/>
        <v/>
      </c>
      <c r="AZ862" s="1852" t="str">
        <f t="shared" si="30"/>
        <v/>
      </c>
      <c r="BA862" s="1852" t="str">
        <f t="shared" si="31"/>
        <v/>
      </c>
      <c r="BB862" s="1852" t="str">
        <f t="shared" si="32"/>
        <v/>
      </c>
      <c r="BC862" s="1852" t="str">
        <f t="shared" si="33"/>
        <v/>
      </c>
      <c r="BD862" s="1852" t="str">
        <f t="shared" si="34"/>
        <v/>
      </c>
      <c r="BE862" s="1852" t="str">
        <f t="shared" si="35"/>
        <v/>
      </c>
      <c r="BF862" s="1852" t="str">
        <f t="shared" si="36"/>
        <v/>
      </c>
      <c r="BG862" s="1852" t="str">
        <f t="shared" si="37"/>
        <v/>
      </c>
      <c r="BH862" s="1852" t="str">
        <f t="shared" si="38"/>
        <v/>
      </c>
      <c r="BI862" s="1852" t="str">
        <f t="shared" si="39"/>
        <v/>
      </c>
      <c r="BJ862" s="1852" t="str">
        <f t="shared" si="40"/>
        <v/>
      </c>
      <c r="BK862" s="1852" t="str">
        <f t="shared" si="41"/>
        <v/>
      </c>
      <c r="BL862" s="1852" t="str">
        <f t="shared" si="42"/>
        <v/>
      </c>
      <c r="BM862" s="1852" t="str">
        <f t="shared" si="43"/>
        <v/>
      </c>
      <c r="BN862" s="1852" t="str">
        <f t="shared" si="44"/>
        <v/>
      </c>
      <c r="BO862" s="1852" t="str">
        <f t="shared" si="45"/>
        <v/>
      </c>
      <c r="BP862" s="1852" t="str">
        <f t="shared" si="46"/>
        <v/>
      </c>
      <c r="BQ862" s="1852" t="str">
        <f t="shared" si="47"/>
        <v/>
      </c>
      <c r="BR862" s="1852" t="str">
        <f t="shared" si="48"/>
        <v/>
      </c>
      <c r="BS862" s="1852" t="str">
        <f t="shared" si="49"/>
        <v/>
      </c>
      <c r="BT862" s="1852" t="str">
        <f t="shared" si="50"/>
        <v/>
      </c>
      <c r="BU862" s="1852" t="str">
        <f t="shared" si="51"/>
        <v/>
      </c>
      <c r="BV862" s="1852" t="str">
        <f t="shared" si="52"/>
        <v/>
      </c>
      <c r="BW862" s="1852" t="str">
        <f t="shared" si="53"/>
        <v/>
      </c>
      <c r="BX862" s="1852" t="str">
        <f t="shared" si="54"/>
        <v/>
      </c>
      <c r="BY862" s="1852" t="str">
        <f t="shared" si="55"/>
        <v/>
      </c>
      <c r="BZ862" s="1852" t="str">
        <f t="shared" si="56"/>
        <v/>
      </c>
      <c r="CA862" s="1852" t="str">
        <f t="shared" si="57"/>
        <v/>
      </c>
      <c r="CB862" s="1852" t="str">
        <f t="shared" si="58"/>
        <v/>
      </c>
      <c r="CC862" s="1852" t="str">
        <f t="shared" si="59"/>
        <v/>
      </c>
      <c r="CD862" s="1852" t="str">
        <f t="shared" si="60"/>
        <v/>
      </c>
      <c r="CE862" s="1852" t="str">
        <f t="shared" si="61"/>
        <v/>
      </c>
      <c r="CF862" s="1852" t="str">
        <f t="shared" si="62"/>
        <v/>
      </c>
      <c r="CG862" s="1852" t="str">
        <f t="shared" si="63"/>
        <v/>
      </c>
      <c r="CH862" s="1852" t="str">
        <f t="shared" si="64"/>
        <v/>
      </c>
      <c r="CI862" s="1852" t="str">
        <f t="shared" si="65"/>
        <v/>
      </c>
      <c r="CJ862" s="1852" t="str">
        <f t="shared" si="66"/>
        <v/>
      </c>
      <c r="CK862" s="1852" t="str">
        <f t="shared" si="67"/>
        <v/>
      </c>
      <c r="CL862" s="1852" t="str">
        <f t="shared" si="68"/>
        <v/>
      </c>
      <c r="CM862" s="1852" t="str">
        <f t="shared" si="69"/>
        <v/>
      </c>
      <c r="CN862" s="1852" t="str">
        <f t="shared" si="70"/>
        <v/>
      </c>
      <c r="CO862" s="1852" t="str">
        <f t="shared" si="71"/>
        <v/>
      </c>
      <c r="CP862" s="1852" t="str">
        <f t="shared" si="72"/>
        <v/>
      </c>
      <c r="CQ862" s="1852" t="str">
        <f t="shared" si="73"/>
        <v/>
      </c>
      <c r="CR862" s="1852" t="str">
        <f t="shared" si="74"/>
        <v/>
      </c>
      <c r="CS862" s="1852" t="str">
        <f t="shared" si="75"/>
        <v/>
      </c>
      <c r="CT862" s="1852" t="str">
        <f t="shared" si="76"/>
        <v/>
      </c>
      <c r="CU862" s="1852" t="str">
        <f t="shared" si="77"/>
        <v/>
      </c>
      <c r="CV862" s="1852" t="str">
        <f t="shared" si="78"/>
        <v/>
      </c>
      <c r="CW862" s="1852" t="str">
        <f t="shared" si="79"/>
        <v/>
      </c>
      <c r="CX862" s="1852" t="str">
        <f t="shared" si="80"/>
        <v/>
      </c>
      <c r="CY862" s="1852" t="str">
        <f t="shared" si="81"/>
        <v/>
      </c>
      <c r="CZ862" s="1852" t="str">
        <f t="shared" si="82"/>
        <v/>
      </c>
      <c r="DA862" s="1852" t="str">
        <f t="shared" si="83"/>
        <v/>
      </c>
      <c r="DB862" s="1852" t="str">
        <f t="shared" si="84"/>
        <v/>
      </c>
      <c r="DC862" s="1852" t="str">
        <f t="shared" si="85"/>
        <v/>
      </c>
      <c r="DD862" s="1852" t="str">
        <f t="shared" si="86"/>
        <v/>
      </c>
      <c r="DE862" s="1852" t="str">
        <f t="shared" si="87"/>
        <v/>
      </c>
      <c r="DF862" s="1852" t="str">
        <f t="shared" si="88"/>
        <v/>
      </c>
      <c r="DG862" s="1852" t="str">
        <f t="shared" si="89"/>
        <v/>
      </c>
      <c r="DH862" s="1852" t="str">
        <f t="shared" si="90"/>
        <v/>
      </c>
      <c r="DI862" s="1852" t="str">
        <f t="shared" si="91"/>
        <v/>
      </c>
      <c r="DJ862" s="1852" t="str">
        <f t="shared" si="92"/>
        <v/>
      </c>
      <c r="DK862" s="1852" t="str">
        <f t="shared" si="93"/>
        <v/>
      </c>
      <c r="DL862" s="1852" t="str">
        <f t="shared" si="94"/>
        <v/>
      </c>
      <c r="DM862" s="1852" t="str">
        <f t="shared" si="95"/>
        <v/>
      </c>
      <c r="DN862" s="1852" t="str">
        <f t="shared" si="96"/>
        <v/>
      </c>
      <c r="DO862" s="1852" t="str">
        <f t="shared" si="97"/>
        <v/>
      </c>
      <c r="DP862" s="1852" t="str">
        <f t="shared" si="98"/>
        <v/>
      </c>
      <c r="DQ862" s="1852" t="str">
        <f t="shared" si="99"/>
        <v/>
      </c>
      <c r="DR862" s="1852" t="str">
        <f t="shared" si="100"/>
        <v/>
      </c>
      <c r="DS862" s="1852" t="str">
        <f t="shared" si="101"/>
        <v/>
      </c>
      <c r="DT862" s="1852" t="str">
        <f t="shared" si="102"/>
        <v/>
      </c>
      <c r="DU862" s="1852" t="str">
        <f t="shared" si="103"/>
        <v/>
      </c>
      <c r="DV862" s="1852" t="str">
        <f t="shared" si="104"/>
        <v/>
      </c>
      <c r="DW862" s="1852" t="str">
        <f t="shared" si="105"/>
        <v/>
      </c>
      <c r="DX862" s="1852" t="str">
        <f t="shared" si="106"/>
        <v/>
      </c>
      <c r="DY862" s="1852" t="str">
        <f t="shared" si="107"/>
        <v/>
      </c>
      <c r="DZ862" s="1852" t="str">
        <f t="shared" si="108"/>
        <v/>
      </c>
      <c r="EA862" s="1852" t="str">
        <f t="shared" si="109"/>
        <v/>
      </c>
      <c r="EB862" s="1852" t="str">
        <f t="shared" si="110"/>
        <v/>
      </c>
      <c r="EC862" s="1852" t="str">
        <f t="shared" si="111"/>
        <v/>
      </c>
      <c r="ED862" s="1852" t="str">
        <f t="shared" si="112"/>
        <v/>
      </c>
      <c r="EE862" s="1852" t="str">
        <f t="shared" si="113"/>
        <v/>
      </c>
      <c r="EF862" s="1852" t="str">
        <f t="shared" si="114"/>
        <v/>
      </c>
      <c r="EG862" s="1852" t="str">
        <f t="shared" si="115"/>
        <v/>
      </c>
      <c r="EH862" s="1852" t="str">
        <f t="shared" si="116"/>
        <v/>
      </c>
      <c r="EI862" s="1852" t="str">
        <f t="shared" si="117"/>
        <v/>
      </c>
      <c r="EJ862" s="1852" t="str">
        <f t="shared" si="118"/>
        <v/>
      </c>
      <c r="EK862" s="1852" t="str">
        <f t="shared" si="119"/>
        <v/>
      </c>
      <c r="EL862" s="1852" t="str">
        <f t="shared" si="120"/>
        <v/>
      </c>
      <c r="EM862" s="1852" t="str">
        <f t="shared" si="121"/>
        <v/>
      </c>
      <c r="EN862" s="1852" t="str">
        <f t="shared" si="122"/>
        <v/>
      </c>
      <c r="EO862" s="1852" t="str">
        <f t="shared" si="123"/>
        <v/>
      </c>
      <c r="EP862" s="1852" t="str">
        <f t="shared" si="124"/>
        <v/>
      </c>
      <c r="EQ862" s="1852" t="str">
        <f t="shared" si="125"/>
        <v/>
      </c>
      <c r="ER862" s="1852" t="str">
        <f t="shared" si="126"/>
        <v/>
      </c>
      <c r="ES862" s="1852" t="str">
        <f t="shared" si="127"/>
        <v/>
      </c>
      <c r="ET862" s="1852" t="str">
        <f t="shared" si="128"/>
        <v/>
      </c>
      <c r="EU862" s="1852">
        <f t="shared" si="129"/>
        <v>14079</v>
      </c>
      <c r="EV862" s="1852" t="str">
        <f t="shared" si="130"/>
        <v/>
      </c>
      <c r="EW862" s="1852" t="str">
        <f t="shared" si="131"/>
        <v/>
      </c>
      <c r="EX862" s="1852" t="str">
        <f t="shared" si="132"/>
        <v/>
      </c>
      <c r="EY862" s="1852" t="str">
        <f t="shared" si="133"/>
        <v/>
      </c>
      <c r="EZ862" s="1852" t="str">
        <f t="shared" si="134"/>
        <v/>
      </c>
      <c r="FA862" s="1852" t="str">
        <f t="shared" si="135"/>
        <v/>
      </c>
      <c r="FB862" s="1852" t="str">
        <f t="shared" si="136"/>
        <v/>
      </c>
      <c r="FC862" s="1852" t="str">
        <f t="shared" si="137"/>
        <v/>
      </c>
      <c r="FD862" s="1852" t="str">
        <f t="shared" si="138"/>
        <v/>
      </c>
      <c r="FE862" s="1852" t="str">
        <f t="shared" si="139"/>
        <v/>
      </c>
      <c r="FF862" s="1852" t="str">
        <f t="shared" si="140"/>
        <v/>
      </c>
      <c r="FG862" s="1852" t="str">
        <f t="shared" si="141"/>
        <v/>
      </c>
      <c r="FH862" s="1852" t="str">
        <f t="shared" si="142"/>
        <v/>
      </c>
      <c r="FI862" s="1852" t="str">
        <f t="shared" si="143"/>
        <v/>
      </c>
      <c r="FJ862" s="1852" t="str">
        <f t="shared" si="144"/>
        <v/>
      </c>
      <c r="FK862" s="1852" t="str">
        <f t="shared" si="145"/>
        <v/>
      </c>
      <c r="FL862" s="1852" t="str">
        <f t="shared" si="146"/>
        <v/>
      </c>
      <c r="FM862" s="1852" t="str">
        <f t="shared" si="147"/>
        <v/>
      </c>
      <c r="FN862" s="1852" t="str">
        <f t="shared" si="148"/>
        <v/>
      </c>
      <c r="FO862" s="1852" t="str">
        <f t="shared" si="149"/>
        <v/>
      </c>
      <c r="FP862" s="1852" t="str">
        <f t="shared" si="150"/>
        <v/>
      </c>
      <c r="FQ862" s="1852" t="str">
        <f t="shared" si="151"/>
        <v/>
      </c>
      <c r="FR862" s="1852" t="str">
        <f t="shared" si="152"/>
        <v/>
      </c>
      <c r="FS862" s="1852" t="str">
        <f t="shared" si="153"/>
        <v/>
      </c>
      <c r="FT862" s="1852" t="str">
        <f t="shared" si="154"/>
        <v/>
      </c>
      <c r="FU862" s="1852" t="str">
        <f t="shared" si="155"/>
        <v/>
      </c>
      <c r="FV862" s="1852" t="str">
        <f t="shared" si="156"/>
        <v/>
      </c>
      <c r="FW862" s="1852" t="str">
        <f t="shared" si="157"/>
        <v/>
      </c>
      <c r="FX862" s="1852" t="str">
        <f t="shared" si="158"/>
        <v/>
      </c>
      <c r="FY862" s="1852" t="str">
        <f t="shared" si="159"/>
        <v/>
      </c>
      <c r="FZ862" s="1852" t="str">
        <f t="shared" si="160"/>
        <v/>
      </c>
      <c r="GA862" s="1852" t="str">
        <f t="shared" si="161"/>
        <v/>
      </c>
      <c r="GB862" s="1852" t="str">
        <f t="shared" si="162"/>
        <v/>
      </c>
      <c r="GC862" s="1852" t="str">
        <f t="shared" si="163"/>
        <v/>
      </c>
      <c r="GD862" s="1852" t="str">
        <f t="shared" si="164"/>
        <v/>
      </c>
      <c r="GE862" s="1852" t="str">
        <f t="shared" si="165"/>
        <v/>
      </c>
      <c r="GF862" s="1852" t="str">
        <f t="shared" si="166"/>
        <v/>
      </c>
      <c r="GG862" s="1852" t="str">
        <f t="shared" si="167"/>
        <v/>
      </c>
      <c r="GH862" s="1852" t="str">
        <f t="shared" si="168"/>
        <v/>
      </c>
      <c r="GI862" s="1852">
        <f t="shared" si="169"/>
        <v>13</v>
      </c>
      <c r="GJ862" s="1852" t="str">
        <f t="shared" si="170"/>
        <v/>
      </c>
      <c r="GK862" s="1852" t="str">
        <f t="shared" si="171"/>
        <v/>
      </c>
      <c r="GL862" s="1852" t="str">
        <f t="shared" si="172"/>
        <v/>
      </c>
      <c r="GM862" s="1852" t="str">
        <f t="shared" si="173"/>
        <v/>
      </c>
      <c r="GN862" s="1852" t="str">
        <f t="shared" si="174"/>
        <v/>
      </c>
      <c r="GO862" s="1852" t="str">
        <f t="shared" si="175"/>
        <v/>
      </c>
      <c r="GP862" s="1852" t="str">
        <f t="shared" si="176"/>
        <v/>
      </c>
      <c r="GQ862" s="1852" t="str">
        <f t="shared" si="177"/>
        <v/>
      </c>
      <c r="GR862" s="1852" t="str">
        <f t="shared" si="178"/>
        <v/>
      </c>
      <c r="GS862" s="1852" t="str">
        <f t="shared" si="179"/>
        <v/>
      </c>
      <c r="GT862" s="1852" t="str">
        <f t="shared" si="180"/>
        <v/>
      </c>
      <c r="GU862" s="1852" t="str">
        <f t="shared" si="181"/>
        <v/>
      </c>
      <c r="GV862" s="1852" t="str">
        <f t="shared" si="182"/>
        <v/>
      </c>
      <c r="GW862" s="1852" t="str">
        <f t="shared" si="183"/>
        <v/>
      </c>
      <c r="GX862" s="1852" t="str">
        <f t="shared" si="184"/>
        <v/>
      </c>
      <c r="GY862" s="1852" t="str">
        <f t="shared" si="185"/>
        <v/>
      </c>
      <c r="GZ862" s="1852" t="str">
        <f t="shared" si="186"/>
        <v/>
      </c>
      <c r="HA862" s="1852" t="str">
        <f t="shared" si="187"/>
        <v/>
      </c>
      <c r="HB862" s="1852" t="str">
        <f t="shared" si="188"/>
        <v/>
      </c>
      <c r="HC862" s="1852" t="str">
        <f t="shared" si="189"/>
        <v/>
      </c>
      <c r="HD862" s="1852" t="str">
        <f t="shared" si="190"/>
        <v/>
      </c>
      <c r="HE862" s="1852" t="str">
        <f t="shared" si="191"/>
        <v/>
      </c>
      <c r="HF862" s="1852" t="str">
        <f t="shared" si="192"/>
        <v/>
      </c>
      <c r="HG862" s="1852" t="str">
        <f t="shared" si="193"/>
        <v/>
      </c>
      <c r="HH862" s="1852" t="str">
        <f t="shared" si="194"/>
        <v/>
      </c>
      <c r="HI862" s="1852" t="str">
        <f t="shared" si="195"/>
        <v/>
      </c>
      <c r="HJ862" s="1852" t="str">
        <f t="shared" si="196"/>
        <v/>
      </c>
      <c r="HK862" s="1852" t="str">
        <f t="shared" si="197"/>
        <v/>
      </c>
      <c r="HL862" s="1852" t="str">
        <f t="shared" si="198"/>
        <v/>
      </c>
      <c r="HM862" s="1852" t="str">
        <f t="shared" si="199"/>
        <v/>
      </c>
      <c r="HN862" s="1852" t="str">
        <f t="shared" si="200"/>
        <v/>
      </c>
      <c r="HO862" s="1852" t="str">
        <f t="shared" si="201"/>
        <v/>
      </c>
      <c r="HP862" s="1852" t="str">
        <f t="shared" si="202"/>
        <v/>
      </c>
      <c r="HQ862" s="1852" t="str">
        <f t="shared" si="203"/>
        <v/>
      </c>
      <c r="HR862" s="1852" t="str">
        <f t="shared" si="204"/>
        <v/>
      </c>
      <c r="HS862" s="1852" t="str">
        <f t="shared" si="205"/>
        <v/>
      </c>
      <c r="HT862" s="1852" t="str">
        <f t="shared" si="206"/>
        <v/>
      </c>
      <c r="HU862" s="1852" t="str">
        <f t="shared" si="207"/>
        <v/>
      </c>
      <c r="HV862" s="1852" t="str">
        <f t="shared" si="208"/>
        <v/>
      </c>
      <c r="HW862" s="1852" t="str">
        <f t="shared" si="209"/>
        <v/>
      </c>
      <c r="HX862" s="1852" t="str">
        <f t="shared" si="210"/>
        <v/>
      </c>
      <c r="HY862" s="1852" t="str">
        <f t="shared" si="211"/>
        <v/>
      </c>
      <c r="HZ862" s="2140" t="str">
        <f t="shared" si="212"/>
        <v/>
      </c>
      <c r="IA862" s="2140" t="str">
        <f t="shared" si="213"/>
        <v/>
      </c>
      <c r="IB862" s="2140">
        <f t="shared" si="214"/>
        <v>13</v>
      </c>
      <c r="IC862" s="2140" t="str">
        <f t="shared" si="215"/>
        <v/>
      </c>
      <c r="ID862" s="2140" t="str">
        <f t="shared" si="216"/>
        <v/>
      </c>
      <c r="IE862" s="2140" t="str">
        <f t="shared" si="217"/>
        <v/>
      </c>
      <c r="IF862" s="2140" t="str">
        <f t="shared" si="218"/>
        <v/>
      </c>
      <c r="IG862" s="2140" t="str">
        <f t="shared" si="219"/>
        <v/>
      </c>
      <c r="IH862" s="2140" t="str">
        <f t="shared" si="220"/>
        <v/>
      </c>
      <c r="II862" s="2140" t="str">
        <f t="shared" si="221"/>
        <v/>
      </c>
      <c r="IJ862" s="2140" t="str">
        <f t="shared" si="222"/>
        <v/>
      </c>
      <c r="IK862" s="2140" t="str">
        <f t="shared" si="223"/>
        <v/>
      </c>
      <c r="IL862" s="2140" t="str">
        <f t="shared" si="224"/>
        <v/>
      </c>
      <c r="IM862" s="2140" t="str">
        <f t="shared" si="225"/>
        <v/>
      </c>
      <c r="IN862" s="2140" t="str">
        <f t="shared" si="226"/>
        <v/>
      </c>
      <c r="IO862" s="2140" t="str">
        <f t="shared" si="227"/>
        <v/>
      </c>
      <c r="IP862" s="2140" t="str">
        <f t="shared" si="228"/>
        <v/>
      </c>
      <c r="IQ862" s="2140" t="str">
        <f t="shared" si="229"/>
        <v/>
      </c>
      <c r="IR862" s="2140" t="str">
        <f t="shared" si="230"/>
        <v/>
      </c>
      <c r="IS862" s="2140" t="str">
        <f t="shared" si="231"/>
        <v/>
      </c>
      <c r="IT862" s="2140" t="str">
        <f t="shared" si="232"/>
        <v/>
      </c>
      <c r="IU862" s="2140" t="str">
        <f t="shared" si="233"/>
        <v/>
      </c>
      <c r="IV862" s="2140" t="str">
        <f t="shared" si="234"/>
        <v/>
      </c>
      <c r="IW862" s="2140" t="str">
        <f t="shared" si="235"/>
        <v/>
      </c>
      <c r="IX862" s="2140" t="str">
        <f t="shared" si="236"/>
        <v/>
      </c>
      <c r="IY862" s="2140" t="str">
        <f t="shared" si="237"/>
        <v/>
      </c>
      <c r="IZ862" s="2140" t="str">
        <f t="shared" si="238"/>
        <v/>
      </c>
      <c r="JA862" s="2140" t="str">
        <f t="shared" si="239"/>
        <v/>
      </c>
      <c r="JB862" s="2140" t="str">
        <f t="shared" si="240"/>
        <v/>
      </c>
      <c r="JC862" s="2140" t="str">
        <f t="shared" si="241"/>
        <v/>
      </c>
      <c r="JD862" s="2140" t="str">
        <f t="shared" si="242"/>
        <v/>
      </c>
      <c r="JE862" s="2140" t="str">
        <f t="shared" si="243"/>
        <v/>
      </c>
      <c r="JF862" s="2140" t="str">
        <f t="shared" si="244"/>
        <v/>
      </c>
      <c r="JG862" s="2140" t="str">
        <f t="shared" si="245"/>
        <v/>
      </c>
      <c r="JH862" s="2140" t="str">
        <f t="shared" si="246"/>
        <v/>
      </c>
      <c r="JI862" s="2140" t="str">
        <f t="shared" si="247"/>
        <v/>
      </c>
      <c r="JJ862" s="2140" t="str">
        <f t="shared" si="248"/>
        <v/>
      </c>
      <c r="JK862" s="2140" t="str">
        <f t="shared" si="249"/>
        <v/>
      </c>
      <c r="JL862" s="2140" t="str">
        <f t="shared" si="250"/>
        <v/>
      </c>
      <c r="JM862" s="2140" t="str">
        <f t="shared" si="251"/>
        <v/>
      </c>
      <c r="JN862" s="2140" t="str">
        <f t="shared" si="252"/>
        <v/>
      </c>
      <c r="JO862" s="2140" t="str">
        <f t="shared" si="253"/>
        <v/>
      </c>
      <c r="JP862" s="2140" t="str">
        <f t="shared" si="254"/>
        <v/>
      </c>
      <c r="JQ862" s="2140" t="str">
        <f t="shared" si="255"/>
        <v/>
      </c>
      <c r="JR862" s="2140" t="str">
        <f t="shared" si="256"/>
        <v/>
      </c>
      <c r="JS862" s="2140" t="str">
        <f t="shared" si="257"/>
        <v/>
      </c>
      <c r="JT862" s="2140" t="str">
        <f t="shared" si="258"/>
        <v/>
      </c>
      <c r="JU862" s="2140">
        <f t="shared" si="259"/>
        <v>13</v>
      </c>
      <c r="JV862" s="2140" t="str">
        <f t="shared" si="260"/>
        <v/>
      </c>
      <c r="JW862" s="2140" t="str">
        <f t="shared" si="261"/>
        <v/>
      </c>
      <c r="JX862" s="2140" t="str">
        <f t="shared" si="262"/>
        <v/>
      </c>
      <c r="JY862" s="2140" t="str">
        <f t="shared" si="263"/>
        <v/>
      </c>
      <c r="JZ862" s="2140" t="str">
        <f t="shared" si="264"/>
        <v/>
      </c>
      <c r="KA862" s="2140" t="str">
        <f t="shared" si="265"/>
        <v/>
      </c>
      <c r="KB862" s="2140" t="str">
        <f t="shared" si="266"/>
        <v/>
      </c>
      <c r="KC862" s="2140" t="str">
        <f t="shared" si="267"/>
        <v/>
      </c>
      <c r="KD862" s="2140" t="str">
        <f t="shared" si="268"/>
        <v/>
      </c>
      <c r="KE862" s="2140" t="str">
        <f t="shared" si="269"/>
        <v/>
      </c>
      <c r="KF862" s="2140" t="str">
        <f t="shared" si="270"/>
        <v/>
      </c>
      <c r="KG862" s="2140" t="str">
        <f t="shared" si="271"/>
        <v/>
      </c>
      <c r="KH862" s="2140" t="str">
        <f t="shared" si="272"/>
        <v/>
      </c>
      <c r="KI862" s="2140" t="str">
        <f t="shared" si="273"/>
        <v/>
      </c>
      <c r="KJ862" s="2140" t="str">
        <f t="shared" si="274"/>
        <v/>
      </c>
      <c r="KK862" s="2140" t="str">
        <f t="shared" si="275"/>
        <v/>
      </c>
      <c r="KL862" s="2140" t="str">
        <f t="shared" si="276"/>
        <v/>
      </c>
      <c r="KM862" s="2140" t="str">
        <f t="shared" si="277"/>
        <v/>
      </c>
      <c r="KN862" s="2140" t="str">
        <f t="shared" si="278"/>
        <v/>
      </c>
      <c r="KO862" s="2140" t="str">
        <f t="shared" si="279"/>
        <v/>
      </c>
      <c r="KP862" s="2140" t="str">
        <f t="shared" si="280"/>
        <v/>
      </c>
      <c r="KQ862" s="2140" t="str">
        <f t="shared" si="281"/>
        <v/>
      </c>
      <c r="KR862" s="2140" t="str">
        <f t="shared" si="282"/>
        <v/>
      </c>
      <c r="KS862" s="2140" t="str">
        <f t="shared" si="283"/>
        <v/>
      </c>
      <c r="KT862" s="2140" t="str">
        <f t="shared" si="284"/>
        <v/>
      </c>
      <c r="KU862" s="2140" t="str">
        <f t="shared" si="285"/>
        <v/>
      </c>
      <c r="KV862" s="2140" t="str">
        <f t="shared" si="286"/>
        <v/>
      </c>
      <c r="KW862" s="2140" t="str">
        <f t="shared" si="287"/>
        <v/>
      </c>
      <c r="KX862" s="2140" t="str">
        <f t="shared" si="288"/>
        <v/>
      </c>
      <c r="KY862" s="2140" t="str">
        <f t="shared" si="289"/>
        <v/>
      </c>
      <c r="KZ862" s="2140" t="str">
        <f t="shared" si="290"/>
        <v/>
      </c>
      <c r="LA862" s="2140" t="str">
        <f t="shared" si="291"/>
        <v/>
      </c>
      <c r="LB862" s="2140" t="str">
        <f t="shared" si="292"/>
        <v/>
      </c>
      <c r="LC862" s="2140" t="str">
        <f t="shared" si="293"/>
        <v/>
      </c>
      <c r="LD862" s="2140" t="str">
        <f t="shared" si="294"/>
        <v/>
      </c>
      <c r="LE862" s="2140" t="str">
        <f t="shared" si="295"/>
        <v/>
      </c>
      <c r="LF862" s="2140" t="str">
        <f t="shared" si="296"/>
        <v/>
      </c>
      <c r="LG862" s="2051" t="str">
        <f t="shared" si="297"/>
        <v/>
      </c>
      <c r="LH862" s="2051" t="str">
        <f t="shared" si="298"/>
        <v/>
      </c>
      <c r="LI862" s="2051" t="str">
        <f t="shared" si="299"/>
        <v/>
      </c>
      <c r="LJ862" s="2051" t="str">
        <f t="shared" si="300"/>
        <v/>
      </c>
      <c r="LK862" s="2051" t="str">
        <f t="shared" si="301"/>
        <v/>
      </c>
      <c r="LL862" s="1852" t="str">
        <f t="shared" si="302"/>
        <v/>
      </c>
      <c r="LM862" s="1852" t="str">
        <f t="shared" si="303"/>
        <v/>
      </c>
      <c r="LN862" s="1852" t="str">
        <f t="shared" si="304"/>
        <v/>
      </c>
      <c r="LO862" s="1852" t="str">
        <f t="shared" si="305"/>
        <v/>
      </c>
      <c r="LP862" s="1852" t="str">
        <f t="shared" si="306"/>
        <v/>
      </c>
      <c r="LQ862" s="1852" t="str">
        <f t="shared" si="307"/>
        <v/>
      </c>
      <c r="LR862" s="1852" t="str">
        <f t="shared" si="308"/>
        <v/>
      </c>
      <c r="LS862" s="1852" t="str">
        <f t="shared" si="309"/>
        <v/>
      </c>
      <c r="LT862" s="1852" t="str">
        <f t="shared" si="310"/>
        <v/>
      </c>
      <c r="LU862" s="1852" t="str">
        <f t="shared" si="311"/>
        <v/>
      </c>
      <c r="LV862" s="1852" t="str">
        <f t="shared" si="312"/>
        <v/>
      </c>
      <c r="LW862" s="1852" t="str">
        <f t="shared" si="313"/>
        <v/>
      </c>
      <c r="LX862" s="1852" t="str">
        <f t="shared" si="314"/>
        <v/>
      </c>
      <c r="LY862" s="1852" t="str">
        <f t="shared" si="315"/>
        <v/>
      </c>
      <c r="LZ862" s="1852" t="str">
        <f t="shared" si="316"/>
        <v/>
      </c>
      <c r="MA862" s="1852" t="str">
        <f t="shared" si="317"/>
        <v/>
      </c>
      <c r="MB862" s="1852" t="str">
        <f t="shared" si="318"/>
        <v/>
      </c>
      <c r="MC862" s="1852" t="str">
        <f t="shared" si="319"/>
        <v/>
      </c>
      <c r="MD862" s="1852" t="str">
        <f t="shared" si="320"/>
        <v/>
      </c>
      <c r="ME862" s="1852" t="str">
        <f t="shared" si="321"/>
        <v/>
      </c>
      <c r="MF862" s="2051">
        <f t="shared" si="328"/>
        <v>0</v>
      </c>
      <c r="MG862" s="2051">
        <f t="shared" si="329"/>
        <v>0</v>
      </c>
      <c r="MH862" s="2051">
        <f t="shared" si="330"/>
        <v>0</v>
      </c>
      <c r="MI862" s="2051">
        <f t="shared" si="331"/>
        <v>0</v>
      </c>
      <c r="MJ862" s="2051">
        <f t="shared" si="332"/>
        <v>0</v>
      </c>
      <c r="MK862" s="2051">
        <f t="shared" si="333"/>
        <v>0</v>
      </c>
      <c r="ML862" s="2051">
        <f t="shared" si="334"/>
        <v>0</v>
      </c>
      <c r="MM862" s="2051">
        <f t="shared" si="335"/>
        <v>13</v>
      </c>
      <c r="MN862" s="2051">
        <f t="shared" si="336"/>
        <v>0</v>
      </c>
      <c r="MO862" s="2051">
        <f t="shared" si="337"/>
        <v>0</v>
      </c>
      <c r="MP862" s="2051">
        <f t="shared" si="322"/>
        <v>0</v>
      </c>
      <c r="MQ862" s="2051">
        <f t="shared" si="323"/>
        <v>0</v>
      </c>
      <c r="MR862" s="2051">
        <f t="shared" si="324"/>
        <v>0</v>
      </c>
      <c r="MS862" s="2051">
        <f t="shared" si="325"/>
        <v>0</v>
      </c>
      <c r="MT862" s="2051">
        <f t="shared" si="326"/>
        <v>0</v>
      </c>
      <c r="NP862" s="1924" t="s">
        <v>6731</v>
      </c>
    </row>
    <row r="863" spans="1:380" s="1852" customFormat="1" ht="13.9" customHeight="1">
      <c r="A863" s="2108" t="str">
        <f t="shared" si="327"/>
        <v/>
      </c>
      <c r="B863" s="2130">
        <f>'Part VI-Revenues &amp; Expenses'!B23</f>
        <v>60</v>
      </c>
      <c r="C863" s="2131">
        <f>'Part VI-Revenues &amp; Expenses'!C23</f>
        <v>3</v>
      </c>
      <c r="D863" s="2132">
        <f>'Part VI-Revenues &amp; Expenses'!D23</f>
        <v>2</v>
      </c>
      <c r="E863" s="2133">
        <f>'Part VI-Revenues &amp; Expenses'!E23</f>
        <v>6</v>
      </c>
      <c r="F863" s="2133">
        <f>'Part VI-Revenues &amp; Expenses'!F23</f>
        <v>1301</v>
      </c>
      <c r="G863" s="2133">
        <f>'Part VI-Revenues &amp; Expenses'!G23</f>
        <v>1123</v>
      </c>
      <c r="H863" s="2133">
        <f>'Part VI-Revenues &amp; Expenses'!H23</f>
        <v>874</v>
      </c>
      <c r="I863" s="2133">
        <f>'Part VI-Revenues &amp; Expenses'!I23</f>
        <v>0</v>
      </c>
      <c r="J863" s="2133">
        <f>'Part VI-Revenues &amp; Expenses'!J23</f>
        <v>149</v>
      </c>
      <c r="K863" s="2134">
        <f>'Part VI-Revenues &amp; Expenses'!K23</f>
        <v>0</v>
      </c>
      <c r="L863" s="2135">
        <f t="shared" si="0"/>
        <v>725</v>
      </c>
      <c r="M863" s="2135">
        <f t="shared" si="1"/>
        <v>4350</v>
      </c>
      <c r="N863" s="1916" t="str">
        <f>'Part VI-Revenues &amp; Expenses'!N23</f>
        <v>No</v>
      </c>
      <c r="O863" s="2136" t="str">
        <f>'Part VI-Revenues &amp; Expenses'!O23</f>
        <v>Low-Rise Apt</v>
      </c>
      <c r="P863" s="1916" t="str">
        <f>'Part VI-Revenues &amp; Expenses'!P23</f>
        <v>New Construction</v>
      </c>
      <c r="Q863" s="2137" t="str">
        <f>'Part VI-Revenues &amp; Expenses'!Q23</f>
        <v>No</v>
      </c>
      <c r="R863" s="2138"/>
      <c r="S863" s="2139"/>
      <c r="T863" s="2043"/>
      <c r="U863" s="2043"/>
      <c r="V863" s="2043"/>
      <c r="W863" s="2043"/>
      <c r="X863" s="1852" t="str">
        <f t="shared" si="2"/>
        <v/>
      </c>
      <c r="Y863" s="1852" t="str">
        <f t="shared" si="3"/>
        <v/>
      </c>
      <c r="Z863" s="1852" t="str">
        <f t="shared" si="4"/>
        <v/>
      </c>
      <c r="AA863" s="1852" t="str">
        <f t="shared" si="5"/>
        <v/>
      </c>
      <c r="AB863" s="1852" t="str">
        <f t="shared" si="6"/>
        <v/>
      </c>
      <c r="AC863" s="1852" t="str">
        <f t="shared" si="7"/>
        <v/>
      </c>
      <c r="AD863" s="1852" t="str">
        <f t="shared" si="8"/>
        <v/>
      </c>
      <c r="AE863" s="1852" t="str">
        <f t="shared" si="9"/>
        <v/>
      </c>
      <c r="AF863" s="1852" t="str">
        <f t="shared" si="10"/>
        <v/>
      </c>
      <c r="AG863" s="1852" t="str">
        <f t="shared" si="11"/>
        <v/>
      </c>
      <c r="AH863" s="1852" t="str">
        <f t="shared" si="12"/>
        <v/>
      </c>
      <c r="AI863" s="1852" t="str">
        <f t="shared" si="13"/>
        <v/>
      </c>
      <c r="AJ863" s="1852" t="str">
        <f t="shared" si="14"/>
        <v/>
      </c>
      <c r="AK863" s="1852">
        <f t="shared" si="15"/>
        <v>6</v>
      </c>
      <c r="AL863" s="1852" t="str">
        <f t="shared" si="16"/>
        <v/>
      </c>
      <c r="AM863" s="1852" t="str">
        <f t="shared" si="17"/>
        <v/>
      </c>
      <c r="AN863" s="1852" t="str">
        <f t="shared" si="18"/>
        <v/>
      </c>
      <c r="AO863" s="1852" t="str">
        <f t="shared" si="19"/>
        <v/>
      </c>
      <c r="AP863" s="1852" t="str">
        <f t="shared" si="20"/>
        <v/>
      </c>
      <c r="AQ863" s="1852" t="str">
        <f t="shared" si="21"/>
        <v/>
      </c>
      <c r="AR863" s="1852" t="str">
        <f t="shared" si="22"/>
        <v/>
      </c>
      <c r="AS863" s="1852" t="str">
        <f t="shared" si="23"/>
        <v/>
      </c>
      <c r="AT863" s="1852" t="str">
        <f t="shared" si="24"/>
        <v/>
      </c>
      <c r="AU863" s="1852" t="str">
        <f t="shared" si="25"/>
        <v/>
      </c>
      <c r="AV863" s="1852" t="str">
        <f t="shared" si="26"/>
        <v/>
      </c>
      <c r="AW863" s="1852" t="str">
        <f t="shared" si="27"/>
        <v/>
      </c>
      <c r="AX863" s="1852" t="str">
        <f t="shared" si="28"/>
        <v/>
      </c>
      <c r="AY863" s="1852" t="str">
        <f t="shared" si="29"/>
        <v/>
      </c>
      <c r="AZ863" s="1852" t="str">
        <f t="shared" si="30"/>
        <v/>
      </c>
      <c r="BA863" s="1852" t="str">
        <f t="shared" si="31"/>
        <v/>
      </c>
      <c r="BB863" s="1852" t="str">
        <f t="shared" si="32"/>
        <v/>
      </c>
      <c r="BC863" s="1852" t="str">
        <f t="shared" si="33"/>
        <v/>
      </c>
      <c r="BD863" s="1852" t="str">
        <f t="shared" si="34"/>
        <v/>
      </c>
      <c r="BE863" s="1852" t="str">
        <f t="shared" si="35"/>
        <v/>
      </c>
      <c r="BF863" s="1852" t="str">
        <f t="shared" si="36"/>
        <v/>
      </c>
      <c r="BG863" s="1852" t="str">
        <f t="shared" si="37"/>
        <v/>
      </c>
      <c r="BH863" s="1852" t="str">
        <f t="shared" si="38"/>
        <v/>
      </c>
      <c r="BI863" s="1852" t="str">
        <f t="shared" si="39"/>
        <v/>
      </c>
      <c r="BJ863" s="1852" t="str">
        <f t="shared" si="40"/>
        <v/>
      </c>
      <c r="BK863" s="1852" t="str">
        <f t="shared" si="41"/>
        <v/>
      </c>
      <c r="BL863" s="1852" t="str">
        <f t="shared" si="42"/>
        <v/>
      </c>
      <c r="BM863" s="1852" t="str">
        <f t="shared" si="43"/>
        <v/>
      </c>
      <c r="BN863" s="1852" t="str">
        <f t="shared" si="44"/>
        <v/>
      </c>
      <c r="BO863" s="1852" t="str">
        <f t="shared" si="45"/>
        <v/>
      </c>
      <c r="BP863" s="1852" t="str">
        <f t="shared" si="46"/>
        <v/>
      </c>
      <c r="BQ863" s="1852" t="str">
        <f t="shared" si="47"/>
        <v/>
      </c>
      <c r="BR863" s="1852" t="str">
        <f t="shared" si="48"/>
        <v/>
      </c>
      <c r="BS863" s="1852" t="str">
        <f t="shared" si="49"/>
        <v/>
      </c>
      <c r="BT863" s="1852" t="str">
        <f t="shared" si="50"/>
        <v/>
      </c>
      <c r="BU863" s="1852" t="str">
        <f t="shared" si="51"/>
        <v/>
      </c>
      <c r="BV863" s="1852" t="str">
        <f t="shared" si="52"/>
        <v/>
      </c>
      <c r="BW863" s="1852" t="str">
        <f t="shared" si="53"/>
        <v/>
      </c>
      <c r="BX863" s="1852" t="str">
        <f t="shared" si="54"/>
        <v/>
      </c>
      <c r="BY863" s="1852" t="str">
        <f t="shared" si="55"/>
        <v/>
      </c>
      <c r="BZ863" s="1852" t="str">
        <f t="shared" si="56"/>
        <v/>
      </c>
      <c r="CA863" s="1852" t="str">
        <f t="shared" si="57"/>
        <v/>
      </c>
      <c r="CB863" s="1852" t="str">
        <f t="shared" si="58"/>
        <v/>
      </c>
      <c r="CC863" s="1852" t="str">
        <f t="shared" si="59"/>
        <v/>
      </c>
      <c r="CD863" s="1852" t="str">
        <f t="shared" si="60"/>
        <v/>
      </c>
      <c r="CE863" s="1852" t="str">
        <f t="shared" si="61"/>
        <v/>
      </c>
      <c r="CF863" s="1852" t="str">
        <f t="shared" si="62"/>
        <v/>
      </c>
      <c r="CG863" s="1852" t="str">
        <f t="shared" si="63"/>
        <v/>
      </c>
      <c r="CH863" s="1852" t="str">
        <f t="shared" si="64"/>
        <v/>
      </c>
      <c r="CI863" s="1852" t="str">
        <f t="shared" si="65"/>
        <v/>
      </c>
      <c r="CJ863" s="1852" t="str">
        <f t="shared" si="66"/>
        <v/>
      </c>
      <c r="CK863" s="1852" t="str">
        <f t="shared" si="67"/>
        <v/>
      </c>
      <c r="CL863" s="1852" t="str">
        <f t="shared" si="68"/>
        <v/>
      </c>
      <c r="CM863" s="1852" t="str">
        <f t="shared" si="69"/>
        <v/>
      </c>
      <c r="CN863" s="1852" t="str">
        <f t="shared" si="70"/>
        <v/>
      </c>
      <c r="CO863" s="1852" t="str">
        <f t="shared" si="71"/>
        <v/>
      </c>
      <c r="CP863" s="1852" t="str">
        <f t="shared" si="72"/>
        <v/>
      </c>
      <c r="CQ863" s="1852" t="str">
        <f t="shared" si="73"/>
        <v/>
      </c>
      <c r="CR863" s="1852" t="str">
        <f t="shared" si="74"/>
        <v/>
      </c>
      <c r="CS863" s="1852" t="str">
        <f t="shared" si="75"/>
        <v/>
      </c>
      <c r="CT863" s="1852" t="str">
        <f t="shared" si="76"/>
        <v/>
      </c>
      <c r="CU863" s="1852" t="str">
        <f t="shared" si="77"/>
        <v/>
      </c>
      <c r="CV863" s="1852" t="str">
        <f t="shared" si="78"/>
        <v/>
      </c>
      <c r="CW863" s="1852" t="str">
        <f t="shared" si="79"/>
        <v/>
      </c>
      <c r="CX863" s="1852" t="str">
        <f t="shared" si="80"/>
        <v/>
      </c>
      <c r="CY863" s="1852" t="str">
        <f t="shared" si="81"/>
        <v/>
      </c>
      <c r="CZ863" s="1852" t="str">
        <f t="shared" si="82"/>
        <v/>
      </c>
      <c r="DA863" s="1852" t="str">
        <f t="shared" si="83"/>
        <v/>
      </c>
      <c r="DB863" s="1852" t="str">
        <f t="shared" si="84"/>
        <v/>
      </c>
      <c r="DC863" s="1852" t="str">
        <f t="shared" si="85"/>
        <v/>
      </c>
      <c r="DD863" s="1852" t="str">
        <f t="shared" si="86"/>
        <v/>
      </c>
      <c r="DE863" s="1852" t="str">
        <f t="shared" si="87"/>
        <v/>
      </c>
      <c r="DF863" s="1852" t="str">
        <f t="shared" si="88"/>
        <v/>
      </c>
      <c r="DG863" s="1852" t="str">
        <f t="shared" si="89"/>
        <v/>
      </c>
      <c r="DH863" s="1852" t="str">
        <f t="shared" si="90"/>
        <v/>
      </c>
      <c r="DI863" s="1852" t="str">
        <f t="shared" si="91"/>
        <v/>
      </c>
      <c r="DJ863" s="1852" t="str">
        <f t="shared" si="92"/>
        <v/>
      </c>
      <c r="DK863" s="1852" t="str">
        <f t="shared" si="93"/>
        <v/>
      </c>
      <c r="DL863" s="1852" t="str">
        <f t="shared" si="94"/>
        <v/>
      </c>
      <c r="DM863" s="1852" t="str">
        <f t="shared" si="95"/>
        <v/>
      </c>
      <c r="DN863" s="1852" t="str">
        <f t="shared" si="96"/>
        <v/>
      </c>
      <c r="DO863" s="1852" t="str">
        <f t="shared" si="97"/>
        <v/>
      </c>
      <c r="DP863" s="1852" t="str">
        <f t="shared" si="98"/>
        <v/>
      </c>
      <c r="DQ863" s="1852" t="str">
        <f t="shared" si="99"/>
        <v/>
      </c>
      <c r="DR863" s="1852" t="str">
        <f t="shared" si="100"/>
        <v/>
      </c>
      <c r="DS863" s="1852" t="str">
        <f t="shared" si="101"/>
        <v/>
      </c>
      <c r="DT863" s="1852" t="str">
        <f t="shared" si="102"/>
        <v/>
      </c>
      <c r="DU863" s="1852" t="str">
        <f t="shared" si="103"/>
        <v/>
      </c>
      <c r="DV863" s="1852" t="str">
        <f t="shared" si="104"/>
        <v/>
      </c>
      <c r="DW863" s="1852" t="str">
        <f t="shared" si="105"/>
        <v/>
      </c>
      <c r="DX863" s="1852" t="str">
        <f t="shared" si="106"/>
        <v/>
      </c>
      <c r="DY863" s="1852" t="str">
        <f t="shared" si="107"/>
        <v/>
      </c>
      <c r="DZ863" s="1852" t="str">
        <f t="shared" si="108"/>
        <v/>
      </c>
      <c r="EA863" s="1852" t="str">
        <f t="shared" si="109"/>
        <v/>
      </c>
      <c r="EB863" s="1852" t="str">
        <f t="shared" si="110"/>
        <v/>
      </c>
      <c r="EC863" s="1852" t="str">
        <f t="shared" si="111"/>
        <v/>
      </c>
      <c r="ED863" s="1852" t="str">
        <f t="shared" si="112"/>
        <v/>
      </c>
      <c r="EE863" s="1852" t="str">
        <f t="shared" si="113"/>
        <v/>
      </c>
      <c r="EF863" s="1852" t="str">
        <f t="shared" si="114"/>
        <v/>
      </c>
      <c r="EG863" s="1852" t="str">
        <f t="shared" si="115"/>
        <v/>
      </c>
      <c r="EH863" s="1852" t="str">
        <f t="shared" si="116"/>
        <v/>
      </c>
      <c r="EI863" s="1852" t="str">
        <f t="shared" si="117"/>
        <v/>
      </c>
      <c r="EJ863" s="1852" t="str">
        <f t="shared" si="118"/>
        <v/>
      </c>
      <c r="EK863" s="1852" t="str">
        <f t="shared" si="119"/>
        <v/>
      </c>
      <c r="EL863" s="1852" t="str">
        <f t="shared" si="120"/>
        <v/>
      </c>
      <c r="EM863" s="1852" t="str">
        <f t="shared" si="121"/>
        <v/>
      </c>
      <c r="EN863" s="1852" t="str">
        <f t="shared" si="122"/>
        <v/>
      </c>
      <c r="EO863" s="1852" t="str">
        <f t="shared" si="123"/>
        <v/>
      </c>
      <c r="EP863" s="1852" t="str">
        <f t="shared" si="124"/>
        <v/>
      </c>
      <c r="EQ863" s="1852" t="str">
        <f t="shared" si="125"/>
        <v/>
      </c>
      <c r="ER863" s="1852" t="str">
        <f t="shared" si="126"/>
        <v/>
      </c>
      <c r="ES863" s="1852" t="str">
        <f t="shared" si="127"/>
        <v/>
      </c>
      <c r="ET863" s="1852" t="str">
        <f t="shared" si="128"/>
        <v/>
      </c>
      <c r="EU863" s="1852" t="str">
        <f t="shared" si="129"/>
        <v/>
      </c>
      <c r="EV863" s="1852">
        <f t="shared" si="130"/>
        <v>7806</v>
      </c>
      <c r="EW863" s="1852" t="str">
        <f t="shared" si="131"/>
        <v/>
      </c>
      <c r="EX863" s="1852" t="str">
        <f t="shared" si="132"/>
        <v/>
      </c>
      <c r="EY863" s="1852" t="str">
        <f t="shared" si="133"/>
        <v/>
      </c>
      <c r="EZ863" s="1852" t="str">
        <f t="shared" si="134"/>
        <v/>
      </c>
      <c r="FA863" s="1852" t="str">
        <f t="shared" si="135"/>
        <v/>
      </c>
      <c r="FB863" s="1852" t="str">
        <f t="shared" si="136"/>
        <v/>
      </c>
      <c r="FC863" s="1852" t="str">
        <f t="shared" si="137"/>
        <v/>
      </c>
      <c r="FD863" s="1852" t="str">
        <f t="shared" si="138"/>
        <v/>
      </c>
      <c r="FE863" s="1852" t="str">
        <f t="shared" si="139"/>
        <v/>
      </c>
      <c r="FF863" s="1852" t="str">
        <f t="shared" si="140"/>
        <v/>
      </c>
      <c r="FG863" s="1852" t="str">
        <f t="shared" si="141"/>
        <v/>
      </c>
      <c r="FH863" s="1852" t="str">
        <f t="shared" si="142"/>
        <v/>
      </c>
      <c r="FI863" s="1852" t="str">
        <f t="shared" si="143"/>
        <v/>
      </c>
      <c r="FJ863" s="1852" t="str">
        <f t="shared" si="144"/>
        <v/>
      </c>
      <c r="FK863" s="1852" t="str">
        <f t="shared" si="145"/>
        <v/>
      </c>
      <c r="FL863" s="1852" t="str">
        <f t="shared" si="146"/>
        <v/>
      </c>
      <c r="FM863" s="1852" t="str">
        <f t="shared" si="147"/>
        <v/>
      </c>
      <c r="FN863" s="1852" t="str">
        <f t="shared" si="148"/>
        <v/>
      </c>
      <c r="FO863" s="1852" t="str">
        <f t="shared" si="149"/>
        <v/>
      </c>
      <c r="FP863" s="1852" t="str">
        <f t="shared" si="150"/>
        <v/>
      </c>
      <c r="FQ863" s="1852" t="str">
        <f t="shared" si="151"/>
        <v/>
      </c>
      <c r="FR863" s="1852" t="str">
        <f t="shared" si="152"/>
        <v/>
      </c>
      <c r="FS863" s="1852" t="str">
        <f t="shared" si="153"/>
        <v/>
      </c>
      <c r="FT863" s="1852" t="str">
        <f t="shared" si="154"/>
        <v/>
      </c>
      <c r="FU863" s="1852" t="str">
        <f t="shared" si="155"/>
        <v/>
      </c>
      <c r="FV863" s="1852" t="str">
        <f t="shared" si="156"/>
        <v/>
      </c>
      <c r="FW863" s="1852" t="str">
        <f t="shared" si="157"/>
        <v/>
      </c>
      <c r="FX863" s="1852" t="str">
        <f t="shared" si="158"/>
        <v/>
      </c>
      <c r="FY863" s="1852" t="str">
        <f t="shared" si="159"/>
        <v/>
      </c>
      <c r="FZ863" s="1852" t="str">
        <f t="shared" si="160"/>
        <v/>
      </c>
      <c r="GA863" s="1852" t="str">
        <f t="shared" si="161"/>
        <v/>
      </c>
      <c r="GB863" s="1852" t="str">
        <f t="shared" si="162"/>
        <v/>
      </c>
      <c r="GC863" s="1852" t="str">
        <f t="shared" si="163"/>
        <v/>
      </c>
      <c r="GD863" s="1852" t="str">
        <f t="shared" si="164"/>
        <v/>
      </c>
      <c r="GE863" s="1852" t="str">
        <f t="shared" si="165"/>
        <v/>
      </c>
      <c r="GF863" s="1852" t="str">
        <f t="shared" si="166"/>
        <v/>
      </c>
      <c r="GG863" s="1852" t="str">
        <f t="shared" si="167"/>
        <v/>
      </c>
      <c r="GH863" s="1852" t="str">
        <f t="shared" si="168"/>
        <v/>
      </c>
      <c r="GI863" s="1852" t="str">
        <f t="shared" si="169"/>
        <v/>
      </c>
      <c r="GJ863" s="1852">
        <f t="shared" si="170"/>
        <v>6</v>
      </c>
      <c r="GK863" s="1852" t="str">
        <f t="shared" si="171"/>
        <v/>
      </c>
      <c r="GL863" s="1852" t="str">
        <f t="shared" si="172"/>
        <v/>
      </c>
      <c r="GM863" s="1852" t="str">
        <f t="shared" si="173"/>
        <v/>
      </c>
      <c r="GN863" s="1852" t="str">
        <f t="shared" si="174"/>
        <v/>
      </c>
      <c r="GO863" s="1852" t="str">
        <f t="shared" si="175"/>
        <v/>
      </c>
      <c r="GP863" s="1852" t="str">
        <f t="shared" si="176"/>
        <v/>
      </c>
      <c r="GQ863" s="1852" t="str">
        <f t="shared" si="177"/>
        <v/>
      </c>
      <c r="GR863" s="1852" t="str">
        <f t="shared" si="178"/>
        <v/>
      </c>
      <c r="GS863" s="1852" t="str">
        <f t="shared" si="179"/>
        <v/>
      </c>
      <c r="GT863" s="1852" t="str">
        <f t="shared" si="180"/>
        <v/>
      </c>
      <c r="GU863" s="1852" t="str">
        <f t="shared" si="181"/>
        <v/>
      </c>
      <c r="GV863" s="1852" t="str">
        <f t="shared" si="182"/>
        <v/>
      </c>
      <c r="GW863" s="1852" t="str">
        <f t="shared" si="183"/>
        <v/>
      </c>
      <c r="GX863" s="1852" t="str">
        <f t="shared" si="184"/>
        <v/>
      </c>
      <c r="GY863" s="1852" t="str">
        <f t="shared" si="185"/>
        <v/>
      </c>
      <c r="GZ863" s="1852" t="str">
        <f t="shared" si="186"/>
        <v/>
      </c>
      <c r="HA863" s="1852" t="str">
        <f t="shared" si="187"/>
        <v/>
      </c>
      <c r="HB863" s="1852" t="str">
        <f t="shared" si="188"/>
        <v/>
      </c>
      <c r="HC863" s="1852" t="str">
        <f t="shared" si="189"/>
        <v/>
      </c>
      <c r="HD863" s="1852" t="str">
        <f t="shared" si="190"/>
        <v/>
      </c>
      <c r="HE863" s="1852" t="str">
        <f t="shared" si="191"/>
        <v/>
      </c>
      <c r="HF863" s="1852" t="str">
        <f t="shared" si="192"/>
        <v/>
      </c>
      <c r="HG863" s="1852" t="str">
        <f t="shared" si="193"/>
        <v/>
      </c>
      <c r="HH863" s="1852" t="str">
        <f t="shared" si="194"/>
        <v/>
      </c>
      <c r="HI863" s="1852" t="str">
        <f t="shared" si="195"/>
        <v/>
      </c>
      <c r="HJ863" s="1852" t="str">
        <f t="shared" si="196"/>
        <v/>
      </c>
      <c r="HK863" s="1852" t="str">
        <f t="shared" si="197"/>
        <v/>
      </c>
      <c r="HL863" s="1852" t="str">
        <f t="shared" si="198"/>
        <v/>
      </c>
      <c r="HM863" s="1852" t="str">
        <f t="shared" si="199"/>
        <v/>
      </c>
      <c r="HN863" s="1852" t="str">
        <f t="shared" si="200"/>
        <v/>
      </c>
      <c r="HO863" s="1852" t="str">
        <f t="shared" si="201"/>
        <v/>
      </c>
      <c r="HP863" s="1852" t="str">
        <f t="shared" si="202"/>
        <v/>
      </c>
      <c r="HQ863" s="1852" t="str">
        <f t="shared" si="203"/>
        <v/>
      </c>
      <c r="HR863" s="1852" t="str">
        <f t="shared" si="204"/>
        <v/>
      </c>
      <c r="HS863" s="1852" t="str">
        <f t="shared" si="205"/>
        <v/>
      </c>
      <c r="HT863" s="1852" t="str">
        <f t="shared" si="206"/>
        <v/>
      </c>
      <c r="HU863" s="1852" t="str">
        <f t="shared" si="207"/>
        <v/>
      </c>
      <c r="HV863" s="1852" t="str">
        <f t="shared" si="208"/>
        <v/>
      </c>
      <c r="HW863" s="1852" t="str">
        <f t="shared" si="209"/>
        <v/>
      </c>
      <c r="HX863" s="1852" t="str">
        <f t="shared" si="210"/>
        <v/>
      </c>
      <c r="HY863" s="1852" t="str">
        <f t="shared" si="211"/>
        <v/>
      </c>
      <c r="HZ863" s="2140" t="str">
        <f t="shared" si="212"/>
        <v/>
      </c>
      <c r="IA863" s="2140" t="str">
        <f t="shared" si="213"/>
        <v/>
      </c>
      <c r="IB863" s="2140" t="str">
        <f t="shared" si="214"/>
        <v/>
      </c>
      <c r="IC863" s="2140">
        <f t="shared" si="215"/>
        <v>6</v>
      </c>
      <c r="ID863" s="2140" t="str">
        <f t="shared" si="216"/>
        <v/>
      </c>
      <c r="IE863" s="2140" t="str">
        <f t="shared" si="217"/>
        <v/>
      </c>
      <c r="IF863" s="2140" t="str">
        <f t="shared" si="218"/>
        <v/>
      </c>
      <c r="IG863" s="2140" t="str">
        <f t="shared" si="219"/>
        <v/>
      </c>
      <c r="IH863" s="2140" t="str">
        <f t="shared" si="220"/>
        <v/>
      </c>
      <c r="II863" s="2140" t="str">
        <f t="shared" si="221"/>
        <v/>
      </c>
      <c r="IJ863" s="2140" t="str">
        <f t="shared" si="222"/>
        <v/>
      </c>
      <c r="IK863" s="2140" t="str">
        <f t="shared" si="223"/>
        <v/>
      </c>
      <c r="IL863" s="2140" t="str">
        <f t="shared" si="224"/>
        <v/>
      </c>
      <c r="IM863" s="2140" t="str">
        <f t="shared" si="225"/>
        <v/>
      </c>
      <c r="IN863" s="2140" t="str">
        <f t="shared" si="226"/>
        <v/>
      </c>
      <c r="IO863" s="2140" t="str">
        <f t="shared" si="227"/>
        <v/>
      </c>
      <c r="IP863" s="2140" t="str">
        <f t="shared" si="228"/>
        <v/>
      </c>
      <c r="IQ863" s="2140" t="str">
        <f t="shared" si="229"/>
        <v/>
      </c>
      <c r="IR863" s="2140" t="str">
        <f t="shared" si="230"/>
        <v/>
      </c>
      <c r="IS863" s="2140" t="str">
        <f t="shared" si="231"/>
        <v/>
      </c>
      <c r="IT863" s="2140" t="str">
        <f t="shared" si="232"/>
        <v/>
      </c>
      <c r="IU863" s="2140" t="str">
        <f t="shared" si="233"/>
        <v/>
      </c>
      <c r="IV863" s="2140" t="str">
        <f t="shared" si="234"/>
        <v/>
      </c>
      <c r="IW863" s="2140" t="str">
        <f t="shared" si="235"/>
        <v/>
      </c>
      <c r="IX863" s="2140" t="str">
        <f t="shared" si="236"/>
        <v/>
      </c>
      <c r="IY863" s="2140" t="str">
        <f t="shared" si="237"/>
        <v/>
      </c>
      <c r="IZ863" s="2140" t="str">
        <f t="shared" si="238"/>
        <v/>
      </c>
      <c r="JA863" s="2140" t="str">
        <f t="shared" si="239"/>
        <v/>
      </c>
      <c r="JB863" s="2140" t="str">
        <f t="shared" si="240"/>
        <v/>
      </c>
      <c r="JC863" s="2140" t="str">
        <f t="shared" si="241"/>
        <v/>
      </c>
      <c r="JD863" s="2140" t="str">
        <f t="shared" si="242"/>
        <v/>
      </c>
      <c r="JE863" s="2140" t="str">
        <f t="shared" si="243"/>
        <v/>
      </c>
      <c r="JF863" s="2140" t="str">
        <f t="shared" si="244"/>
        <v/>
      </c>
      <c r="JG863" s="2140" t="str">
        <f t="shared" si="245"/>
        <v/>
      </c>
      <c r="JH863" s="2140" t="str">
        <f t="shared" si="246"/>
        <v/>
      </c>
      <c r="JI863" s="2140" t="str">
        <f t="shared" si="247"/>
        <v/>
      </c>
      <c r="JJ863" s="2140" t="str">
        <f t="shared" si="248"/>
        <v/>
      </c>
      <c r="JK863" s="2140" t="str">
        <f t="shared" si="249"/>
        <v/>
      </c>
      <c r="JL863" s="2140" t="str">
        <f t="shared" si="250"/>
        <v/>
      </c>
      <c r="JM863" s="2140" t="str">
        <f t="shared" si="251"/>
        <v/>
      </c>
      <c r="JN863" s="2140" t="str">
        <f t="shared" si="252"/>
        <v/>
      </c>
      <c r="JO863" s="2140" t="str">
        <f t="shared" si="253"/>
        <v/>
      </c>
      <c r="JP863" s="2140" t="str">
        <f t="shared" si="254"/>
        <v/>
      </c>
      <c r="JQ863" s="2140" t="str">
        <f t="shared" si="255"/>
        <v/>
      </c>
      <c r="JR863" s="2140" t="str">
        <f t="shared" si="256"/>
        <v/>
      </c>
      <c r="JS863" s="2140" t="str">
        <f t="shared" si="257"/>
        <v/>
      </c>
      <c r="JT863" s="2140" t="str">
        <f t="shared" si="258"/>
        <v/>
      </c>
      <c r="JU863" s="2140" t="str">
        <f t="shared" si="259"/>
        <v/>
      </c>
      <c r="JV863" s="2140">
        <f t="shared" si="260"/>
        <v>6</v>
      </c>
      <c r="JW863" s="2140" t="str">
        <f t="shared" si="261"/>
        <v/>
      </c>
      <c r="JX863" s="2140" t="str">
        <f t="shared" si="262"/>
        <v/>
      </c>
      <c r="JY863" s="2140" t="str">
        <f t="shared" si="263"/>
        <v/>
      </c>
      <c r="JZ863" s="2140" t="str">
        <f t="shared" si="264"/>
        <v/>
      </c>
      <c r="KA863" s="2140" t="str">
        <f t="shared" si="265"/>
        <v/>
      </c>
      <c r="KB863" s="2140" t="str">
        <f t="shared" si="266"/>
        <v/>
      </c>
      <c r="KC863" s="2140" t="str">
        <f t="shared" si="267"/>
        <v/>
      </c>
      <c r="KD863" s="2140" t="str">
        <f t="shared" si="268"/>
        <v/>
      </c>
      <c r="KE863" s="2140" t="str">
        <f t="shared" si="269"/>
        <v/>
      </c>
      <c r="KF863" s="2140" t="str">
        <f t="shared" si="270"/>
        <v/>
      </c>
      <c r="KG863" s="2140" t="str">
        <f t="shared" si="271"/>
        <v/>
      </c>
      <c r="KH863" s="2140" t="str">
        <f t="shared" si="272"/>
        <v/>
      </c>
      <c r="KI863" s="2140" t="str">
        <f t="shared" si="273"/>
        <v/>
      </c>
      <c r="KJ863" s="2140" t="str">
        <f t="shared" si="274"/>
        <v/>
      </c>
      <c r="KK863" s="2140" t="str">
        <f t="shared" si="275"/>
        <v/>
      </c>
      <c r="KL863" s="2140" t="str">
        <f t="shared" si="276"/>
        <v/>
      </c>
      <c r="KM863" s="2140" t="str">
        <f t="shared" si="277"/>
        <v/>
      </c>
      <c r="KN863" s="2140" t="str">
        <f t="shared" si="278"/>
        <v/>
      </c>
      <c r="KO863" s="2140" t="str">
        <f t="shared" si="279"/>
        <v/>
      </c>
      <c r="KP863" s="2140" t="str">
        <f t="shared" si="280"/>
        <v/>
      </c>
      <c r="KQ863" s="2140" t="str">
        <f t="shared" si="281"/>
        <v/>
      </c>
      <c r="KR863" s="2140" t="str">
        <f t="shared" si="282"/>
        <v/>
      </c>
      <c r="KS863" s="2140" t="str">
        <f t="shared" si="283"/>
        <v/>
      </c>
      <c r="KT863" s="2140" t="str">
        <f t="shared" si="284"/>
        <v/>
      </c>
      <c r="KU863" s="2140" t="str">
        <f t="shared" si="285"/>
        <v/>
      </c>
      <c r="KV863" s="2140" t="str">
        <f t="shared" si="286"/>
        <v/>
      </c>
      <c r="KW863" s="2140" t="str">
        <f t="shared" si="287"/>
        <v/>
      </c>
      <c r="KX863" s="2140" t="str">
        <f t="shared" si="288"/>
        <v/>
      </c>
      <c r="KY863" s="2140" t="str">
        <f t="shared" si="289"/>
        <v/>
      </c>
      <c r="KZ863" s="2140" t="str">
        <f t="shared" si="290"/>
        <v/>
      </c>
      <c r="LA863" s="2140" t="str">
        <f t="shared" si="291"/>
        <v/>
      </c>
      <c r="LB863" s="2140" t="str">
        <f t="shared" si="292"/>
        <v/>
      </c>
      <c r="LC863" s="2140" t="str">
        <f t="shared" si="293"/>
        <v/>
      </c>
      <c r="LD863" s="2140" t="str">
        <f t="shared" si="294"/>
        <v/>
      </c>
      <c r="LE863" s="2140" t="str">
        <f t="shared" si="295"/>
        <v/>
      </c>
      <c r="LF863" s="2140" t="str">
        <f t="shared" si="296"/>
        <v/>
      </c>
      <c r="LG863" s="2051" t="str">
        <f t="shared" si="297"/>
        <v/>
      </c>
      <c r="LH863" s="2051" t="str">
        <f t="shared" si="298"/>
        <v/>
      </c>
      <c r="LI863" s="2051" t="str">
        <f t="shared" si="299"/>
        <v/>
      </c>
      <c r="LJ863" s="2051" t="str">
        <f t="shared" si="300"/>
        <v/>
      </c>
      <c r="LK863" s="2051" t="str">
        <f t="shared" si="301"/>
        <v/>
      </c>
      <c r="LL863" s="1852" t="str">
        <f t="shared" si="302"/>
        <v/>
      </c>
      <c r="LM863" s="1852" t="str">
        <f t="shared" si="303"/>
        <v/>
      </c>
      <c r="LN863" s="1852" t="str">
        <f t="shared" si="304"/>
        <v/>
      </c>
      <c r="LO863" s="1852" t="str">
        <f t="shared" si="305"/>
        <v/>
      </c>
      <c r="LP863" s="1852" t="str">
        <f t="shared" si="306"/>
        <v/>
      </c>
      <c r="LQ863" s="1852" t="str">
        <f t="shared" si="307"/>
        <v/>
      </c>
      <c r="LR863" s="1852" t="str">
        <f t="shared" si="308"/>
        <v/>
      </c>
      <c r="LS863" s="1852" t="str">
        <f t="shared" si="309"/>
        <v/>
      </c>
      <c r="LT863" s="1852" t="str">
        <f t="shared" si="310"/>
        <v/>
      </c>
      <c r="LU863" s="1852" t="str">
        <f t="shared" si="311"/>
        <v/>
      </c>
      <c r="LV863" s="1852" t="str">
        <f t="shared" si="312"/>
        <v/>
      </c>
      <c r="LW863" s="1852" t="str">
        <f t="shared" si="313"/>
        <v/>
      </c>
      <c r="LX863" s="1852" t="str">
        <f t="shared" si="314"/>
        <v/>
      </c>
      <c r="LY863" s="1852" t="str">
        <f t="shared" si="315"/>
        <v/>
      </c>
      <c r="LZ863" s="1852" t="str">
        <f t="shared" si="316"/>
        <v/>
      </c>
      <c r="MA863" s="1852" t="str">
        <f t="shared" si="317"/>
        <v/>
      </c>
      <c r="MB863" s="1852" t="str">
        <f t="shared" si="318"/>
        <v/>
      </c>
      <c r="MC863" s="1852" t="str">
        <f t="shared" si="319"/>
        <v/>
      </c>
      <c r="MD863" s="1852" t="str">
        <f t="shared" si="320"/>
        <v/>
      </c>
      <c r="ME863" s="1852" t="str">
        <f t="shared" si="321"/>
        <v/>
      </c>
      <c r="MF863" s="2051">
        <f t="shared" si="328"/>
        <v>0</v>
      </c>
      <c r="MG863" s="2051">
        <f t="shared" si="329"/>
        <v>0</v>
      </c>
      <c r="MH863" s="2051">
        <f t="shared" si="330"/>
        <v>0</v>
      </c>
      <c r="MI863" s="2051">
        <f t="shared" si="331"/>
        <v>0</v>
      </c>
      <c r="MJ863" s="2051">
        <f t="shared" si="332"/>
        <v>0</v>
      </c>
      <c r="MK863" s="2051">
        <f t="shared" si="333"/>
        <v>0</v>
      </c>
      <c r="ML863" s="2051">
        <f t="shared" si="334"/>
        <v>0</v>
      </c>
      <c r="MM863" s="2051">
        <f t="shared" si="335"/>
        <v>0</v>
      </c>
      <c r="MN863" s="2051">
        <f t="shared" si="336"/>
        <v>6</v>
      </c>
      <c r="MO863" s="2051">
        <f t="shared" si="337"/>
        <v>0</v>
      </c>
      <c r="MP863" s="2051">
        <f t="shared" si="322"/>
        <v>0</v>
      </c>
      <c r="MQ863" s="2051">
        <f t="shared" si="323"/>
        <v>0</v>
      </c>
      <c r="MR863" s="2051">
        <f t="shared" si="324"/>
        <v>0</v>
      </c>
      <c r="MS863" s="2051">
        <f t="shared" si="325"/>
        <v>0</v>
      </c>
      <c r="MT863" s="2051">
        <f t="shared" si="326"/>
        <v>0</v>
      </c>
      <c r="NP863" s="1924" t="s">
        <v>6732</v>
      </c>
    </row>
    <row r="864" spans="1:380" s="1852" customFormat="1" ht="13.9" customHeight="1">
      <c r="A864" s="2108" t="str">
        <f t="shared" si="327"/>
        <v/>
      </c>
      <c r="B864" s="2130">
        <f>'Part VI-Revenues &amp; Expenses'!B24</f>
        <v>70</v>
      </c>
      <c r="C864" s="2131">
        <f>'Part VI-Revenues &amp; Expenses'!C24</f>
        <v>1</v>
      </c>
      <c r="D864" s="2132">
        <f>'Part VI-Revenues &amp; Expenses'!D24</f>
        <v>1</v>
      </c>
      <c r="E864" s="2133">
        <f>'Part VI-Revenues &amp; Expenses'!E24</f>
        <v>2</v>
      </c>
      <c r="F864" s="2133">
        <f>'Part VI-Revenues &amp; Expenses'!F24</f>
        <v>830</v>
      </c>
      <c r="G864" s="2133">
        <f>'Part VI-Revenues &amp; Expenses'!G24</f>
        <v>945</v>
      </c>
      <c r="H864" s="2133">
        <f>'Part VI-Revenues &amp; Expenses'!H24</f>
        <v>679</v>
      </c>
      <c r="I864" s="2133">
        <f>'Part VI-Revenues &amp; Expenses'!I24</f>
        <v>0</v>
      </c>
      <c r="J864" s="2133">
        <f>'Part VI-Revenues &amp; Expenses'!J24</f>
        <v>94</v>
      </c>
      <c r="K864" s="2134">
        <f>'Part VI-Revenues &amp; Expenses'!K24</f>
        <v>0</v>
      </c>
      <c r="L864" s="2135">
        <f t="shared" si="0"/>
        <v>585</v>
      </c>
      <c r="M864" s="2135">
        <f t="shared" si="1"/>
        <v>1170</v>
      </c>
      <c r="N864" s="1916" t="str">
        <f>'Part VI-Revenues &amp; Expenses'!N24</f>
        <v>No</v>
      </c>
      <c r="O864" s="2136" t="str">
        <f>'Part VI-Revenues &amp; Expenses'!O24</f>
        <v>Low-Rise Apt</v>
      </c>
      <c r="P864" s="1916" t="str">
        <f>'Part VI-Revenues &amp; Expenses'!P24</f>
        <v>New Construction</v>
      </c>
      <c r="Q864" s="2137" t="str">
        <f>'Part VI-Revenues &amp; Expenses'!Q24</f>
        <v>No</v>
      </c>
      <c r="R864" s="2138"/>
      <c r="S864" s="2139"/>
      <c r="T864" s="2043"/>
      <c r="U864" s="2043"/>
      <c r="V864" s="2043"/>
      <c r="W864" s="2043"/>
      <c r="X864" s="1852" t="str">
        <f t="shared" si="2"/>
        <v/>
      </c>
      <c r="Y864" s="1852" t="str">
        <f t="shared" si="3"/>
        <v/>
      </c>
      <c r="Z864" s="1852" t="str">
        <f t="shared" si="4"/>
        <v/>
      </c>
      <c r="AA864" s="1852" t="str">
        <f t="shared" si="5"/>
        <v/>
      </c>
      <c r="AB864" s="1852" t="str">
        <f t="shared" si="6"/>
        <v/>
      </c>
      <c r="AC864" s="1852" t="str">
        <f t="shared" si="7"/>
        <v/>
      </c>
      <c r="AD864" s="1852">
        <f t="shared" si="8"/>
        <v>2</v>
      </c>
      <c r="AE864" s="1852" t="str">
        <f t="shared" si="9"/>
        <v/>
      </c>
      <c r="AF864" s="1852" t="str">
        <f t="shared" si="10"/>
        <v/>
      </c>
      <c r="AG864" s="1852" t="str">
        <f t="shared" si="11"/>
        <v/>
      </c>
      <c r="AH864" s="1852" t="str">
        <f t="shared" si="12"/>
        <v/>
      </c>
      <c r="AI864" s="1852" t="str">
        <f t="shared" si="13"/>
        <v/>
      </c>
      <c r="AJ864" s="1852" t="str">
        <f t="shared" si="14"/>
        <v/>
      </c>
      <c r="AK864" s="1852" t="str">
        <f t="shared" si="15"/>
        <v/>
      </c>
      <c r="AL864" s="1852" t="str">
        <f t="shared" si="16"/>
        <v/>
      </c>
      <c r="AM864" s="1852" t="str">
        <f t="shared" si="17"/>
        <v/>
      </c>
      <c r="AN864" s="1852" t="str">
        <f t="shared" si="18"/>
        <v/>
      </c>
      <c r="AO864" s="1852" t="str">
        <f t="shared" si="19"/>
        <v/>
      </c>
      <c r="AP864" s="1852" t="str">
        <f t="shared" si="20"/>
        <v/>
      </c>
      <c r="AQ864" s="1852" t="str">
        <f t="shared" si="21"/>
        <v/>
      </c>
      <c r="AR864" s="1852" t="str">
        <f t="shared" si="22"/>
        <v/>
      </c>
      <c r="AS864" s="1852" t="str">
        <f t="shared" si="23"/>
        <v/>
      </c>
      <c r="AT864" s="1852" t="str">
        <f t="shared" si="24"/>
        <v/>
      </c>
      <c r="AU864" s="1852" t="str">
        <f t="shared" si="25"/>
        <v/>
      </c>
      <c r="AV864" s="1852" t="str">
        <f t="shared" si="26"/>
        <v/>
      </c>
      <c r="AW864" s="1852" t="str">
        <f t="shared" si="27"/>
        <v/>
      </c>
      <c r="AX864" s="1852" t="str">
        <f t="shared" si="28"/>
        <v/>
      </c>
      <c r="AY864" s="1852" t="str">
        <f t="shared" si="29"/>
        <v/>
      </c>
      <c r="AZ864" s="1852" t="str">
        <f t="shared" si="30"/>
        <v/>
      </c>
      <c r="BA864" s="1852" t="str">
        <f t="shared" si="31"/>
        <v/>
      </c>
      <c r="BB864" s="1852" t="str">
        <f t="shared" si="32"/>
        <v/>
      </c>
      <c r="BC864" s="1852" t="str">
        <f t="shared" si="33"/>
        <v/>
      </c>
      <c r="BD864" s="1852" t="str">
        <f t="shared" si="34"/>
        <v/>
      </c>
      <c r="BE864" s="1852" t="str">
        <f t="shared" si="35"/>
        <v/>
      </c>
      <c r="BF864" s="1852" t="str">
        <f t="shared" si="36"/>
        <v/>
      </c>
      <c r="BG864" s="1852" t="str">
        <f t="shared" si="37"/>
        <v/>
      </c>
      <c r="BH864" s="1852" t="str">
        <f t="shared" si="38"/>
        <v/>
      </c>
      <c r="BI864" s="1852" t="str">
        <f t="shared" si="39"/>
        <v/>
      </c>
      <c r="BJ864" s="1852" t="str">
        <f t="shared" si="40"/>
        <v/>
      </c>
      <c r="BK864" s="1852" t="str">
        <f t="shared" si="41"/>
        <v/>
      </c>
      <c r="BL864" s="1852" t="str">
        <f t="shared" si="42"/>
        <v/>
      </c>
      <c r="BM864" s="1852" t="str">
        <f t="shared" si="43"/>
        <v/>
      </c>
      <c r="BN864" s="1852" t="str">
        <f t="shared" si="44"/>
        <v/>
      </c>
      <c r="BO864" s="1852" t="str">
        <f t="shared" si="45"/>
        <v/>
      </c>
      <c r="BP864" s="1852" t="str">
        <f t="shared" si="46"/>
        <v/>
      </c>
      <c r="BQ864" s="1852" t="str">
        <f t="shared" si="47"/>
        <v/>
      </c>
      <c r="BR864" s="1852" t="str">
        <f t="shared" si="48"/>
        <v/>
      </c>
      <c r="BS864" s="1852" t="str">
        <f t="shared" si="49"/>
        <v/>
      </c>
      <c r="BT864" s="1852" t="str">
        <f t="shared" si="50"/>
        <v/>
      </c>
      <c r="BU864" s="1852" t="str">
        <f t="shared" si="51"/>
        <v/>
      </c>
      <c r="BV864" s="1852" t="str">
        <f t="shared" si="52"/>
        <v/>
      </c>
      <c r="BW864" s="1852" t="str">
        <f t="shared" si="53"/>
        <v/>
      </c>
      <c r="BX864" s="1852" t="str">
        <f t="shared" si="54"/>
        <v/>
      </c>
      <c r="BY864" s="1852" t="str">
        <f t="shared" si="55"/>
        <v/>
      </c>
      <c r="BZ864" s="1852" t="str">
        <f t="shared" si="56"/>
        <v/>
      </c>
      <c r="CA864" s="1852" t="str">
        <f t="shared" si="57"/>
        <v/>
      </c>
      <c r="CB864" s="1852" t="str">
        <f t="shared" si="58"/>
        <v/>
      </c>
      <c r="CC864" s="1852" t="str">
        <f t="shared" si="59"/>
        <v/>
      </c>
      <c r="CD864" s="1852" t="str">
        <f t="shared" si="60"/>
        <v/>
      </c>
      <c r="CE864" s="1852" t="str">
        <f t="shared" si="61"/>
        <v/>
      </c>
      <c r="CF864" s="1852" t="str">
        <f t="shared" si="62"/>
        <v/>
      </c>
      <c r="CG864" s="1852" t="str">
        <f t="shared" si="63"/>
        <v/>
      </c>
      <c r="CH864" s="1852" t="str">
        <f t="shared" si="64"/>
        <v/>
      </c>
      <c r="CI864" s="1852" t="str">
        <f t="shared" si="65"/>
        <v/>
      </c>
      <c r="CJ864" s="1852" t="str">
        <f t="shared" si="66"/>
        <v/>
      </c>
      <c r="CK864" s="1852" t="str">
        <f t="shared" si="67"/>
        <v/>
      </c>
      <c r="CL864" s="1852">
        <f t="shared" si="68"/>
        <v>2</v>
      </c>
      <c r="CM864" s="1852" t="str">
        <f t="shared" si="69"/>
        <v/>
      </c>
      <c r="CN864" s="1852" t="str">
        <f t="shared" si="70"/>
        <v/>
      </c>
      <c r="CO864" s="1852" t="str">
        <f t="shared" si="71"/>
        <v/>
      </c>
      <c r="CP864" s="1852" t="str">
        <f t="shared" si="72"/>
        <v/>
      </c>
      <c r="CQ864" s="1852" t="str">
        <f t="shared" si="73"/>
        <v/>
      </c>
      <c r="CR864" s="1852" t="str">
        <f t="shared" si="74"/>
        <v/>
      </c>
      <c r="CS864" s="1852" t="str">
        <f t="shared" si="75"/>
        <v/>
      </c>
      <c r="CT864" s="1852" t="str">
        <f t="shared" si="76"/>
        <v/>
      </c>
      <c r="CU864" s="1852" t="str">
        <f t="shared" si="77"/>
        <v/>
      </c>
      <c r="CV864" s="1852" t="str">
        <f t="shared" si="78"/>
        <v/>
      </c>
      <c r="CW864" s="1852" t="str">
        <f t="shared" si="79"/>
        <v/>
      </c>
      <c r="CX864" s="1852" t="str">
        <f t="shared" si="80"/>
        <v/>
      </c>
      <c r="CY864" s="1852" t="str">
        <f t="shared" si="81"/>
        <v/>
      </c>
      <c r="CZ864" s="1852" t="str">
        <f t="shared" si="82"/>
        <v/>
      </c>
      <c r="DA864" s="1852" t="str">
        <f t="shared" si="83"/>
        <v/>
      </c>
      <c r="DB864" s="1852" t="str">
        <f t="shared" si="84"/>
        <v/>
      </c>
      <c r="DC864" s="1852" t="str">
        <f t="shared" si="85"/>
        <v/>
      </c>
      <c r="DD864" s="1852" t="str">
        <f t="shared" si="86"/>
        <v/>
      </c>
      <c r="DE864" s="1852" t="str">
        <f t="shared" si="87"/>
        <v/>
      </c>
      <c r="DF864" s="1852" t="str">
        <f t="shared" si="88"/>
        <v/>
      </c>
      <c r="DG864" s="1852" t="str">
        <f t="shared" si="89"/>
        <v/>
      </c>
      <c r="DH864" s="1852" t="str">
        <f t="shared" si="90"/>
        <v/>
      </c>
      <c r="DI864" s="1852" t="str">
        <f t="shared" si="91"/>
        <v/>
      </c>
      <c r="DJ864" s="1852" t="str">
        <f t="shared" si="92"/>
        <v/>
      </c>
      <c r="DK864" s="1852" t="str">
        <f t="shared" si="93"/>
        <v/>
      </c>
      <c r="DL864" s="1852" t="str">
        <f t="shared" si="94"/>
        <v/>
      </c>
      <c r="DM864" s="1852" t="str">
        <f t="shared" si="95"/>
        <v/>
      </c>
      <c r="DN864" s="1852" t="str">
        <f t="shared" si="96"/>
        <v/>
      </c>
      <c r="DO864" s="1852" t="str">
        <f t="shared" si="97"/>
        <v/>
      </c>
      <c r="DP864" s="1852" t="str">
        <f t="shared" si="98"/>
        <v/>
      </c>
      <c r="DQ864" s="1852" t="str">
        <f t="shared" si="99"/>
        <v/>
      </c>
      <c r="DR864" s="1852" t="str">
        <f t="shared" si="100"/>
        <v/>
      </c>
      <c r="DS864" s="1852" t="str">
        <f t="shared" si="101"/>
        <v/>
      </c>
      <c r="DT864" s="1852" t="str">
        <f t="shared" si="102"/>
        <v/>
      </c>
      <c r="DU864" s="1852" t="str">
        <f t="shared" si="103"/>
        <v/>
      </c>
      <c r="DV864" s="1852" t="str">
        <f t="shared" si="104"/>
        <v/>
      </c>
      <c r="DW864" s="1852" t="str">
        <f t="shared" si="105"/>
        <v/>
      </c>
      <c r="DX864" s="1852" t="str">
        <f t="shared" si="106"/>
        <v/>
      </c>
      <c r="DY864" s="1852" t="str">
        <f t="shared" si="107"/>
        <v/>
      </c>
      <c r="DZ864" s="1852" t="str">
        <f t="shared" si="108"/>
        <v/>
      </c>
      <c r="EA864" s="1852" t="str">
        <f t="shared" si="109"/>
        <v/>
      </c>
      <c r="EB864" s="1852" t="str">
        <f t="shared" si="110"/>
        <v/>
      </c>
      <c r="EC864" s="1852" t="str">
        <f t="shared" si="111"/>
        <v/>
      </c>
      <c r="ED864" s="1852" t="str">
        <f t="shared" si="112"/>
        <v/>
      </c>
      <c r="EE864" s="1852" t="str">
        <f t="shared" si="113"/>
        <v/>
      </c>
      <c r="EF864" s="1852" t="str">
        <f t="shared" si="114"/>
        <v/>
      </c>
      <c r="EG864" s="1852" t="str">
        <f t="shared" si="115"/>
        <v/>
      </c>
      <c r="EH864" s="1852" t="str">
        <f t="shared" si="116"/>
        <v/>
      </c>
      <c r="EI864" s="1852" t="str">
        <f t="shared" si="117"/>
        <v/>
      </c>
      <c r="EJ864" s="1852" t="str">
        <f t="shared" si="118"/>
        <v/>
      </c>
      <c r="EK864" s="1852" t="str">
        <f t="shared" si="119"/>
        <v/>
      </c>
      <c r="EL864" s="1852" t="str">
        <f t="shared" si="120"/>
        <v/>
      </c>
      <c r="EM864" s="1852" t="str">
        <f t="shared" si="121"/>
        <v/>
      </c>
      <c r="EN864" s="1852" t="str">
        <f t="shared" si="122"/>
        <v/>
      </c>
      <c r="EO864" s="1852">
        <f t="shared" si="123"/>
        <v>1660</v>
      </c>
      <c r="EP864" s="1852" t="str">
        <f t="shared" si="124"/>
        <v/>
      </c>
      <c r="EQ864" s="1852" t="str">
        <f t="shared" si="125"/>
        <v/>
      </c>
      <c r="ER864" s="1852" t="str">
        <f t="shared" si="126"/>
        <v/>
      </c>
      <c r="ES864" s="1852" t="str">
        <f t="shared" si="127"/>
        <v/>
      </c>
      <c r="ET864" s="1852" t="str">
        <f t="shared" si="128"/>
        <v/>
      </c>
      <c r="EU864" s="1852" t="str">
        <f t="shared" si="129"/>
        <v/>
      </c>
      <c r="EV864" s="1852" t="str">
        <f t="shared" si="130"/>
        <v/>
      </c>
      <c r="EW864" s="1852" t="str">
        <f t="shared" si="131"/>
        <v/>
      </c>
      <c r="EX864" s="1852" t="str">
        <f t="shared" si="132"/>
        <v/>
      </c>
      <c r="EY864" s="1852" t="str">
        <f t="shared" si="133"/>
        <v/>
      </c>
      <c r="EZ864" s="1852" t="str">
        <f t="shared" si="134"/>
        <v/>
      </c>
      <c r="FA864" s="1852" t="str">
        <f t="shared" si="135"/>
        <v/>
      </c>
      <c r="FB864" s="1852" t="str">
        <f t="shared" si="136"/>
        <v/>
      </c>
      <c r="FC864" s="1852" t="str">
        <f t="shared" si="137"/>
        <v/>
      </c>
      <c r="FD864" s="1852" t="str">
        <f t="shared" si="138"/>
        <v/>
      </c>
      <c r="FE864" s="1852" t="str">
        <f t="shared" si="139"/>
        <v/>
      </c>
      <c r="FF864" s="1852" t="str">
        <f t="shared" si="140"/>
        <v/>
      </c>
      <c r="FG864" s="1852" t="str">
        <f t="shared" si="141"/>
        <v/>
      </c>
      <c r="FH864" s="1852" t="str">
        <f t="shared" si="142"/>
        <v/>
      </c>
      <c r="FI864" s="1852" t="str">
        <f t="shared" si="143"/>
        <v/>
      </c>
      <c r="FJ864" s="1852" t="str">
        <f t="shared" si="144"/>
        <v/>
      </c>
      <c r="FK864" s="1852" t="str">
        <f t="shared" si="145"/>
        <v/>
      </c>
      <c r="FL864" s="1852" t="str">
        <f t="shared" si="146"/>
        <v/>
      </c>
      <c r="FM864" s="1852" t="str">
        <f t="shared" si="147"/>
        <v/>
      </c>
      <c r="FN864" s="1852" t="str">
        <f t="shared" si="148"/>
        <v/>
      </c>
      <c r="FO864" s="1852" t="str">
        <f t="shared" si="149"/>
        <v/>
      </c>
      <c r="FP864" s="1852" t="str">
        <f t="shared" si="150"/>
        <v/>
      </c>
      <c r="FQ864" s="1852" t="str">
        <f t="shared" si="151"/>
        <v/>
      </c>
      <c r="FR864" s="1852" t="str">
        <f t="shared" si="152"/>
        <v/>
      </c>
      <c r="FS864" s="1852" t="str">
        <f t="shared" si="153"/>
        <v/>
      </c>
      <c r="FT864" s="1852" t="str">
        <f t="shared" si="154"/>
        <v/>
      </c>
      <c r="FU864" s="1852" t="str">
        <f t="shared" si="155"/>
        <v/>
      </c>
      <c r="FV864" s="1852" t="str">
        <f t="shared" si="156"/>
        <v/>
      </c>
      <c r="FW864" s="1852" t="str">
        <f t="shared" si="157"/>
        <v/>
      </c>
      <c r="FX864" s="1852" t="str">
        <f t="shared" si="158"/>
        <v/>
      </c>
      <c r="FY864" s="1852" t="str">
        <f t="shared" si="159"/>
        <v/>
      </c>
      <c r="FZ864" s="1852" t="str">
        <f t="shared" si="160"/>
        <v/>
      </c>
      <c r="GA864" s="1852" t="str">
        <f t="shared" si="161"/>
        <v/>
      </c>
      <c r="GB864" s="1852" t="str">
        <f t="shared" si="162"/>
        <v/>
      </c>
      <c r="GC864" s="1852" t="str">
        <f t="shared" si="163"/>
        <v/>
      </c>
      <c r="GD864" s="1852" t="str">
        <f t="shared" si="164"/>
        <v/>
      </c>
      <c r="GE864" s="1852" t="str">
        <f t="shared" si="165"/>
        <v/>
      </c>
      <c r="GF864" s="1852" t="str">
        <f t="shared" si="166"/>
        <v/>
      </c>
      <c r="GG864" s="1852" t="str">
        <f t="shared" si="167"/>
        <v/>
      </c>
      <c r="GH864" s="1852">
        <f t="shared" si="168"/>
        <v>2</v>
      </c>
      <c r="GI864" s="1852" t="str">
        <f t="shared" si="169"/>
        <v/>
      </c>
      <c r="GJ864" s="1852" t="str">
        <f t="shared" si="170"/>
        <v/>
      </c>
      <c r="GK864" s="1852" t="str">
        <f t="shared" si="171"/>
        <v/>
      </c>
      <c r="GL864" s="1852" t="str">
        <f t="shared" si="172"/>
        <v/>
      </c>
      <c r="GM864" s="1852" t="str">
        <f t="shared" si="173"/>
        <v/>
      </c>
      <c r="GN864" s="1852" t="str">
        <f t="shared" si="174"/>
        <v/>
      </c>
      <c r="GO864" s="1852" t="str">
        <f t="shared" si="175"/>
        <v/>
      </c>
      <c r="GP864" s="1852" t="str">
        <f t="shared" si="176"/>
        <v/>
      </c>
      <c r="GQ864" s="1852" t="str">
        <f t="shared" si="177"/>
        <v/>
      </c>
      <c r="GR864" s="1852" t="str">
        <f t="shared" si="178"/>
        <v/>
      </c>
      <c r="GS864" s="1852" t="str">
        <f t="shared" si="179"/>
        <v/>
      </c>
      <c r="GT864" s="1852" t="str">
        <f t="shared" si="180"/>
        <v/>
      </c>
      <c r="GU864" s="1852" t="str">
        <f t="shared" si="181"/>
        <v/>
      </c>
      <c r="GV864" s="1852" t="str">
        <f t="shared" si="182"/>
        <v/>
      </c>
      <c r="GW864" s="1852" t="str">
        <f t="shared" si="183"/>
        <v/>
      </c>
      <c r="GX864" s="1852" t="str">
        <f t="shared" si="184"/>
        <v/>
      </c>
      <c r="GY864" s="1852" t="str">
        <f t="shared" si="185"/>
        <v/>
      </c>
      <c r="GZ864" s="1852" t="str">
        <f t="shared" si="186"/>
        <v/>
      </c>
      <c r="HA864" s="1852" t="str">
        <f t="shared" si="187"/>
        <v/>
      </c>
      <c r="HB864" s="1852" t="str">
        <f t="shared" si="188"/>
        <v/>
      </c>
      <c r="HC864" s="1852" t="str">
        <f t="shared" si="189"/>
        <v/>
      </c>
      <c r="HD864" s="1852" t="str">
        <f t="shared" si="190"/>
        <v/>
      </c>
      <c r="HE864" s="1852" t="str">
        <f t="shared" si="191"/>
        <v/>
      </c>
      <c r="HF864" s="1852" t="str">
        <f t="shared" si="192"/>
        <v/>
      </c>
      <c r="HG864" s="1852" t="str">
        <f t="shared" si="193"/>
        <v/>
      </c>
      <c r="HH864" s="1852" t="str">
        <f t="shared" si="194"/>
        <v/>
      </c>
      <c r="HI864" s="1852" t="str">
        <f t="shared" si="195"/>
        <v/>
      </c>
      <c r="HJ864" s="1852" t="str">
        <f t="shared" si="196"/>
        <v/>
      </c>
      <c r="HK864" s="1852" t="str">
        <f t="shared" si="197"/>
        <v/>
      </c>
      <c r="HL864" s="1852" t="str">
        <f t="shared" si="198"/>
        <v/>
      </c>
      <c r="HM864" s="1852" t="str">
        <f t="shared" si="199"/>
        <v/>
      </c>
      <c r="HN864" s="1852" t="str">
        <f t="shared" si="200"/>
        <v/>
      </c>
      <c r="HO864" s="1852" t="str">
        <f t="shared" si="201"/>
        <v/>
      </c>
      <c r="HP864" s="1852" t="str">
        <f t="shared" si="202"/>
        <v/>
      </c>
      <c r="HQ864" s="1852" t="str">
        <f t="shared" si="203"/>
        <v/>
      </c>
      <c r="HR864" s="1852" t="str">
        <f t="shared" si="204"/>
        <v/>
      </c>
      <c r="HS864" s="1852" t="str">
        <f t="shared" si="205"/>
        <v/>
      </c>
      <c r="HT864" s="1852" t="str">
        <f t="shared" si="206"/>
        <v/>
      </c>
      <c r="HU864" s="1852" t="str">
        <f t="shared" si="207"/>
        <v/>
      </c>
      <c r="HV864" s="1852" t="str">
        <f t="shared" si="208"/>
        <v/>
      </c>
      <c r="HW864" s="1852" t="str">
        <f t="shared" si="209"/>
        <v/>
      </c>
      <c r="HX864" s="1852" t="str">
        <f t="shared" si="210"/>
        <v/>
      </c>
      <c r="HY864" s="1852" t="str">
        <f t="shared" si="211"/>
        <v/>
      </c>
      <c r="HZ864" s="2140" t="str">
        <f t="shared" si="212"/>
        <v/>
      </c>
      <c r="IA864" s="2140">
        <f t="shared" si="213"/>
        <v>2</v>
      </c>
      <c r="IB864" s="2140" t="str">
        <f t="shared" si="214"/>
        <v/>
      </c>
      <c r="IC864" s="2140" t="str">
        <f t="shared" si="215"/>
        <v/>
      </c>
      <c r="ID864" s="2140" t="str">
        <f t="shared" si="216"/>
        <v/>
      </c>
      <c r="IE864" s="2140" t="str">
        <f t="shared" si="217"/>
        <v/>
      </c>
      <c r="IF864" s="2140" t="str">
        <f t="shared" si="218"/>
        <v/>
      </c>
      <c r="IG864" s="2140" t="str">
        <f t="shared" si="219"/>
        <v/>
      </c>
      <c r="IH864" s="2140" t="str">
        <f t="shared" si="220"/>
        <v/>
      </c>
      <c r="II864" s="2140" t="str">
        <f t="shared" si="221"/>
        <v/>
      </c>
      <c r="IJ864" s="2140" t="str">
        <f t="shared" si="222"/>
        <v/>
      </c>
      <c r="IK864" s="2140" t="str">
        <f t="shared" si="223"/>
        <v/>
      </c>
      <c r="IL864" s="2140" t="str">
        <f t="shared" si="224"/>
        <v/>
      </c>
      <c r="IM864" s="2140" t="str">
        <f t="shared" si="225"/>
        <v/>
      </c>
      <c r="IN864" s="2140" t="str">
        <f t="shared" si="226"/>
        <v/>
      </c>
      <c r="IO864" s="2140" t="str">
        <f t="shared" si="227"/>
        <v/>
      </c>
      <c r="IP864" s="2140" t="str">
        <f t="shared" si="228"/>
        <v/>
      </c>
      <c r="IQ864" s="2140" t="str">
        <f t="shared" si="229"/>
        <v/>
      </c>
      <c r="IR864" s="2140" t="str">
        <f t="shared" si="230"/>
        <v/>
      </c>
      <c r="IS864" s="2140" t="str">
        <f t="shared" si="231"/>
        <v/>
      </c>
      <c r="IT864" s="2140" t="str">
        <f t="shared" si="232"/>
        <v/>
      </c>
      <c r="IU864" s="2140" t="str">
        <f t="shared" si="233"/>
        <v/>
      </c>
      <c r="IV864" s="2140" t="str">
        <f t="shared" si="234"/>
        <v/>
      </c>
      <c r="IW864" s="2140" t="str">
        <f t="shared" si="235"/>
        <v/>
      </c>
      <c r="IX864" s="2140" t="str">
        <f t="shared" si="236"/>
        <v/>
      </c>
      <c r="IY864" s="2140" t="str">
        <f t="shared" si="237"/>
        <v/>
      </c>
      <c r="IZ864" s="2140" t="str">
        <f t="shared" si="238"/>
        <v/>
      </c>
      <c r="JA864" s="2140" t="str">
        <f t="shared" si="239"/>
        <v/>
      </c>
      <c r="JB864" s="2140" t="str">
        <f t="shared" si="240"/>
        <v/>
      </c>
      <c r="JC864" s="2140" t="str">
        <f t="shared" si="241"/>
        <v/>
      </c>
      <c r="JD864" s="2140" t="str">
        <f t="shared" si="242"/>
        <v/>
      </c>
      <c r="JE864" s="2140" t="str">
        <f t="shared" si="243"/>
        <v/>
      </c>
      <c r="JF864" s="2140" t="str">
        <f t="shared" si="244"/>
        <v/>
      </c>
      <c r="JG864" s="2140" t="str">
        <f t="shared" si="245"/>
        <v/>
      </c>
      <c r="JH864" s="2140" t="str">
        <f t="shared" si="246"/>
        <v/>
      </c>
      <c r="JI864" s="2140" t="str">
        <f t="shared" si="247"/>
        <v/>
      </c>
      <c r="JJ864" s="2140" t="str">
        <f t="shared" si="248"/>
        <v/>
      </c>
      <c r="JK864" s="2140" t="str">
        <f t="shared" si="249"/>
        <v/>
      </c>
      <c r="JL864" s="2140" t="str">
        <f t="shared" si="250"/>
        <v/>
      </c>
      <c r="JM864" s="2140" t="str">
        <f t="shared" si="251"/>
        <v/>
      </c>
      <c r="JN864" s="2140" t="str">
        <f t="shared" si="252"/>
        <v/>
      </c>
      <c r="JO864" s="2140" t="str">
        <f t="shared" si="253"/>
        <v/>
      </c>
      <c r="JP864" s="2140" t="str">
        <f t="shared" si="254"/>
        <v/>
      </c>
      <c r="JQ864" s="2140" t="str">
        <f t="shared" si="255"/>
        <v/>
      </c>
      <c r="JR864" s="2140" t="str">
        <f t="shared" si="256"/>
        <v/>
      </c>
      <c r="JS864" s="2140" t="str">
        <f t="shared" si="257"/>
        <v/>
      </c>
      <c r="JT864" s="2140">
        <f t="shared" si="258"/>
        <v>2</v>
      </c>
      <c r="JU864" s="2140" t="str">
        <f t="shared" si="259"/>
        <v/>
      </c>
      <c r="JV864" s="2140" t="str">
        <f t="shared" si="260"/>
        <v/>
      </c>
      <c r="JW864" s="2140" t="str">
        <f t="shared" si="261"/>
        <v/>
      </c>
      <c r="JX864" s="2140" t="str">
        <f t="shared" si="262"/>
        <v/>
      </c>
      <c r="JY864" s="2140" t="str">
        <f t="shared" si="263"/>
        <v/>
      </c>
      <c r="JZ864" s="2140" t="str">
        <f t="shared" si="264"/>
        <v/>
      </c>
      <c r="KA864" s="2140" t="str">
        <f t="shared" si="265"/>
        <v/>
      </c>
      <c r="KB864" s="2140" t="str">
        <f t="shared" si="266"/>
        <v/>
      </c>
      <c r="KC864" s="2140" t="str">
        <f t="shared" si="267"/>
        <v/>
      </c>
      <c r="KD864" s="2140" t="str">
        <f t="shared" si="268"/>
        <v/>
      </c>
      <c r="KE864" s="2140" t="str">
        <f t="shared" si="269"/>
        <v/>
      </c>
      <c r="KF864" s="2140" t="str">
        <f t="shared" si="270"/>
        <v/>
      </c>
      <c r="KG864" s="2140" t="str">
        <f t="shared" si="271"/>
        <v/>
      </c>
      <c r="KH864" s="2140" t="str">
        <f t="shared" si="272"/>
        <v/>
      </c>
      <c r="KI864" s="2140" t="str">
        <f t="shared" si="273"/>
        <v/>
      </c>
      <c r="KJ864" s="2140" t="str">
        <f t="shared" si="274"/>
        <v/>
      </c>
      <c r="KK864" s="2140" t="str">
        <f t="shared" si="275"/>
        <v/>
      </c>
      <c r="KL864" s="2140" t="str">
        <f t="shared" si="276"/>
        <v/>
      </c>
      <c r="KM864" s="2140" t="str">
        <f t="shared" si="277"/>
        <v/>
      </c>
      <c r="KN864" s="2140" t="str">
        <f t="shared" si="278"/>
        <v/>
      </c>
      <c r="KO864" s="2140" t="str">
        <f t="shared" si="279"/>
        <v/>
      </c>
      <c r="KP864" s="2140" t="str">
        <f t="shared" si="280"/>
        <v/>
      </c>
      <c r="KQ864" s="2140" t="str">
        <f t="shared" si="281"/>
        <v/>
      </c>
      <c r="KR864" s="2140" t="str">
        <f t="shared" si="282"/>
        <v/>
      </c>
      <c r="KS864" s="2140" t="str">
        <f t="shared" si="283"/>
        <v/>
      </c>
      <c r="KT864" s="2140" t="str">
        <f t="shared" si="284"/>
        <v/>
      </c>
      <c r="KU864" s="2140" t="str">
        <f t="shared" si="285"/>
        <v/>
      </c>
      <c r="KV864" s="2140" t="str">
        <f t="shared" si="286"/>
        <v/>
      </c>
      <c r="KW864" s="2140" t="str">
        <f t="shared" si="287"/>
        <v/>
      </c>
      <c r="KX864" s="2140" t="str">
        <f t="shared" si="288"/>
        <v/>
      </c>
      <c r="KY864" s="2140" t="str">
        <f t="shared" si="289"/>
        <v/>
      </c>
      <c r="KZ864" s="2140" t="str">
        <f t="shared" si="290"/>
        <v/>
      </c>
      <c r="LA864" s="2140" t="str">
        <f t="shared" si="291"/>
        <v/>
      </c>
      <c r="LB864" s="2140" t="str">
        <f t="shared" si="292"/>
        <v/>
      </c>
      <c r="LC864" s="2140" t="str">
        <f t="shared" si="293"/>
        <v/>
      </c>
      <c r="LD864" s="2140" t="str">
        <f t="shared" si="294"/>
        <v/>
      </c>
      <c r="LE864" s="2140" t="str">
        <f t="shared" si="295"/>
        <v/>
      </c>
      <c r="LF864" s="2140" t="str">
        <f t="shared" si="296"/>
        <v/>
      </c>
      <c r="LG864" s="2051" t="str">
        <f t="shared" si="297"/>
        <v/>
      </c>
      <c r="LH864" s="2051" t="str">
        <f t="shared" si="298"/>
        <v/>
      </c>
      <c r="LI864" s="2051" t="str">
        <f t="shared" si="299"/>
        <v/>
      </c>
      <c r="LJ864" s="2051" t="str">
        <f t="shared" si="300"/>
        <v/>
      </c>
      <c r="LK864" s="2051" t="str">
        <f t="shared" si="301"/>
        <v/>
      </c>
      <c r="LL864" s="1852" t="str">
        <f t="shared" si="302"/>
        <v/>
      </c>
      <c r="LM864" s="1852" t="str">
        <f t="shared" si="303"/>
        <v/>
      </c>
      <c r="LN864" s="1852" t="str">
        <f t="shared" si="304"/>
        <v/>
      </c>
      <c r="LO864" s="1852" t="str">
        <f t="shared" si="305"/>
        <v/>
      </c>
      <c r="LP864" s="1852" t="str">
        <f t="shared" si="306"/>
        <v/>
      </c>
      <c r="LQ864" s="1852" t="str">
        <f t="shared" si="307"/>
        <v/>
      </c>
      <c r="LR864" s="1852" t="str">
        <f t="shared" si="308"/>
        <v/>
      </c>
      <c r="LS864" s="1852" t="str">
        <f t="shared" si="309"/>
        <v/>
      </c>
      <c r="LT864" s="1852" t="str">
        <f t="shared" si="310"/>
        <v/>
      </c>
      <c r="LU864" s="1852" t="str">
        <f t="shared" si="311"/>
        <v/>
      </c>
      <c r="LV864" s="1852" t="str">
        <f t="shared" si="312"/>
        <v/>
      </c>
      <c r="LW864" s="1852" t="str">
        <f t="shared" si="313"/>
        <v/>
      </c>
      <c r="LX864" s="1852" t="str">
        <f t="shared" si="314"/>
        <v/>
      </c>
      <c r="LY864" s="1852" t="str">
        <f t="shared" si="315"/>
        <v/>
      </c>
      <c r="LZ864" s="1852" t="str">
        <f t="shared" si="316"/>
        <v/>
      </c>
      <c r="MA864" s="1852" t="str">
        <f t="shared" si="317"/>
        <v/>
      </c>
      <c r="MB864" s="1852" t="str">
        <f t="shared" si="318"/>
        <v/>
      </c>
      <c r="MC864" s="1852" t="str">
        <f t="shared" si="319"/>
        <v/>
      </c>
      <c r="MD864" s="1852" t="str">
        <f t="shared" si="320"/>
        <v/>
      </c>
      <c r="ME864" s="1852" t="str">
        <f t="shared" si="321"/>
        <v/>
      </c>
      <c r="MF864" s="2051">
        <f t="shared" si="328"/>
        <v>0</v>
      </c>
      <c r="MG864" s="2051">
        <f t="shared" si="329"/>
        <v>0</v>
      </c>
      <c r="MH864" s="2051">
        <f t="shared" si="330"/>
        <v>0</v>
      </c>
      <c r="MI864" s="2051">
        <f t="shared" si="331"/>
        <v>0</v>
      </c>
      <c r="MJ864" s="2051">
        <f t="shared" si="332"/>
        <v>0</v>
      </c>
      <c r="MK864" s="2051">
        <f t="shared" si="333"/>
        <v>0</v>
      </c>
      <c r="ML864" s="2051">
        <f t="shared" si="334"/>
        <v>2</v>
      </c>
      <c r="MM864" s="2051">
        <f t="shared" si="335"/>
        <v>0</v>
      </c>
      <c r="MN864" s="2051">
        <f t="shared" si="336"/>
        <v>0</v>
      </c>
      <c r="MO864" s="2051">
        <f t="shared" si="337"/>
        <v>0</v>
      </c>
      <c r="MP864" s="2051">
        <f t="shared" si="322"/>
        <v>0</v>
      </c>
      <c r="MQ864" s="2051">
        <f t="shared" si="323"/>
        <v>0</v>
      </c>
      <c r="MR864" s="2051">
        <f t="shared" si="324"/>
        <v>0</v>
      </c>
      <c r="MS864" s="2051">
        <f t="shared" si="325"/>
        <v>0</v>
      </c>
      <c r="MT864" s="2051">
        <f t="shared" si="326"/>
        <v>0</v>
      </c>
      <c r="NP864" s="1924" t="s">
        <v>6733</v>
      </c>
    </row>
    <row r="865" spans="1:380" s="1852" customFormat="1" ht="13.9" customHeight="1">
      <c r="A865" s="2108" t="str">
        <f t="shared" si="327"/>
        <v/>
      </c>
      <c r="B865" s="2130">
        <f>'Part VI-Revenues &amp; Expenses'!B25</f>
        <v>70</v>
      </c>
      <c r="C865" s="2131">
        <f>'Part VI-Revenues &amp; Expenses'!C25</f>
        <v>2</v>
      </c>
      <c r="D865" s="2132">
        <f>'Part VI-Revenues &amp; Expenses'!D25</f>
        <v>2</v>
      </c>
      <c r="E865" s="2133">
        <f>'Part VI-Revenues &amp; Expenses'!E25</f>
        <v>2</v>
      </c>
      <c r="F865" s="2133">
        <f>'Part VI-Revenues &amp; Expenses'!F25</f>
        <v>1083</v>
      </c>
      <c r="G865" s="2133">
        <f>'Part VI-Revenues &amp; Expenses'!G25</f>
        <v>1134</v>
      </c>
      <c r="H865" s="2133">
        <f>'Part VI-Revenues &amp; Expenses'!H25</f>
        <v>796</v>
      </c>
      <c r="I865" s="2133">
        <f>'Part VI-Revenues &amp; Expenses'!I25</f>
        <v>0</v>
      </c>
      <c r="J865" s="2133">
        <f>'Part VI-Revenues &amp; Expenses'!J25</f>
        <v>121</v>
      </c>
      <c r="K865" s="2134">
        <f>'Part VI-Revenues &amp; Expenses'!K25</f>
        <v>0</v>
      </c>
      <c r="L865" s="2135">
        <f t="shared" si="0"/>
        <v>675</v>
      </c>
      <c r="M865" s="2135">
        <f t="shared" si="1"/>
        <v>1350</v>
      </c>
      <c r="N865" s="1916" t="str">
        <f>'Part VI-Revenues &amp; Expenses'!N25</f>
        <v>No</v>
      </c>
      <c r="O865" s="2136" t="str">
        <f>'Part VI-Revenues &amp; Expenses'!O25</f>
        <v>Low-Rise Apt</v>
      </c>
      <c r="P865" s="1916" t="str">
        <f>'Part VI-Revenues &amp; Expenses'!P25</f>
        <v>New Construction</v>
      </c>
      <c r="Q865" s="2137" t="str">
        <f>'Part VI-Revenues &amp; Expenses'!Q25</f>
        <v>No</v>
      </c>
      <c r="R865" s="2138"/>
      <c r="S865" s="2139"/>
      <c r="T865" s="2043"/>
      <c r="U865" s="2043"/>
      <c r="V865" s="2043"/>
      <c r="W865" s="2043"/>
      <c r="X865" s="1852" t="str">
        <f t="shared" si="2"/>
        <v/>
      </c>
      <c r="Y865" s="1852" t="str">
        <f t="shared" si="3"/>
        <v/>
      </c>
      <c r="Z865" s="1852" t="str">
        <f t="shared" si="4"/>
        <v/>
      </c>
      <c r="AA865" s="1852" t="str">
        <f t="shared" si="5"/>
        <v/>
      </c>
      <c r="AB865" s="1852" t="str">
        <f t="shared" si="6"/>
        <v/>
      </c>
      <c r="AC865" s="1852" t="str">
        <f t="shared" si="7"/>
        <v/>
      </c>
      <c r="AD865" s="1852" t="str">
        <f t="shared" si="8"/>
        <v/>
      </c>
      <c r="AE865" s="1852">
        <f t="shared" si="9"/>
        <v>2</v>
      </c>
      <c r="AF865" s="1852" t="str">
        <f t="shared" si="10"/>
        <v/>
      </c>
      <c r="AG865" s="1852" t="str">
        <f t="shared" si="11"/>
        <v/>
      </c>
      <c r="AH865" s="1852" t="str">
        <f t="shared" si="12"/>
        <v/>
      </c>
      <c r="AI865" s="1852" t="str">
        <f t="shared" si="13"/>
        <v/>
      </c>
      <c r="AJ865" s="1852" t="str">
        <f t="shared" si="14"/>
        <v/>
      </c>
      <c r="AK865" s="1852" t="str">
        <f t="shared" si="15"/>
        <v/>
      </c>
      <c r="AL865" s="1852" t="str">
        <f t="shared" si="16"/>
        <v/>
      </c>
      <c r="AM865" s="1852" t="str">
        <f t="shared" si="17"/>
        <v/>
      </c>
      <c r="AN865" s="1852" t="str">
        <f t="shared" si="18"/>
        <v/>
      </c>
      <c r="AO865" s="1852" t="str">
        <f t="shared" si="19"/>
        <v/>
      </c>
      <c r="AP865" s="1852" t="str">
        <f t="shared" si="20"/>
        <v/>
      </c>
      <c r="AQ865" s="1852" t="str">
        <f t="shared" si="21"/>
        <v/>
      </c>
      <c r="AR865" s="1852" t="str">
        <f t="shared" si="22"/>
        <v/>
      </c>
      <c r="AS865" s="1852" t="str">
        <f t="shared" si="23"/>
        <v/>
      </c>
      <c r="AT865" s="1852" t="str">
        <f t="shared" si="24"/>
        <v/>
      </c>
      <c r="AU865" s="1852" t="str">
        <f t="shared" si="25"/>
        <v/>
      </c>
      <c r="AV865" s="1852" t="str">
        <f t="shared" si="26"/>
        <v/>
      </c>
      <c r="AW865" s="1852" t="str">
        <f t="shared" si="27"/>
        <v/>
      </c>
      <c r="AX865" s="1852" t="str">
        <f t="shared" si="28"/>
        <v/>
      </c>
      <c r="AY865" s="1852" t="str">
        <f t="shared" si="29"/>
        <v/>
      </c>
      <c r="AZ865" s="1852" t="str">
        <f t="shared" si="30"/>
        <v/>
      </c>
      <c r="BA865" s="1852" t="str">
        <f t="shared" si="31"/>
        <v/>
      </c>
      <c r="BB865" s="1852" t="str">
        <f t="shared" si="32"/>
        <v/>
      </c>
      <c r="BC865" s="1852" t="str">
        <f t="shared" si="33"/>
        <v/>
      </c>
      <c r="BD865" s="1852" t="str">
        <f t="shared" si="34"/>
        <v/>
      </c>
      <c r="BE865" s="1852" t="str">
        <f t="shared" si="35"/>
        <v/>
      </c>
      <c r="BF865" s="1852" t="str">
        <f t="shared" si="36"/>
        <v/>
      </c>
      <c r="BG865" s="1852" t="str">
        <f t="shared" si="37"/>
        <v/>
      </c>
      <c r="BH865" s="1852" t="str">
        <f t="shared" si="38"/>
        <v/>
      </c>
      <c r="BI865" s="1852" t="str">
        <f t="shared" si="39"/>
        <v/>
      </c>
      <c r="BJ865" s="1852" t="str">
        <f t="shared" si="40"/>
        <v/>
      </c>
      <c r="BK865" s="1852" t="str">
        <f t="shared" si="41"/>
        <v/>
      </c>
      <c r="BL865" s="1852" t="str">
        <f t="shared" si="42"/>
        <v/>
      </c>
      <c r="BM865" s="1852" t="str">
        <f t="shared" si="43"/>
        <v/>
      </c>
      <c r="BN865" s="1852" t="str">
        <f t="shared" si="44"/>
        <v/>
      </c>
      <c r="BO865" s="1852" t="str">
        <f t="shared" si="45"/>
        <v/>
      </c>
      <c r="BP865" s="1852" t="str">
        <f t="shared" si="46"/>
        <v/>
      </c>
      <c r="BQ865" s="1852" t="str">
        <f t="shared" si="47"/>
        <v/>
      </c>
      <c r="BR865" s="1852" t="str">
        <f t="shared" si="48"/>
        <v/>
      </c>
      <c r="BS865" s="1852" t="str">
        <f t="shared" si="49"/>
        <v/>
      </c>
      <c r="BT865" s="1852" t="str">
        <f t="shared" si="50"/>
        <v/>
      </c>
      <c r="BU865" s="1852" t="str">
        <f t="shared" si="51"/>
        <v/>
      </c>
      <c r="BV865" s="1852" t="str">
        <f t="shared" si="52"/>
        <v/>
      </c>
      <c r="BW865" s="1852" t="str">
        <f t="shared" si="53"/>
        <v/>
      </c>
      <c r="BX865" s="1852" t="str">
        <f t="shared" si="54"/>
        <v/>
      </c>
      <c r="BY865" s="1852" t="str">
        <f t="shared" si="55"/>
        <v/>
      </c>
      <c r="BZ865" s="1852" t="str">
        <f t="shared" si="56"/>
        <v/>
      </c>
      <c r="CA865" s="1852" t="str">
        <f t="shared" si="57"/>
        <v/>
      </c>
      <c r="CB865" s="1852" t="str">
        <f t="shared" si="58"/>
        <v/>
      </c>
      <c r="CC865" s="1852" t="str">
        <f t="shared" si="59"/>
        <v/>
      </c>
      <c r="CD865" s="1852" t="str">
        <f t="shared" si="60"/>
        <v/>
      </c>
      <c r="CE865" s="1852" t="str">
        <f t="shared" si="61"/>
        <v/>
      </c>
      <c r="CF865" s="1852" t="str">
        <f t="shared" si="62"/>
        <v/>
      </c>
      <c r="CG865" s="1852" t="str">
        <f t="shared" si="63"/>
        <v/>
      </c>
      <c r="CH865" s="1852" t="str">
        <f t="shared" si="64"/>
        <v/>
      </c>
      <c r="CI865" s="1852" t="str">
        <f t="shared" si="65"/>
        <v/>
      </c>
      <c r="CJ865" s="1852" t="str">
        <f t="shared" si="66"/>
        <v/>
      </c>
      <c r="CK865" s="1852" t="str">
        <f t="shared" si="67"/>
        <v/>
      </c>
      <c r="CL865" s="1852" t="str">
        <f t="shared" si="68"/>
        <v/>
      </c>
      <c r="CM865" s="1852">
        <f t="shared" si="69"/>
        <v>2</v>
      </c>
      <c r="CN865" s="1852" t="str">
        <f t="shared" si="70"/>
        <v/>
      </c>
      <c r="CO865" s="1852" t="str">
        <f t="shared" si="71"/>
        <v/>
      </c>
      <c r="CP865" s="1852" t="str">
        <f t="shared" si="72"/>
        <v/>
      </c>
      <c r="CQ865" s="1852" t="str">
        <f t="shared" si="73"/>
        <v/>
      </c>
      <c r="CR865" s="1852" t="str">
        <f t="shared" si="74"/>
        <v/>
      </c>
      <c r="CS865" s="1852" t="str">
        <f t="shared" si="75"/>
        <v/>
      </c>
      <c r="CT865" s="1852" t="str">
        <f t="shared" si="76"/>
        <v/>
      </c>
      <c r="CU865" s="1852" t="str">
        <f t="shared" si="77"/>
        <v/>
      </c>
      <c r="CV865" s="1852" t="str">
        <f t="shared" si="78"/>
        <v/>
      </c>
      <c r="CW865" s="1852" t="str">
        <f t="shared" si="79"/>
        <v/>
      </c>
      <c r="CX865" s="1852" t="str">
        <f t="shared" si="80"/>
        <v/>
      </c>
      <c r="CY865" s="1852" t="str">
        <f t="shared" si="81"/>
        <v/>
      </c>
      <c r="CZ865" s="1852" t="str">
        <f t="shared" si="82"/>
        <v/>
      </c>
      <c r="DA865" s="1852" t="str">
        <f t="shared" si="83"/>
        <v/>
      </c>
      <c r="DB865" s="1852" t="str">
        <f t="shared" si="84"/>
        <v/>
      </c>
      <c r="DC865" s="1852" t="str">
        <f t="shared" si="85"/>
        <v/>
      </c>
      <c r="DD865" s="1852" t="str">
        <f t="shared" si="86"/>
        <v/>
      </c>
      <c r="DE865" s="1852" t="str">
        <f t="shared" si="87"/>
        <v/>
      </c>
      <c r="DF865" s="1852" t="str">
        <f t="shared" si="88"/>
        <v/>
      </c>
      <c r="DG865" s="1852" t="str">
        <f t="shared" si="89"/>
        <v/>
      </c>
      <c r="DH865" s="1852" t="str">
        <f t="shared" si="90"/>
        <v/>
      </c>
      <c r="DI865" s="1852" t="str">
        <f t="shared" si="91"/>
        <v/>
      </c>
      <c r="DJ865" s="1852" t="str">
        <f t="shared" si="92"/>
        <v/>
      </c>
      <c r="DK865" s="1852" t="str">
        <f t="shared" si="93"/>
        <v/>
      </c>
      <c r="DL865" s="1852" t="str">
        <f t="shared" si="94"/>
        <v/>
      </c>
      <c r="DM865" s="1852" t="str">
        <f t="shared" si="95"/>
        <v/>
      </c>
      <c r="DN865" s="1852" t="str">
        <f t="shared" si="96"/>
        <v/>
      </c>
      <c r="DO865" s="1852" t="str">
        <f t="shared" si="97"/>
        <v/>
      </c>
      <c r="DP865" s="1852" t="str">
        <f t="shared" si="98"/>
        <v/>
      </c>
      <c r="DQ865" s="1852" t="str">
        <f t="shared" si="99"/>
        <v/>
      </c>
      <c r="DR865" s="1852" t="str">
        <f t="shared" si="100"/>
        <v/>
      </c>
      <c r="DS865" s="1852" t="str">
        <f t="shared" si="101"/>
        <v/>
      </c>
      <c r="DT865" s="1852" t="str">
        <f t="shared" si="102"/>
        <v/>
      </c>
      <c r="DU865" s="1852" t="str">
        <f t="shared" si="103"/>
        <v/>
      </c>
      <c r="DV865" s="1852" t="str">
        <f t="shared" si="104"/>
        <v/>
      </c>
      <c r="DW865" s="1852" t="str">
        <f t="shared" si="105"/>
        <v/>
      </c>
      <c r="DX865" s="1852" t="str">
        <f t="shared" si="106"/>
        <v/>
      </c>
      <c r="DY865" s="1852" t="str">
        <f t="shared" si="107"/>
        <v/>
      </c>
      <c r="DZ865" s="1852" t="str">
        <f t="shared" si="108"/>
        <v/>
      </c>
      <c r="EA865" s="1852" t="str">
        <f t="shared" si="109"/>
        <v/>
      </c>
      <c r="EB865" s="1852" t="str">
        <f t="shared" si="110"/>
        <v/>
      </c>
      <c r="EC865" s="1852" t="str">
        <f t="shared" si="111"/>
        <v/>
      </c>
      <c r="ED865" s="1852" t="str">
        <f t="shared" si="112"/>
        <v/>
      </c>
      <c r="EE865" s="1852" t="str">
        <f t="shared" si="113"/>
        <v/>
      </c>
      <c r="EF865" s="1852" t="str">
        <f t="shared" si="114"/>
        <v/>
      </c>
      <c r="EG865" s="1852" t="str">
        <f t="shared" si="115"/>
        <v/>
      </c>
      <c r="EH865" s="1852" t="str">
        <f t="shared" si="116"/>
        <v/>
      </c>
      <c r="EI865" s="1852" t="str">
        <f t="shared" si="117"/>
        <v/>
      </c>
      <c r="EJ865" s="1852" t="str">
        <f t="shared" si="118"/>
        <v/>
      </c>
      <c r="EK865" s="1852" t="str">
        <f t="shared" si="119"/>
        <v/>
      </c>
      <c r="EL865" s="1852" t="str">
        <f t="shared" si="120"/>
        <v/>
      </c>
      <c r="EM865" s="1852" t="str">
        <f t="shared" si="121"/>
        <v/>
      </c>
      <c r="EN865" s="1852" t="str">
        <f t="shared" si="122"/>
        <v/>
      </c>
      <c r="EO865" s="1852" t="str">
        <f t="shared" si="123"/>
        <v/>
      </c>
      <c r="EP865" s="1852">
        <f t="shared" si="124"/>
        <v>2166</v>
      </c>
      <c r="EQ865" s="1852" t="str">
        <f t="shared" si="125"/>
        <v/>
      </c>
      <c r="ER865" s="1852" t="str">
        <f t="shared" si="126"/>
        <v/>
      </c>
      <c r="ES865" s="1852" t="str">
        <f t="shared" si="127"/>
        <v/>
      </c>
      <c r="ET865" s="1852" t="str">
        <f t="shared" si="128"/>
        <v/>
      </c>
      <c r="EU865" s="1852" t="str">
        <f t="shared" si="129"/>
        <v/>
      </c>
      <c r="EV865" s="1852" t="str">
        <f t="shared" si="130"/>
        <v/>
      </c>
      <c r="EW865" s="1852" t="str">
        <f t="shared" si="131"/>
        <v/>
      </c>
      <c r="EX865" s="1852" t="str">
        <f t="shared" si="132"/>
        <v/>
      </c>
      <c r="EY865" s="1852" t="str">
        <f t="shared" si="133"/>
        <v/>
      </c>
      <c r="EZ865" s="1852" t="str">
        <f t="shared" si="134"/>
        <v/>
      </c>
      <c r="FA865" s="1852" t="str">
        <f t="shared" si="135"/>
        <v/>
      </c>
      <c r="FB865" s="1852" t="str">
        <f t="shared" si="136"/>
        <v/>
      </c>
      <c r="FC865" s="1852" t="str">
        <f t="shared" si="137"/>
        <v/>
      </c>
      <c r="FD865" s="1852" t="str">
        <f t="shared" si="138"/>
        <v/>
      </c>
      <c r="FE865" s="1852" t="str">
        <f t="shared" si="139"/>
        <v/>
      </c>
      <c r="FF865" s="1852" t="str">
        <f t="shared" si="140"/>
        <v/>
      </c>
      <c r="FG865" s="1852" t="str">
        <f t="shared" si="141"/>
        <v/>
      </c>
      <c r="FH865" s="1852" t="str">
        <f t="shared" si="142"/>
        <v/>
      </c>
      <c r="FI865" s="1852" t="str">
        <f t="shared" si="143"/>
        <v/>
      </c>
      <c r="FJ865" s="1852" t="str">
        <f t="shared" si="144"/>
        <v/>
      </c>
      <c r="FK865" s="1852" t="str">
        <f t="shared" si="145"/>
        <v/>
      </c>
      <c r="FL865" s="1852" t="str">
        <f t="shared" si="146"/>
        <v/>
      </c>
      <c r="FM865" s="1852" t="str">
        <f t="shared" si="147"/>
        <v/>
      </c>
      <c r="FN865" s="1852" t="str">
        <f t="shared" si="148"/>
        <v/>
      </c>
      <c r="FO865" s="1852" t="str">
        <f t="shared" si="149"/>
        <v/>
      </c>
      <c r="FP865" s="1852" t="str">
        <f t="shared" si="150"/>
        <v/>
      </c>
      <c r="FQ865" s="1852" t="str">
        <f t="shared" si="151"/>
        <v/>
      </c>
      <c r="FR865" s="1852" t="str">
        <f t="shared" si="152"/>
        <v/>
      </c>
      <c r="FS865" s="1852" t="str">
        <f t="shared" si="153"/>
        <v/>
      </c>
      <c r="FT865" s="1852" t="str">
        <f t="shared" si="154"/>
        <v/>
      </c>
      <c r="FU865" s="1852" t="str">
        <f t="shared" si="155"/>
        <v/>
      </c>
      <c r="FV865" s="1852" t="str">
        <f t="shared" si="156"/>
        <v/>
      </c>
      <c r="FW865" s="1852" t="str">
        <f t="shared" si="157"/>
        <v/>
      </c>
      <c r="FX865" s="1852" t="str">
        <f t="shared" si="158"/>
        <v/>
      </c>
      <c r="FY865" s="1852" t="str">
        <f t="shared" si="159"/>
        <v/>
      </c>
      <c r="FZ865" s="1852" t="str">
        <f t="shared" si="160"/>
        <v/>
      </c>
      <c r="GA865" s="1852" t="str">
        <f t="shared" si="161"/>
        <v/>
      </c>
      <c r="GB865" s="1852" t="str">
        <f t="shared" si="162"/>
        <v/>
      </c>
      <c r="GC865" s="1852" t="str">
        <f t="shared" si="163"/>
        <v/>
      </c>
      <c r="GD865" s="1852" t="str">
        <f t="shared" si="164"/>
        <v/>
      </c>
      <c r="GE865" s="1852" t="str">
        <f t="shared" si="165"/>
        <v/>
      </c>
      <c r="GF865" s="1852" t="str">
        <f t="shared" si="166"/>
        <v/>
      </c>
      <c r="GG865" s="1852" t="str">
        <f t="shared" si="167"/>
        <v/>
      </c>
      <c r="GH865" s="1852" t="str">
        <f t="shared" si="168"/>
        <v/>
      </c>
      <c r="GI865" s="1852">
        <f t="shared" si="169"/>
        <v>2</v>
      </c>
      <c r="GJ865" s="1852" t="str">
        <f t="shared" si="170"/>
        <v/>
      </c>
      <c r="GK865" s="1852" t="str">
        <f t="shared" si="171"/>
        <v/>
      </c>
      <c r="GL865" s="1852" t="str">
        <f t="shared" si="172"/>
        <v/>
      </c>
      <c r="GM865" s="1852" t="str">
        <f t="shared" si="173"/>
        <v/>
      </c>
      <c r="GN865" s="1852" t="str">
        <f t="shared" si="174"/>
        <v/>
      </c>
      <c r="GO865" s="1852" t="str">
        <f t="shared" si="175"/>
        <v/>
      </c>
      <c r="GP865" s="1852" t="str">
        <f t="shared" si="176"/>
        <v/>
      </c>
      <c r="GQ865" s="1852" t="str">
        <f t="shared" si="177"/>
        <v/>
      </c>
      <c r="GR865" s="1852" t="str">
        <f t="shared" si="178"/>
        <v/>
      </c>
      <c r="GS865" s="1852" t="str">
        <f t="shared" si="179"/>
        <v/>
      </c>
      <c r="GT865" s="1852" t="str">
        <f t="shared" si="180"/>
        <v/>
      </c>
      <c r="GU865" s="1852" t="str">
        <f t="shared" si="181"/>
        <v/>
      </c>
      <c r="GV865" s="1852" t="str">
        <f t="shared" si="182"/>
        <v/>
      </c>
      <c r="GW865" s="1852" t="str">
        <f t="shared" si="183"/>
        <v/>
      </c>
      <c r="GX865" s="1852" t="str">
        <f t="shared" si="184"/>
        <v/>
      </c>
      <c r="GY865" s="1852" t="str">
        <f t="shared" si="185"/>
        <v/>
      </c>
      <c r="GZ865" s="1852" t="str">
        <f t="shared" si="186"/>
        <v/>
      </c>
      <c r="HA865" s="1852" t="str">
        <f t="shared" si="187"/>
        <v/>
      </c>
      <c r="HB865" s="1852" t="str">
        <f t="shared" si="188"/>
        <v/>
      </c>
      <c r="HC865" s="1852" t="str">
        <f t="shared" si="189"/>
        <v/>
      </c>
      <c r="HD865" s="1852" t="str">
        <f t="shared" si="190"/>
        <v/>
      </c>
      <c r="HE865" s="1852" t="str">
        <f t="shared" si="191"/>
        <v/>
      </c>
      <c r="HF865" s="1852" t="str">
        <f t="shared" si="192"/>
        <v/>
      </c>
      <c r="HG865" s="1852" t="str">
        <f t="shared" si="193"/>
        <v/>
      </c>
      <c r="HH865" s="1852" t="str">
        <f t="shared" si="194"/>
        <v/>
      </c>
      <c r="HI865" s="1852" t="str">
        <f t="shared" si="195"/>
        <v/>
      </c>
      <c r="HJ865" s="1852" t="str">
        <f t="shared" si="196"/>
        <v/>
      </c>
      <c r="HK865" s="1852" t="str">
        <f t="shared" si="197"/>
        <v/>
      </c>
      <c r="HL865" s="1852" t="str">
        <f t="shared" si="198"/>
        <v/>
      </c>
      <c r="HM865" s="1852" t="str">
        <f t="shared" si="199"/>
        <v/>
      </c>
      <c r="HN865" s="1852" t="str">
        <f t="shared" si="200"/>
        <v/>
      </c>
      <c r="HO865" s="1852" t="str">
        <f t="shared" si="201"/>
        <v/>
      </c>
      <c r="HP865" s="1852" t="str">
        <f t="shared" si="202"/>
        <v/>
      </c>
      <c r="HQ865" s="1852" t="str">
        <f t="shared" si="203"/>
        <v/>
      </c>
      <c r="HR865" s="1852" t="str">
        <f t="shared" si="204"/>
        <v/>
      </c>
      <c r="HS865" s="1852" t="str">
        <f t="shared" si="205"/>
        <v/>
      </c>
      <c r="HT865" s="1852" t="str">
        <f t="shared" si="206"/>
        <v/>
      </c>
      <c r="HU865" s="1852" t="str">
        <f t="shared" si="207"/>
        <v/>
      </c>
      <c r="HV865" s="1852" t="str">
        <f t="shared" si="208"/>
        <v/>
      </c>
      <c r="HW865" s="1852" t="str">
        <f t="shared" si="209"/>
        <v/>
      </c>
      <c r="HX865" s="1852" t="str">
        <f t="shared" si="210"/>
        <v/>
      </c>
      <c r="HY865" s="1852" t="str">
        <f t="shared" si="211"/>
        <v/>
      </c>
      <c r="HZ865" s="2140" t="str">
        <f t="shared" si="212"/>
        <v/>
      </c>
      <c r="IA865" s="2140" t="str">
        <f t="shared" si="213"/>
        <v/>
      </c>
      <c r="IB865" s="2140">
        <f t="shared" si="214"/>
        <v>2</v>
      </c>
      <c r="IC865" s="2140" t="str">
        <f t="shared" si="215"/>
        <v/>
      </c>
      <c r="ID865" s="2140" t="str">
        <f t="shared" si="216"/>
        <v/>
      </c>
      <c r="IE865" s="2140" t="str">
        <f t="shared" si="217"/>
        <v/>
      </c>
      <c r="IF865" s="2140" t="str">
        <f t="shared" si="218"/>
        <v/>
      </c>
      <c r="IG865" s="2140" t="str">
        <f t="shared" si="219"/>
        <v/>
      </c>
      <c r="IH865" s="2140" t="str">
        <f t="shared" si="220"/>
        <v/>
      </c>
      <c r="II865" s="2140" t="str">
        <f t="shared" si="221"/>
        <v/>
      </c>
      <c r="IJ865" s="2140" t="str">
        <f t="shared" si="222"/>
        <v/>
      </c>
      <c r="IK865" s="2140" t="str">
        <f t="shared" si="223"/>
        <v/>
      </c>
      <c r="IL865" s="2140" t="str">
        <f t="shared" si="224"/>
        <v/>
      </c>
      <c r="IM865" s="2140" t="str">
        <f t="shared" si="225"/>
        <v/>
      </c>
      <c r="IN865" s="2140" t="str">
        <f t="shared" si="226"/>
        <v/>
      </c>
      <c r="IO865" s="2140" t="str">
        <f t="shared" si="227"/>
        <v/>
      </c>
      <c r="IP865" s="2140" t="str">
        <f t="shared" si="228"/>
        <v/>
      </c>
      <c r="IQ865" s="2140" t="str">
        <f t="shared" si="229"/>
        <v/>
      </c>
      <c r="IR865" s="2140" t="str">
        <f t="shared" si="230"/>
        <v/>
      </c>
      <c r="IS865" s="2140" t="str">
        <f t="shared" si="231"/>
        <v/>
      </c>
      <c r="IT865" s="2140" t="str">
        <f t="shared" si="232"/>
        <v/>
      </c>
      <c r="IU865" s="2140" t="str">
        <f t="shared" si="233"/>
        <v/>
      </c>
      <c r="IV865" s="2140" t="str">
        <f t="shared" si="234"/>
        <v/>
      </c>
      <c r="IW865" s="2140" t="str">
        <f t="shared" si="235"/>
        <v/>
      </c>
      <c r="IX865" s="2140" t="str">
        <f t="shared" si="236"/>
        <v/>
      </c>
      <c r="IY865" s="2140" t="str">
        <f t="shared" si="237"/>
        <v/>
      </c>
      <c r="IZ865" s="2140" t="str">
        <f t="shared" si="238"/>
        <v/>
      </c>
      <c r="JA865" s="2140" t="str">
        <f t="shared" si="239"/>
        <v/>
      </c>
      <c r="JB865" s="2140" t="str">
        <f t="shared" si="240"/>
        <v/>
      </c>
      <c r="JC865" s="2140" t="str">
        <f t="shared" si="241"/>
        <v/>
      </c>
      <c r="JD865" s="2140" t="str">
        <f t="shared" si="242"/>
        <v/>
      </c>
      <c r="JE865" s="2140" t="str">
        <f t="shared" si="243"/>
        <v/>
      </c>
      <c r="JF865" s="2140" t="str">
        <f t="shared" si="244"/>
        <v/>
      </c>
      <c r="JG865" s="2140" t="str">
        <f t="shared" si="245"/>
        <v/>
      </c>
      <c r="JH865" s="2140" t="str">
        <f t="shared" si="246"/>
        <v/>
      </c>
      <c r="JI865" s="2140" t="str">
        <f t="shared" si="247"/>
        <v/>
      </c>
      <c r="JJ865" s="2140" t="str">
        <f t="shared" si="248"/>
        <v/>
      </c>
      <c r="JK865" s="2140" t="str">
        <f t="shared" si="249"/>
        <v/>
      </c>
      <c r="JL865" s="2140" t="str">
        <f t="shared" si="250"/>
        <v/>
      </c>
      <c r="JM865" s="2140" t="str">
        <f t="shared" si="251"/>
        <v/>
      </c>
      <c r="JN865" s="2140" t="str">
        <f t="shared" si="252"/>
        <v/>
      </c>
      <c r="JO865" s="2140" t="str">
        <f t="shared" si="253"/>
        <v/>
      </c>
      <c r="JP865" s="2140" t="str">
        <f t="shared" si="254"/>
        <v/>
      </c>
      <c r="JQ865" s="2140" t="str">
        <f t="shared" si="255"/>
        <v/>
      </c>
      <c r="JR865" s="2140" t="str">
        <f t="shared" si="256"/>
        <v/>
      </c>
      <c r="JS865" s="2140" t="str">
        <f t="shared" si="257"/>
        <v/>
      </c>
      <c r="JT865" s="2140" t="str">
        <f t="shared" si="258"/>
        <v/>
      </c>
      <c r="JU865" s="2140">
        <f t="shared" si="259"/>
        <v>2</v>
      </c>
      <c r="JV865" s="2140" t="str">
        <f t="shared" si="260"/>
        <v/>
      </c>
      <c r="JW865" s="2140" t="str">
        <f t="shared" si="261"/>
        <v/>
      </c>
      <c r="JX865" s="2140" t="str">
        <f t="shared" si="262"/>
        <v/>
      </c>
      <c r="JY865" s="2140" t="str">
        <f t="shared" si="263"/>
        <v/>
      </c>
      <c r="JZ865" s="2140" t="str">
        <f t="shared" si="264"/>
        <v/>
      </c>
      <c r="KA865" s="2140" t="str">
        <f t="shared" si="265"/>
        <v/>
      </c>
      <c r="KB865" s="2140" t="str">
        <f t="shared" si="266"/>
        <v/>
      </c>
      <c r="KC865" s="2140" t="str">
        <f t="shared" si="267"/>
        <v/>
      </c>
      <c r="KD865" s="2140" t="str">
        <f t="shared" si="268"/>
        <v/>
      </c>
      <c r="KE865" s="2140" t="str">
        <f t="shared" si="269"/>
        <v/>
      </c>
      <c r="KF865" s="2140" t="str">
        <f t="shared" si="270"/>
        <v/>
      </c>
      <c r="KG865" s="2140" t="str">
        <f t="shared" si="271"/>
        <v/>
      </c>
      <c r="KH865" s="2140" t="str">
        <f t="shared" si="272"/>
        <v/>
      </c>
      <c r="KI865" s="2140" t="str">
        <f t="shared" si="273"/>
        <v/>
      </c>
      <c r="KJ865" s="2140" t="str">
        <f t="shared" si="274"/>
        <v/>
      </c>
      <c r="KK865" s="2140" t="str">
        <f t="shared" si="275"/>
        <v/>
      </c>
      <c r="KL865" s="2140" t="str">
        <f t="shared" si="276"/>
        <v/>
      </c>
      <c r="KM865" s="2140" t="str">
        <f t="shared" si="277"/>
        <v/>
      </c>
      <c r="KN865" s="2140" t="str">
        <f t="shared" si="278"/>
        <v/>
      </c>
      <c r="KO865" s="2140" t="str">
        <f t="shared" si="279"/>
        <v/>
      </c>
      <c r="KP865" s="2140" t="str">
        <f t="shared" si="280"/>
        <v/>
      </c>
      <c r="KQ865" s="2140" t="str">
        <f t="shared" si="281"/>
        <v/>
      </c>
      <c r="KR865" s="2140" t="str">
        <f t="shared" si="282"/>
        <v/>
      </c>
      <c r="KS865" s="2140" t="str">
        <f t="shared" si="283"/>
        <v/>
      </c>
      <c r="KT865" s="2140" t="str">
        <f t="shared" si="284"/>
        <v/>
      </c>
      <c r="KU865" s="2140" t="str">
        <f t="shared" si="285"/>
        <v/>
      </c>
      <c r="KV865" s="2140" t="str">
        <f t="shared" si="286"/>
        <v/>
      </c>
      <c r="KW865" s="2140" t="str">
        <f t="shared" si="287"/>
        <v/>
      </c>
      <c r="KX865" s="2140" t="str">
        <f t="shared" si="288"/>
        <v/>
      </c>
      <c r="KY865" s="2140" t="str">
        <f t="shared" si="289"/>
        <v/>
      </c>
      <c r="KZ865" s="2140" t="str">
        <f t="shared" si="290"/>
        <v/>
      </c>
      <c r="LA865" s="2140" t="str">
        <f t="shared" si="291"/>
        <v/>
      </c>
      <c r="LB865" s="2140" t="str">
        <f t="shared" si="292"/>
        <v/>
      </c>
      <c r="LC865" s="2140" t="str">
        <f t="shared" si="293"/>
        <v/>
      </c>
      <c r="LD865" s="2140" t="str">
        <f t="shared" si="294"/>
        <v/>
      </c>
      <c r="LE865" s="2140" t="str">
        <f t="shared" si="295"/>
        <v/>
      </c>
      <c r="LF865" s="2140" t="str">
        <f t="shared" si="296"/>
        <v/>
      </c>
      <c r="LG865" s="2051" t="str">
        <f t="shared" si="297"/>
        <v/>
      </c>
      <c r="LH865" s="2051" t="str">
        <f t="shared" si="298"/>
        <v/>
      </c>
      <c r="LI865" s="2051" t="str">
        <f t="shared" si="299"/>
        <v/>
      </c>
      <c r="LJ865" s="2051" t="str">
        <f t="shared" si="300"/>
        <v/>
      </c>
      <c r="LK865" s="2051" t="str">
        <f t="shared" si="301"/>
        <v/>
      </c>
      <c r="LL865" s="1852" t="str">
        <f t="shared" si="302"/>
        <v/>
      </c>
      <c r="LM865" s="1852" t="str">
        <f t="shared" si="303"/>
        <v/>
      </c>
      <c r="LN865" s="1852" t="str">
        <f t="shared" si="304"/>
        <v/>
      </c>
      <c r="LO865" s="1852" t="str">
        <f t="shared" si="305"/>
        <v/>
      </c>
      <c r="LP865" s="1852" t="str">
        <f t="shared" si="306"/>
        <v/>
      </c>
      <c r="LQ865" s="1852" t="str">
        <f t="shared" si="307"/>
        <v/>
      </c>
      <c r="LR865" s="1852" t="str">
        <f t="shared" si="308"/>
        <v/>
      </c>
      <c r="LS865" s="1852" t="str">
        <f t="shared" si="309"/>
        <v/>
      </c>
      <c r="LT865" s="1852" t="str">
        <f t="shared" si="310"/>
        <v/>
      </c>
      <c r="LU865" s="1852" t="str">
        <f t="shared" si="311"/>
        <v/>
      </c>
      <c r="LV865" s="1852" t="str">
        <f t="shared" si="312"/>
        <v/>
      </c>
      <c r="LW865" s="1852" t="str">
        <f t="shared" si="313"/>
        <v/>
      </c>
      <c r="LX865" s="1852" t="str">
        <f t="shared" si="314"/>
        <v/>
      </c>
      <c r="LY865" s="1852" t="str">
        <f t="shared" si="315"/>
        <v/>
      </c>
      <c r="LZ865" s="1852" t="str">
        <f t="shared" si="316"/>
        <v/>
      </c>
      <c r="MA865" s="1852" t="str">
        <f t="shared" si="317"/>
        <v/>
      </c>
      <c r="MB865" s="1852" t="str">
        <f t="shared" si="318"/>
        <v/>
      </c>
      <c r="MC865" s="1852" t="str">
        <f t="shared" si="319"/>
        <v/>
      </c>
      <c r="MD865" s="1852" t="str">
        <f t="shared" si="320"/>
        <v/>
      </c>
      <c r="ME865" s="1852" t="str">
        <f t="shared" si="321"/>
        <v/>
      </c>
      <c r="MF865" s="2051">
        <f t="shared" si="328"/>
        <v>0</v>
      </c>
      <c r="MG865" s="2051">
        <f t="shared" si="329"/>
        <v>0</v>
      </c>
      <c r="MH865" s="2051">
        <f t="shared" si="330"/>
        <v>0</v>
      </c>
      <c r="MI865" s="2051">
        <f t="shared" si="331"/>
        <v>0</v>
      </c>
      <c r="MJ865" s="2051">
        <f t="shared" si="332"/>
        <v>0</v>
      </c>
      <c r="MK865" s="2051">
        <f t="shared" si="333"/>
        <v>0</v>
      </c>
      <c r="ML865" s="2051">
        <f t="shared" si="334"/>
        <v>0</v>
      </c>
      <c r="MM865" s="2051">
        <f t="shared" si="335"/>
        <v>2</v>
      </c>
      <c r="MN865" s="2051">
        <f t="shared" si="336"/>
        <v>0</v>
      </c>
      <c r="MO865" s="2051">
        <f t="shared" si="337"/>
        <v>0</v>
      </c>
      <c r="MP865" s="2051">
        <f t="shared" si="322"/>
        <v>0</v>
      </c>
      <c r="MQ865" s="2051">
        <f t="shared" si="323"/>
        <v>0</v>
      </c>
      <c r="MR865" s="2051">
        <f t="shared" si="324"/>
        <v>0</v>
      </c>
      <c r="MS865" s="2051">
        <f t="shared" si="325"/>
        <v>0</v>
      </c>
      <c r="MT865" s="2051">
        <f t="shared" si="326"/>
        <v>0</v>
      </c>
      <c r="NP865" s="1924" t="s">
        <v>6734</v>
      </c>
    </row>
    <row r="866" spans="1:380" s="1852" customFormat="1" ht="13.9" customHeight="1">
      <c r="A866" s="2108" t="str">
        <f t="shared" si="327"/>
        <v/>
      </c>
      <c r="B866" s="2130">
        <f>'Part VI-Revenues &amp; Expenses'!B26</f>
        <v>70</v>
      </c>
      <c r="C866" s="2131">
        <f>'Part VI-Revenues &amp; Expenses'!C26</f>
        <v>3</v>
      </c>
      <c r="D866" s="2132">
        <f>'Part VI-Revenues &amp; Expenses'!D26</f>
        <v>2</v>
      </c>
      <c r="E866" s="2133">
        <f>'Part VI-Revenues &amp; Expenses'!E26</f>
        <v>2</v>
      </c>
      <c r="F866" s="2133">
        <f>'Part VI-Revenues &amp; Expenses'!F26</f>
        <v>1301</v>
      </c>
      <c r="G866" s="2133">
        <f>'Part VI-Revenues &amp; Expenses'!G26</f>
        <v>1310</v>
      </c>
      <c r="H866" s="2133">
        <f>'Part VI-Revenues &amp; Expenses'!H26</f>
        <v>899</v>
      </c>
      <c r="I866" s="2133">
        <f>'Part VI-Revenues &amp; Expenses'!I26</f>
        <v>0</v>
      </c>
      <c r="J866" s="2133">
        <f>'Part VI-Revenues &amp; Expenses'!J26</f>
        <v>149</v>
      </c>
      <c r="K866" s="2134">
        <f>'Part VI-Revenues &amp; Expenses'!K26</f>
        <v>0</v>
      </c>
      <c r="L866" s="2135">
        <f t="shared" si="0"/>
        <v>750</v>
      </c>
      <c r="M866" s="2135">
        <f t="shared" si="1"/>
        <v>1500</v>
      </c>
      <c r="N866" s="1916" t="str">
        <f>'Part VI-Revenues &amp; Expenses'!N26</f>
        <v>No</v>
      </c>
      <c r="O866" s="2136" t="str">
        <f>'Part VI-Revenues &amp; Expenses'!O26</f>
        <v>Low-Rise Apt</v>
      </c>
      <c r="P866" s="1916" t="str">
        <f>'Part VI-Revenues &amp; Expenses'!P26</f>
        <v>New Construction</v>
      </c>
      <c r="Q866" s="2137" t="str">
        <f>'Part VI-Revenues &amp; Expenses'!Q26</f>
        <v>No</v>
      </c>
      <c r="R866" s="2138"/>
      <c r="S866" s="2139"/>
      <c r="T866" s="2043"/>
      <c r="U866" s="2043"/>
      <c r="V866" s="2043"/>
      <c r="W866" s="2043"/>
      <c r="X866" s="1852" t="str">
        <f t="shared" si="2"/>
        <v/>
      </c>
      <c r="Y866" s="1852" t="str">
        <f t="shared" si="3"/>
        <v/>
      </c>
      <c r="Z866" s="1852" t="str">
        <f t="shared" si="4"/>
        <v/>
      </c>
      <c r="AA866" s="1852" t="str">
        <f t="shared" si="5"/>
        <v/>
      </c>
      <c r="AB866" s="1852" t="str">
        <f t="shared" si="6"/>
        <v/>
      </c>
      <c r="AC866" s="1852" t="str">
        <f t="shared" si="7"/>
        <v/>
      </c>
      <c r="AD866" s="1852" t="str">
        <f t="shared" si="8"/>
        <v/>
      </c>
      <c r="AE866" s="1852" t="str">
        <f t="shared" si="9"/>
        <v/>
      </c>
      <c r="AF866" s="1852">
        <f t="shared" si="10"/>
        <v>2</v>
      </c>
      <c r="AG866" s="1852" t="str">
        <f t="shared" si="11"/>
        <v/>
      </c>
      <c r="AH866" s="1852" t="str">
        <f t="shared" si="12"/>
        <v/>
      </c>
      <c r="AI866" s="1852" t="str">
        <f t="shared" si="13"/>
        <v/>
      </c>
      <c r="AJ866" s="1852" t="str">
        <f t="shared" si="14"/>
        <v/>
      </c>
      <c r="AK866" s="1852" t="str">
        <f t="shared" si="15"/>
        <v/>
      </c>
      <c r="AL866" s="1852" t="str">
        <f t="shared" si="16"/>
        <v/>
      </c>
      <c r="AM866" s="1852" t="str">
        <f t="shared" si="17"/>
        <v/>
      </c>
      <c r="AN866" s="1852" t="str">
        <f t="shared" si="18"/>
        <v/>
      </c>
      <c r="AO866" s="1852" t="str">
        <f t="shared" si="19"/>
        <v/>
      </c>
      <c r="AP866" s="1852" t="str">
        <f t="shared" si="20"/>
        <v/>
      </c>
      <c r="AQ866" s="1852" t="str">
        <f t="shared" si="21"/>
        <v/>
      </c>
      <c r="AR866" s="1852" t="str">
        <f t="shared" si="22"/>
        <v/>
      </c>
      <c r="AS866" s="1852" t="str">
        <f t="shared" si="23"/>
        <v/>
      </c>
      <c r="AT866" s="1852" t="str">
        <f t="shared" si="24"/>
        <v/>
      </c>
      <c r="AU866" s="1852" t="str">
        <f t="shared" si="25"/>
        <v/>
      </c>
      <c r="AV866" s="1852" t="str">
        <f t="shared" si="26"/>
        <v/>
      </c>
      <c r="AW866" s="1852" t="str">
        <f t="shared" si="27"/>
        <v/>
      </c>
      <c r="AX866" s="1852" t="str">
        <f t="shared" si="28"/>
        <v/>
      </c>
      <c r="AY866" s="1852" t="str">
        <f t="shared" si="29"/>
        <v/>
      </c>
      <c r="AZ866" s="1852" t="str">
        <f t="shared" si="30"/>
        <v/>
      </c>
      <c r="BA866" s="1852" t="str">
        <f t="shared" si="31"/>
        <v/>
      </c>
      <c r="BB866" s="1852" t="str">
        <f t="shared" si="32"/>
        <v/>
      </c>
      <c r="BC866" s="1852" t="str">
        <f t="shared" si="33"/>
        <v/>
      </c>
      <c r="BD866" s="1852" t="str">
        <f t="shared" si="34"/>
        <v/>
      </c>
      <c r="BE866" s="1852" t="str">
        <f t="shared" si="35"/>
        <v/>
      </c>
      <c r="BF866" s="1852" t="str">
        <f t="shared" si="36"/>
        <v/>
      </c>
      <c r="BG866" s="1852" t="str">
        <f t="shared" si="37"/>
        <v/>
      </c>
      <c r="BH866" s="1852" t="str">
        <f t="shared" si="38"/>
        <v/>
      </c>
      <c r="BI866" s="1852" t="str">
        <f t="shared" si="39"/>
        <v/>
      </c>
      <c r="BJ866" s="1852" t="str">
        <f t="shared" si="40"/>
        <v/>
      </c>
      <c r="BK866" s="1852" t="str">
        <f t="shared" si="41"/>
        <v/>
      </c>
      <c r="BL866" s="1852" t="str">
        <f t="shared" si="42"/>
        <v/>
      </c>
      <c r="BM866" s="1852" t="str">
        <f t="shared" si="43"/>
        <v/>
      </c>
      <c r="BN866" s="1852" t="str">
        <f t="shared" si="44"/>
        <v/>
      </c>
      <c r="BO866" s="1852" t="str">
        <f t="shared" si="45"/>
        <v/>
      </c>
      <c r="BP866" s="1852" t="str">
        <f t="shared" si="46"/>
        <v/>
      </c>
      <c r="BQ866" s="1852" t="str">
        <f t="shared" si="47"/>
        <v/>
      </c>
      <c r="BR866" s="1852" t="str">
        <f t="shared" si="48"/>
        <v/>
      </c>
      <c r="BS866" s="1852" t="str">
        <f t="shared" si="49"/>
        <v/>
      </c>
      <c r="BT866" s="1852" t="str">
        <f t="shared" si="50"/>
        <v/>
      </c>
      <c r="BU866" s="1852" t="str">
        <f t="shared" si="51"/>
        <v/>
      </c>
      <c r="BV866" s="1852" t="str">
        <f t="shared" si="52"/>
        <v/>
      </c>
      <c r="BW866" s="1852" t="str">
        <f t="shared" si="53"/>
        <v/>
      </c>
      <c r="BX866" s="1852" t="str">
        <f t="shared" si="54"/>
        <v/>
      </c>
      <c r="BY866" s="1852" t="str">
        <f t="shared" si="55"/>
        <v/>
      </c>
      <c r="BZ866" s="1852" t="str">
        <f t="shared" si="56"/>
        <v/>
      </c>
      <c r="CA866" s="1852" t="str">
        <f t="shared" si="57"/>
        <v/>
      </c>
      <c r="CB866" s="1852" t="str">
        <f t="shared" si="58"/>
        <v/>
      </c>
      <c r="CC866" s="1852" t="str">
        <f t="shared" si="59"/>
        <v/>
      </c>
      <c r="CD866" s="1852" t="str">
        <f t="shared" si="60"/>
        <v/>
      </c>
      <c r="CE866" s="1852" t="str">
        <f t="shared" si="61"/>
        <v/>
      </c>
      <c r="CF866" s="1852" t="str">
        <f t="shared" si="62"/>
        <v/>
      </c>
      <c r="CG866" s="1852" t="str">
        <f t="shared" si="63"/>
        <v/>
      </c>
      <c r="CH866" s="1852" t="str">
        <f t="shared" si="64"/>
        <v/>
      </c>
      <c r="CI866" s="1852" t="str">
        <f t="shared" si="65"/>
        <v/>
      </c>
      <c r="CJ866" s="1852" t="str">
        <f t="shared" si="66"/>
        <v/>
      </c>
      <c r="CK866" s="1852" t="str">
        <f t="shared" si="67"/>
        <v/>
      </c>
      <c r="CL866" s="1852" t="str">
        <f t="shared" si="68"/>
        <v/>
      </c>
      <c r="CM866" s="1852" t="str">
        <f t="shared" si="69"/>
        <v/>
      </c>
      <c r="CN866" s="1852">
        <f t="shared" si="70"/>
        <v>2</v>
      </c>
      <c r="CO866" s="1852" t="str">
        <f t="shared" si="71"/>
        <v/>
      </c>
      <c r="CP866" s="1852" t="str">
        <f t="shared" si="72"/>
        <v/>
      </c>
      <c r="CQ866" s="1852" t="str">
        <f t="shared" si="73"/>
        <v/>
      </c>
      <c r="CR866" s="1852" t="str">
        <f t="shared" si="74"/>
        <v/>
      </c>
      <c r="CS866" s="1852" t="str">
        <f t="shared" si="75"/>
        <v/>
      </c>
      <c r="CT866" s="1852" t="str">
        <f t="shared" si="76"/>
        <v/>
      </c>
      <c r="CU866" s="1852" t="str">
        <f t="shared" si="77"/>
        <v/>
      </c>
      <c r="CV866" s="1852" t="str">
        <f t="shared" si="78"/>
        <v/>
      </c>
      <c r="CW866" s="1852" t="str">
        <f t="shared" si="79"/>
        <v/>
      </c>
      <c r="CX866" s="1852" t="str">
        <f t="shared" si="80"/>
        <v/>
      </c>
      <c r="CY866" s="1852" t="str">
        <f t="shared" si="81"/>
        <v/>
      </c>
      <c r="CZ866" s="1852" t="str">
        <f t="shared" si="82"/>
        <v/>
      </c>
      <c r="DA866" s="1852" t="str">
        <f t="shared" si="83"/>
        <v/>
      </c>
      <c r="DB866" s="1852" t="str">
        <f t="shared" si="84"/>
        <v/>
      </c>
      <c r="DC866" s="1852" t="str">
        <f t="shared" si="85"/>
        <v/>
      </c>
      <c r="DD866" s="1852" t="str">
        <f t="shared" si="86"/>
        <v/>
      </c>
      <c r="DE866" s="1852" t="str">
        <f t="shared" si="87"/>
        <v/>
      </c>
      <c r="DF866" s="1852" t="str">
        <f t="shared" si="88"/>
        <v/>
      </c>
      <c r="DG866" s="1852" t="str">
        <f t="shared" si="89"/>
        <v/>
      </c>
      <c r="DH866" s="1852" t="str">
        <f t="shared" si="90"/>
        <v/>
      </c>
      <c r="DI866" s="1852" t="str">
        <f t="shared" si="91"/>
        <v/>
      </c>
      <c r="DJ866" s="1852" t="str">
        <f t="shared" si="92"/>
        <v/>
      </c>
      <c r="DK866" s="1852" t="str">
        <f t="shared" si="93"/>
        <v/>
      </c>
      <c r="DL866" s="1852" t="str">
        <f t="shared" si="94"/>
        <v/>
      </c>
      <c r="DM866" s="1852" t="str">
        <f t="shared" si="95"/>
        <v/>
      </c>
      <c r="DN866" s="1852" t="str">
        <f t="shared" si="96"/>
        <v/>
      </c>
      <c r="DO866" s="1852" t="str">
        <f t="shared" si="97"/>
        <v/>
      </c>
      <c r="DP866" s="1852" t="str">
        <f t="shared" si="98"/>
        <v/>
      </c>
      <c r="DQ866" s="1852" t="str">
        <f t="shared" si="99"/>
        <v/>
      </c>
      <c r="DR866" s="1852" t="str">
        <f t="shared" si="100"/>
        <v/>
      </c>
      <c r="DS866" s="1852" t="str">
        <f t="shared" si="101"/>
        <v/>
      </c>
      <c r="DT866" s="1852" t="str">
        <f t="shared" si="102"/>
        <v/>
      </c>
      <c r="DU866" s="1852" t="str">
        <f t="shared" si="103"/>
        <v/>
      </c>
      <c r="DV866" s="1852" t="str">
        <f t="shared" si="104"/>
        <v/>
      </c>
      <c r="DW866" s="1852" t="str">
        <f t="shared" si="105"/>
        <v/>
      </c>
      <c r="DX866" s="1852" t="str">
        <f t="shared" si="106"/>
        <v/>
      </c>
      <c r="DY866" s="1852" t="str">
        <f t="shared" si="107"/>
        <v/>
      </c>
      <c r="DZ866" s="1852" t="str">
        <f t="shared" si="108"/>
        <v/>
      </c>
      <c r="EA866" s="1852" t="str">
        <f t="shared" si="109"/>
        <v/>
      </c>
      <c r="EB866" s="1852" t="str">
        <f t="shared" si="110"/>
        <v/>
      </c>
      <c r="EC866" s="1852" t="str">
        <f t="shared" si="111"/>
        <v/>
      </c>
      <c r="ED866" s="1852" t="str">
        <f t="shared" si="112"/>
        <v/>
      </c>
      <c r="EE866" s="1852" t="str">
        <f t="shared" si="113"/>
        <v/>
      </c>
      <c r="EF866" s="1852" t="str">
        <f t="shared" si="114"/>
        <v/>
      </c>
      <c r="EG866" s="1852" t="str">
        <f t="shared" si="115"/>
        <v/>
      </c>
      <c r="EH866" s="1852" t="str">
        <f t="shared" si="116"/>
        <v/>
      </c>
      <c r="EI866" s="1852" t="str">
        <f t="shared" si="117"/>
        <v/>
      </c>
      <c r="EJ866" s="1852" t="str">
        <f t="shared" si="118"/>
        <v/>
      </c>
      <c r="EK866" s="1852" t="str">
        <f t="shared" si="119"/>
        <v/>
      </c>
      <c r="EL866" s="1852" t="str">
        <f t="shared" si="120"/>
        <v/>
      </c>
      <c r="EM866" s="1852" t="str">
        <f t="shared" si="121"/>
        <v/>
      </c>
      <c r="EN866" s="1852" t="str">
        <f t="shared" si="122"/>
        <v/>
      </c>
      <c r="EO866" s="1852" t="str">
        <f t="shared" si="123"/>
        <v/>
      </c>
      <c r="EP866" s="1852" t="str">
        <f t="shared" si="124"/>
        <v/>
      </c>
      <c r="EQ866" s="1852">
        <f t="shared" si="125"/>
        <v>2602</v>
      </c>
      <c r="ER866" s="1852" t="str">
        <f t="shared" si="126"/>
        <v/>
      </c>
      <c r="ES866" s="1852" t="str">
        <f t="shared" si="127"/>
        <v/>
      </c>
      <c r="ET866" s="1852" t="str">
        <f t="shared" si="128"/>
        <v/>
      </c>
      <c r="EU866" s="1852" t="str">
        <f t="shared" si="129"/>
        <v/>
      </c>
      <c r="EV866" s="1852" t="str">
        <f t="shared" si="130"/>
        <v/>
      </c>
      <c r="EW866" s="1852" t="str">
        <f t="shared" si="131"/>
        <v/>
      </c>
      <c r="EX866" s="1852" t="str">
        <f t="shared" si="132"/>
        <v/>
      </c>
      <c r="EY866" s="1852" t="str">
        <f t="shared" si="133"/>
        <v/>
      </c>
      <c r="EZ866" s="1852" t="str">
        <f t="shared" si="134"/>
        <v/>
      </c>
      <c r="FA866" s="1852" t="str">
        <f t="shared" si="135"/>
        <v/>
      </c>
      <c r="FB866" s="1852" t="str">
        <f t="shared" si="136"/>
        <v/>
      </c>
      <c r="FC866" s="1852" t="str">
        <f t="shared" si="137"/>
        <v/>
      </c>
      <c r="FD866" s="1852" t="str">
        <f t="shared" si="138"/>
        <v/>
      </c>
      <c r="FE866" s="1852" t="str">
        <f t="shared" si="139"/>
        <v/>
      </c>
      <c r="FF866" s="1852" t="str">
        <f t="shared" si="140"/>
        <v/>
      </c>
      <c r="FG866" s="1852" t="str">
        <f t="shared" si="141"/>
        <v/>
      </c>
      <c r="FH866" s="1852" t="str">
        <f t="shared" si="142"/>
        <v/>
      </c>
      <c r="FI866" s="1852" t="str">
        <f t="shared" si="143"/>
        <v/>
      </c>
      <c r="FJ866" s="1852" t="str">
        <f t="shared" si="144"/>
        <v/>
      </c>
      <c r="FK866" s="1852" t="str">
        <f t="shared" si="145"/>
        <v/>
      </c>
      <c r="FL866" s="1852" t="str">
        <f t="shared" si="146"/>
        <v/>
      </c>
      <c r="FM866" s="1852" t="str">
        <f t="shared" si="147"/>
        <v/>
      </c>
      <c r="FN866" s="1852" t="str">
        <f t="shared" si="148"/>
        <v/>
      </c>
      <c r="FO866" s="1852" t="str">
        <f t="shared" si="149"/>
        <v/>
      </c>
      <c r="FP866" s="1852" t="str">
        <f t="shared" si="150"/>
        <v/>
      </c>
      <c r="FQ866" s="1852" t="str">
        <f t="shared" si="151"/>
        <v/>
      </c>
      <c r="FR866" s="1852" t="str">
        <f t="shared" si="152"/>
        <v/>
      </c>
      <c r="FS866" s="1852" t="str">
        <f t="shared" si="153"/>
        <v/>
      </c>
      <c r="FT866" s="1852" t="str">
        <f t="shared" si="154"/>
        <v/>
      </c>
      <c r="FU866" s="1852" t="str">
        <f t="shared" si="155"/>
        <v/>
      </c>
      <c r="FV866" s="1852" t="str">
        <f t="shared" si="156"/>
        <v/>
      </c>
      <c r="FW866" s="1852" t="str">
        <f t="shared" si="157"/>
        <v/>
      </c>
      <c r="FX866" s="1852" t="str">
        <f t="shared" si="158"/>
        <v/>
      </c>
      <c r="FY866" s="1852" t="str">
        <f t="shared" si="159"/>
        <v/>
      </c>
      <c r="FZ866" s="1852" t="str">
        <f t="shared" si="160"/>
        <v/>
      </c>
      <c r="GA866" s="1852" t="str">
        <f t="shared" si="161"/>
        <v/>
      </c>
      <c r="GB866" s="1852" t="str">
        <f t="shared" si="162"/>
        <v/>
      </c>
      <c r="GC866" s="1852" t="str">
        <f t="shared" si="163"/>
        <v/>
      </c>
      <c r="GD866" s="1852" t="str">
        <f t="shared" si="164"/>
        <v/>
      </c>
      <c r="GE866" s="1852" t="str">
        <f t="shared" si="165"/>
        <v/>
      </c>
      <c r="GF866" s="1852" t="str">
        <f t="shared" si="166"/>
        <v/>
      </c>
      <c r="GG866" s="1852" t="str">
        <f t="shared" si="167"/>
        <v/>
      </c>
      <c r="GH866" s="1852" t="str">
        <f t="shared" si="168"/>
        <v/>
      </c>
      <c r="GI866" s="1852" t="str">
        <f t="shared" si="169"/>
        <v/>
      </c>
      <c r="GJ866" s="1852">
        <f t="shared" si="170"/>
        <v>2</v>
      </c>
      <c r="GK866" s="1852" t="str">
        <f t="shared" si="171"/>
        <v/>
      </c>
      <c r="GL866" s="1852" t="str">
        <f t="shared" si="172"/>
        <v/>
      </c>
      <c r="GM866" s="1852" t="str">
        <f t="shared" si="173"/>
        <v/>
      </c>
      <c r="GN866" s="1852" t="str">
        <f t="shared" si="174"/>
        <v/>
      </c>
      <c r="GO866" s="1852" t="str">
        <f t="shared" si="175"/>
        <v/>
      </c>
      <c r="GP866" s="1852" t="str">
        <f t="shared" si="176"/>
        <v/>
      </c>
      <c r="GQ866" s="1852" t="str">
        <f t="shared" si="177"/>
        <v/>
      </c>
      <c r="GR866" s="1852" t="str">
        <f t="shared" si="178"/>
        <v/>
      </c>
      <c r="GS866" s="1852" t="str">
        <f t="shared" si="179"/>
        <v/>
      </c>
      <c r="GT866" s="1852" t="str">
        <f t="shared" si="180"/>
        <v/>
      </c>
      <c r="GU866" s="1852" t="str">
        <f t="shared" si="181"/>
        <v/>
      </c>
      <c r="GV866" s="1852" t="str">
        <f t="shared" si="182"/>
        <v/>
      </c>
      <c r="GW866" s="1852" t="str">
        <f t="shared" si="183"/>
        <v/>
      </c>
      <c r="GX866" s="1852" t="str">
        <f t="shared" si="184"/>
        <v/>
      </c>
      <c r="GY866" s="1852" t="str">
        <f t="shared" si="185"/>
        <v/>
      </c>
      <c r="GZ866" s="1852" t="str">
        <f t="shared" si="186"/>
        <v/>
      </c>
      <c r="HA866" s="1852" t="str">
        <f t="shared" si="187"/>
        <v/>
      </c>
      <c r="HB866" s="1852" t="str">
        <f t="shared" si="188"/>
        <v/>
      </c>
      <c r="HC866" s="1852" t="str">
        <f t="shared" si="189"/>
        <v/>
      </c>
      <c r="HD866" s="1852" t="str">
        <f t="shared" si="190"/>
        <v/>
      </c>
      <c r="HE866" s="1852" t="str">
        <f t="shared" si="191"/>
        <v/>
      </c>
      <c r="HF866" s="1852" t="str">
        <f t="shared" si="192"/>
        <v/>
      </c>
      <c r="HG866" s="1852" t="str">
        <f t="shared" si="193"/>
        <v/>
      </c>
      <c r="HH866" s="1852" t="str">
        <f t="shared" si="194"/>
        <v/>
      </c>
      <c r="HI866" s="1852" t="str">
        <f t="shared" si="195"/>
        <v/>
      </c>
      <c r="HJ866" s="1852" t="str">
        <f t="shared" si="196"/>
        <v/>
      </c>
      <c r="HK866" s="1852" t="str">
        <f t="shared" si="197"/>
        <v/>
      </c>
      <c r="HL866" s="1852" t="str">
        <f t="shared" si="198"/>
        <v/>
      </c>
      <c r="HM866" s="1852" t="str">
        <f t="shared" si="199"/>
        <v/>
      </c>
      <c r="HN866" s="1852" t="str">
        <f t="shared" si="200"/>
        <v/>
      </c>
      <c r="HO866" s="1852" t="str">
        <f t="shared" si="201"/>
        <v/>
      </c>
      <c r="HP866" s="1852" t="str">
        <f t="shared" si="202"/>
        <v/>
      </c>
      <c r="HQ866" s="1852" t="str">
        <f t="shared" si="203"/>
        <v/>
      </c>
      <c r="HR866" s="1852" t="str">
        <f t="shared" si="204"/>
        <v/>
      </c>
      <c r="HS866" s="1852" t="str">
        <f t="shared" si="205"/>
        <v/>
      </c>
      <c r="HT866" s="1852" t="str">
        <f t="shared" si="206"/>
        <v/>
      </c>
      <c r="HU866" s="1852" t="str">
        <f t="shared" si="207"/>
        <v/>
      </c>
      <c r="HV866" s="1852" t="str">
        <f t="shared" si="208"/>
        <v/>
      </c>
      <c r="HW866" s="1852" t="str">
        <f t="shared" si="209"/>
        <v/>
      </c>
      <c r="HX866" s="1852" t="str">
        <f t="shared" si="210"/>
        <v/>
      </c>
      <c r="HY866" s="1852" t="str">
        <f t="shared" si="211"/>
        <v/>
      </c>
      <c r="HZ866" s="2140" t="str">
        <f t="shared" si="212"/>
        <v/>
      </c>
      <c r="IA866" s="2140" t="str">
        <f t="shared" si="213"/>
        <v/>
      </c>
      <c r="IB866" s="2140" t="str">
        <f t="shared" si="214"/>
        <v/>
      </c>
      <c r="IC866" s="2140">
        <f t="shared" si="215"/>
        <v>2</v>
      </c>
      <c r="ID866" s="2140" t="str">
        <f t="shared" si="216"/>
        <v/>
      </c>
      <c r="IE866" s="2140" t="str">
        <f t="shared" si="217"/>
        <v/>
      </c>
      <c r="IF866" s="2140" t="str">
        <f t="shared" si="218"/>
        <v/>
      </c>
      <c r="IG866" s="2140" t="str">
        <f t="shared" si="219"/>
        <v/>
      </c>
      <c r="IH866" s="2140" t="str">
        <f t="shared" si="220"/>
        <v/>
      </c>
      <c r="II866" s="2140" t="str">
        <f t="shared" si="221"/>
        <v/>
      </c>
      <c r="IJ866" s="2140" t="str">
        <f t="shared" si="222"/>
        <v/>
      </c>
      <c r="IK866" s="2140" t="str">
        <f t="shared" si="223"/>
        <v/>
      </c>
      <c r="IL866" s="2140" t="str">
        <f t="shared" si="224"/>
        <v/>
      </c>
      <c r="IM866" s="2140" t="str">
        <f t="shared" si="225"/>
        <v/>
      </c>
      <c r="IN866" s="2140" t="str">
        <f t="shared" si="226"/>
        <v/>
      </c>
      <c r="IO866" s="2140" t="str">
        <f t="shared" si="227"/>
        <v/>
      </c>
      <c r="IP866" s="2140" t="str">
        <f t="shared" si="228"/>
        <v/>
      </c>
      <c r="IQ866" s="2140" t="str">
        <f t="shared" si="229"/>
        <v/>
      </c>
      <c r="IR866" s="2140" t="str">
        <f t="shared" si="230"/>
        <v/>
      </c>
      <c r="IS866" s="2140" t="str">
        <f t="shared" si="231"/>
        <v/>
      </c>
      <c r="IT866" s="2140" t="str">
        <f t="shared" si="232"/>
        <v/>
      </c>
      <c r="IU866" s="2140" t="str">
        <f t="shared" si="233"/>
        <v/>
      </c>
      <c r="IV866" s="2140" t="str">
        <f t="shared" si="234"/>
        <v/>
      </c>
      <c r="IW866" s="2140" t="str">
        <f t="shared" si="235"/>
        <v/>
      </c>
      <c r="IX866" s="2140" t="str">
        <f t="shared" si="236"/>
        <v/>
      </c>
      <c r="IY866" s="2140" t="str">
        <f t="shared" si="237"/>
        <v/>
      </c>
      <c r="IZ866" s="2140" t="str">
        <f t="shared" si="238"/>
        <v/>
      </c>
      <c r="JA866" s="2140" t="str">
        <f t="shared" si="239"/>
        <v/>
      </c>
      <c r="JB866" s="2140" t="str">
        <f t="shared" si="240"/>
        <v/>
      </c>
      <c r="JC866" s="2140" t="str">
        <f t="shared" si="241"/>
        <v/>
      </c>
      <c r="JD866" s="2140" t="str">
        <f t="shared" si="242"/>
        <v/>
      </c>
      <c r="JE866" s="2140" t="str">
        <f t="shared" si="243"/>
        <v/>
      </c>
      <c r="JF866" s="2140" t="str">
        <f t="shared" si="244"/>
        <v/>
      </c>
      <c r="JG866" s="2140" t="str">
        <f t="shared" si="245"/>
        <v/>
      </c>
      <c r="JH866" s="2140" t="str">
        <f t="shared" si="246"/>
        <v/>
      </c>
      <c r="JI866" s="2140" t="str">
        <f t="shared" si="247"/>
        <v/>
      </c>
      <c r="JJ866" s="2140" t="str">
        <f t="shared" si="248"/>
        <v/>
      </c>
      <c r="JK866" s="2140" t="str">
        <f t="shared" si="249"/>
        <v/>
      </c>
      <c r="JL866" s="2140" t="str">
        <f t="shared" si="250"/>
        <v/>
      </c>
      <c r="JM866" s="2140" t="str">
        <f t="shared" si="251"/>
        <v/>
      </c>
      <c r="JN866" s="2140" t="str">
        <f t="shared" si="252"/>
        <v/>
      </c>
      <c r="JO866" s="2140" t="str">
        <f t="shared" si="253"/>
        <v/>
      </c>
      <c r="JP866" s="2140" t="str">
        <f t="shared" si="254"/>
        <v/>
      </c>
      <c r="JQ866" s="2140" t="str">
        <f t="shared" si="255"/>
        <v/>
      </c>
      <c r="JR866" s="2140" t="str">
        <f t="shared" si="256"/>
        <v/>
      </c>
      <c r="JS866" s="2140" t="str">
        <f t="shared" si="257"/>
        <v/>
      </c>
      <c r="JT866" s="2140" t="str">
        <f t="shared" si="258"/>
        <v/>
      </c>
      <c r="JU866" s="2140" t="str">
        <f t="shared" si="259"/>
        <v/>
      </c>
      <c r="JV866" s="2140">
        <f t="shared" si="260"/>
        <v>2</v>
      </c>
      <c r="JW866" s="2140" t="str">
        <f t="shared" si="261"/>
        <v/>
      </c>
      <c r="JX866" s="2140" t="str">
        <f t="shared" si="262"/>
        <v/>
      </c>
      <c r="JY866" s="2140" t="str">
        <f t="shared" si="263"/>
        <v/>
      </c>
      <c r="JZ866" s="2140" t="str">
        <f t="shared" si="264"/>
        <v/>
      </c>
      <c r="KA866" s="2140" t="str">
        <f t="shared" si="265"/>
        <v/>
      </c>
      <c r="KB866" s="2140" t="str">
        <f t="shared" si="266"/>
        <v/>
      </c>
      <c r="KC866" s="2140" t="str">
        <f t="shared" si="267"/>
        <v/>
      </c>
      <c r="KD866" s="2140" t="str">
        <f t="shared" si="268"/>
        <v/>
      </c>
      <c r="KE866" s="2140" t="str">
        <f t="shared" si="269"/>
        <v/>
      </c>
      <c r="KF866" s="2140" t="str">
        <f t="shared" si="270"/>
        <v/>
      </c>
      <c r="KG866" s="2140" t="str">
        <f t="shared" si="271"/>
        <v/>
      </c>
      <c r="KH866" s="2140" t="str">
        <f t="shared" si="272"/>
        <v/>
      </c>
      <c r="KI866" s="2140" t="str">
        <f t="shared" si="273"/>
        <v/>
      </c>
      <c r="KJ866" s="2140" t="str">
        <f t="shared" si="274"/>
        <v/>
      </c>
      <c r="KK866" s="2140" t="str">
        <f t="shared" si="275"/>
        <v/>
      </c>
      <c r="KL866" s="2140" t="str">
        <f t="shared" si="276"/>
        <v/>
      </c>
      <c r="KM866" s="2140" t="str">
        <f t="shared" si="277"/>
        <v/>
      </c>
      <c r="KN866" s="2140" t="str">
        <f t="shared" si="278"/>
        <v/>
      </c>
      <c r="KO866" s="2140" t="str">
        <f t="shared" si="279"/>
        <v/>
      </c>
      <c r="KP866" s="2140" t="str">
        <f t="shared" si="280"/>
        <v/>
      </c>
      <c r="KQ866" s="2140" t="str">
        <f t="shared" si="281"/>
        <v/>
      </c>
      <c r="KR866" s="2140" t="str">
        <f t="shared" si="282"/>
        <v/>
      </c>
      <c r="KS866" s="2140" t="str">
        <f t="shared" si="283"/>
        <v/>
      </c>
      <c r="KT866" s="2140" t="str">
        <f t="shared" si="284"/>
        <v/>
      </c>
      <c r="KU866" s="2140" t="str">
        <f t="shared" si="285"/>
        <v/>
      </c>
      <c r="KV866" s="2140" t="str">
        <f t="shared" si="286"/>
        <v/>
      </c>
      <c r="KW866" s="2140" t="str">
        <f t="shared" si="287"/>
        <v/>
      </c>
      <c r="KX866" s="2140" t="str">
        <f t="shared" si="288"/>
        <v/>
      </c>
      <c r="KY866" s="2140" t="str">
        <f t="shared" si="289"/>
        <v/>
      </c>
      <c r="KZ866" s="2140" t="str">
        <f t="shared" si="290"/>
        <v/>
      </c>
      <c r="LA866" s="2140" t="str">
        <f t="shared" si="291"/>
        <v/>
      </c>
      <c r="LB866" s="2140" t="str">
        <f t="shared" si="292"/>
        <v/>
      </c>
      <c r="LC866" s="2140" t="str">
        <f t="shared" si="293"/>
        <v/>
      </c>
      <c r="LD866" s="2140" t="str">
        <f t="shared" si="294"/>
        <v/>
      </c>
      <c r="LE866" s="2140" t="str">
        <f t="shared" si="295"/>
        <v/>
      </c>
      <c r="LF866" s="2140" t="str">
        <f t="shared" si="296"/>
        <v/>
      </c>
      <c r="LG866" s="2051" t="str">
        <f t="shared" si="297"/>
        <v/>
      </c>
      <c r="LH866" s="2051" t="str">
        <f t="shared" si="298"/>
        <v/>
      </c>
      <c r="LI866" s="2051" t="str">
        <f t="shared" si="299"/>
        <v/>
      </c>
      <c r="LJ866" s="2051" t="str">
        <f t="shared" si="300"/>
        <v/>
      </c>
      <c r="LK866" s="2051" t="str">
        <f t="shared" si="301"/>
        <v/>
      </c>
      <c r="LL866" s="1852" t="str">
        <f t="shared" si="302"/>
        <v/>
      </c>
      <c r="LM866" s="1852" t="str">
        <f t="shared" si="303"/>
        <v/>
      </c>
      <c r="LN866" s="1852" t="str">
        <f t="shared" si="304"/>
        <v/>
      </c>
      <c r="LO866" s="1852" t="str">
        <f t="shared" si="305"/>
        <v/>
      </c>
      <c r="LP866" s="1852" t="str">
        <f t="shared" si="306"/>
        <v/>
      </c>
      <c r="LQ866" s="1852" t="str">
        <f t="shared" si="307"/>
        <v/>
      </c>
      <c r="LR866" s="1852" t="str">
        <f t="shared" si="308"/>
        <v/>
      </c>
      <c r="LS866" s="1852" t="str">
        <f t="shared" si="309"/>
        <v/>
      </c>
      <c r="LT866" s="1852" t="str">
        <f t="shared" si="310"/>
        <v/>
      </c>
      <c r="LU866" s="1852" t="str">
        <f t="shared" si="311"/>
        <v/>
      </c>
      <c r="LV866" s="1852" t="str">
        <f t="shared" si="312"/>
        <v/>
      </c>
      <c r="LW866" s="1852" t="str">
        <f t="shared" si="313"/>
        <v/>
      </c>
      <c r="LX866" s="1852" t="str">
        <f t="shared" si="314"/>
        <v/>
      </c>
      <c r="LY866" s="1852" t="str">
        <f t="shared" si="315"/>
        <v/>
      </c>
      <c r="LZ866" s="1852" t="str">
        <f t="shared" si="316"/>
        <v/>
      </c>
      <c r="MA866" s="1852" t="str">
        <f t="shared" si="317"/>
        <v/>
      </c>
      <c r="MB866" s="1852" t="str">
        <f t="shared" si="318"/>
        <v/>
      </c>
      <c r="MC866" s="1852" t="str">
        <f t="shared" si="319"/>
        <v/>
      </c>
      <c r="MD866" s="1852" t="str">
        <f t="shared" si="320"/>
        <v/>
      </c>
      <c r="ME866" s="1852" t="str">
        <f t="shared" si="321"/>
        <v/>
      </c>
      <c r="MF866" s="2051">
        <f t="shared" si="328"/>
        <v>0</v>
      </c>
      <c r="MG866" s="2051">
        <f t="shared" si="329"/>
        <v>0</v>
      </c>
      <c r="MH866" s="2051">
        <f t="shared" si="330"/>
        <v>0</v>
      </c>
      <c r="MI866" s="2051">
        <f t="shared" si="331"/>
        <v>0</v>
      </c>
      <c r="MJ866" s="2051">
        <f t="shared" si="332"/>
        <v>0</v>
      </c>
      <c r="MK866" s="2051">
        <f t="shared" si="333"/>
        <v>0</v>
      </c>
      <c r="ML866" s="2051">
        <f t="shared" si="334"/>
        <v>0</v>
      </c>
      <c r="MM866" s="2051">
        <f t="shared" si="335"/>
        <v>0</v>
      </c>
      <c r="MN866" s="2051">
        <f t="shared" si="336"/>
        <v>2</v>
      </c>
      <c r="MO866" s="2051">
        <f t="shared" si="337"/>
        <v>0</v>
      </c>
      <c r="MP866" s="2051">
        <f t="shared" si="322"/>
        <v>0</v>
      </c>
      <c r="MQ866" s="2051">
        <f t="shared" si="323"/>
        <v>0</v>
      </c>
      <c r="MR866" s="2051">
        <f t="shared" si="324"/>
        <v>0</v>
      </c>
      <c r="MS866" s="2051">
        <f t="shared" si="325"/>
        <v>0</v>
      </c>
      <c r="MT866" s="2051">
        <f t="shared" si="326"/>
        <v>0</v>
      </c>
      <c r="NP866" s="1924" t="s">
        <v>6735</v>
      </c>
    </row>
    <row r="867" spans="1:380" s="1852" customFormat="1" ht="13.9" customHeight="1">
      <c r="A867" s="2108" t="str">
        <f t="shared" si="327"/>
        <v/>
      </c>
      <c r="B867" s="2130">
        <f>'Part VI-Revenues &amp; Expenses'!B27</f>
        <v>0</v>
      </c>
      <c r="C867" s="2131">
        <f>'Part VI-Revenues &amp; Expenses'!C27</f>
        <v>0</v>
      </c>
      <c r="D867" s="2132">
        <f>'Part VI-Revenues &amp; Expenses'!D27</f>
        <v>0</v>
      </c>
      <c r="E867" s="2133">
        <f>'Part VI-Revenues &amp; Expenses'!E27</f>
        <v>0</v>
      </c>
      <c r="F867" s="2133">
        <f>'Part VI-Revenues &amp; Expenses'!F27</f>
        <v>0</v>
      </c>
      <c r="G867" s="2133">
        <f>'Part VI-Revenues &amp; Expenses'!G27</f>
        <v>0</v>
      </c>
      <c r="H867" s="2133">
        <f>'Part VI-Revenues &amp; Expenses'!H27</f>
        <v>0</v>
      </c>
      <c r="I867" s="2133">
        <f>'Part VI-Revenues &amp; Expenses'!I27</f>
        <v>0</v>
      </c>
      <c r="J867" s="2133">
        <f>'Part VI-Revenues &amp; Expenses'!J27</f>
        <v>0</v>
      </c>
      <c r="K867" s="2134">
        <f>'Part VI-Revenues &amp; Expenses'!K27</f>
        <v>0</v>
      </c>
      <c r="L867" s="2135">
        <f t="shared" si="0"/>
        <v>0</v>
      </c>
      <c r="M867" s="2135">
        <f t="shared" si="1"/>
        <v>0</v>
      </c>
      <c r="N867" s="1916">
        <f>'Part VI-Revenues &amp; Expenses'!N27</f>
        <v>0</v>
      </c>
      <c r="O867" s="2136">
        <f>'Part VI-Revenues &amp; Expenses'!O27</f>
        <v>0</v>
      </c>
      <c r="P867" s="1916">
        <f>'Part VI-Revenues &amp; Expenses'!P27</f>
        <v>0</v>
      </c>
      <c r="Q867" s="2137">
        <f>'Part VI-Revenues &amp; Expenses'!Q27</f>
        <v>0</v>
      </c>
      <c r="R867" s="2138"/>
      <c r="S867" s="2139"/>
      <c r="T867" s="2043"/>
      <c r="U867" s="2043"/>
      <c r="V867" s="2043"/>
      <c r="W867" s="2043"/>
      <c r="X867" s="1852" t="str">
        <f t="shared" si="2"/>
        <v/>
      </c>
      <c r="Y867" s="1852" t="str">
        <f t="shared" si="3"/>
        <v/>
      </c>
      <c r="Z867" s="1852" t="str">
        <f t="shared" si="4"/>
        <v/>
      </c>
      <c r="AA867" s="1852" t="str">
        <f t="shared" si="5"/>
        <v/>
      </c>
      <c r="AB867" s="1852" t="str">
        <f t="shared" si="6"/>
        <v/>
      </c>
      <c r="AC867" s="1852" t="str">
        <f t="shared" si="7"/>
        <v/>
      </c>
      <c r="AD867" s="1852" t="str">
        <f t="shared" si="8"/>
        <v/>
      </c>
      <c r="AE867" s="1852" t="str">
        <f t="shared" si="9"/>
        <v/>
      </c>
      <c r="AF867" s="1852" t="str">
        <f t="shared" si="10"/>
        <v/>
      </c>
      <c r="AG867" s="1852" t="str">
        <f t="shared" si="11"/>
        <v/>
      </c>
      <c r="AH867" s="1852" t="str">
        <f t="shared" si="12"/>
        <v/>
      </c>
      <c r="AI867" s="1852" t="str">
        <f t="shared" si="13"/>
        <v/>
      </c>
      <c r="AJ867" s="1852" t="str">
        <f t="shared" si="14"/>
        <v/>
      </c>
      <c r="AK867" s="1852" t="str">
        <f t="shared" si="15"/>
        <v/>
      </c>
      <c r="AL867" s="1852" t="str">
        <f t="shared" si="16"/>
        <v/>
      </c>
      <c r="AM867" s="1852" t="str">
        <f t="shared" si="17"/>
        <v/>
      </c>
      <c r="AN867" s="1852" t="str">
        <f t="shared" si="18"/>
        <v/>
      </c>
      <c r="AO867" s="1852" t="str">
        <f t="shared" si="19"/>
        <v/>
      </c>
      <c r="AP867" s="1852" t="str">
        <f t="shared" si="20"/>
        <v/>
      </c>
      <c r="AQ867" s="1852" t="str">
        <f t="shared" si="21"/>
        <v/>
      </c>
      <c r="AR867" s="1852" t="str">
        <f t="shared" si="22"/>
        <v/>
      </c>
      <c r="AS867" s="1852" t="str">
        <f t="shared" si="23"/>
        <v/>
      </c>
      <c r="AT867" s="1852" t="str">
        <f t="shared" si="24"/>
        <v/>
      </c>
      <c r="AU867" s="1852" t="str">
        <f t="shared" si="25"/>
        <v/>
      </c>
      <c r="AV867" s="1852" t="str">
        <f t="shared" si="26"/>
        <v/>
      </c>
      <c r="AW867" s="1852" t="str">
        <f t="shared" si="27"/>
        <v/>
      </c>
      <c r="AX867" s="1852" t="str">
        <f t="shared" si="28"/>
        <v/>
      </c>
      <c r="AY867" s="1852" t="str">
        <f t="shared" si="29"/>
        <v/>
      </c>
      <c r="AZ867" s="1852" t="str">
        <f t="shared" si="30"/>
        <v/>
      </c>
      <c r="BA867" s="1852" t="str">
        <f t="shared" si="31"/>
        <v/>
      </c>
      <c r="BB867" s="1852" t="str">
        <f t="shared" si="32"/>
        <v/>
      </c>
      <c r="BC867" s="1852" t="str">
        <f t="shared" si="33"/>
        <v/>
      </c>
      <c r="BD867" s="1852" t="str">
        <f t="shared" si="34"/>
        <v/>
      </c>
      <c r="BE867" s="1852" t="str">
        <f t="shared" si="35"/>
        <v/>
      </c>
      <c r="BF867" s="1852" t="str">
        <f t="shared" si="36"/>
        <v/>
      </c>
      <c r="BG867" s="1852" t="str">
        <f t="shared" si="37"/>
        <v/>
      </c>
      <c r="BH867" s="1852" t="str">
        <f t="shared" si="38"/>
        <v/>
      </c>
      <c r="BI867" s="1852" t="str">
        <f t="shared" si="39"/>
        <v/>
      </c>
      <c r="BJ867" s="1852" t="str">
        <f t="shared" si="40"/>
        <v/>
      </c>
      <c r="BK867" s="1852" t="str">
        <f t="shared" si="41"/>
        <v/>
      </c>
      <c r="BL867" s="1852" t="str">
        <f t="shared" si="42"/>
        <v/>
      </c>
      <c r="BM867" s="1852" t="str">
        <f t="shared" si="43"/>
        <v/>
      </c>
      <c r="BN867" s="1852" t="str">
        <f t="shared" si="44"/>
        <v/>
      </c>
      <c r="BO867" s="1852" t="str">
        <f t="shared" si="45"/>
        <v/>
      </c>
      <c r="BP867" s="1852" t="str">
        <f t="shared" si="46"/>
        <v/>
      </c>
      <c r="BQ867" s="1852" t="str">
        <f t="shared" si="47"/>
        <v/>
      </c>
      <c r="BR867" s="1852" t="str">
        <f t="shared" si="48"/>
        <v/>
      </c>
      <c r="BS867" s="1852" t="str">
        <f t="shared" si="49"/>
        <v/>
      </c>
      <c r="BT867" s="1852" t="str">
        <f t="shared" si="50"/>
        <v/>
      </c>
      <c r="BU867" s="1852" t="str">
        <f t="shared" si="51"/>
        <v/>
      </c>
      <c r="BV867" s="1852" t="str">
        <f t="shared" si="52"/>
        <v/>
      </c>
      <c r="BW867" s="1852" t="str">
        <f t="shared" si="53"/>
        <v/>
      </c>
      <c r="BX867" s="1852" t="str">
        <f t="shared" si="54"/>
        <v/>
      </c>
      <c r="BY867" s="1852" t="str">
        <f t="shared" si="55"/>
        <v/>
      </c>
      <c r="BZ867" s="1852" t="str">
        <f t="shared" si="56"/>
        <v/>
      </c>
      <c r="CA867" s="1852" t="str">
        <f t="shared" si="57"/>
        <v/>
      </c>
      <c r="CB867" s="1852" t="str">
        <f t="shared" si="58"/>
        <v/>
      </c>
      <c r="CC867" s="1852" t="str">
        <f t="shared" si="59"/>
        <v/>
      </c>
      <c r="CD867" s="1852" t="str">
        <f t="shared" si="60"/>
        <v/>
      </c>
      <c r="CE867" s="1852" t="str">
        <f t="shared" si="61"/>
        <v/>
      </c>
      <c r="CF867" s="1852" t="str">
        <f t="shared" si="62"/>
        <v/>
      </c>
      <c r="CG867" s="1852" t="str">
        <f t="shared" si="63"/>
        <v/>
      </c>
      <c r="CH867" s="1852" t="str">
        <f t="shared" si="64"/>
        <v/>
      </c>
      <c r="CI867" s="1852" t="str">
        <f t="shared" si="65"/>
        <v/>
      </c>
      <c r="CJ867" s="1852" t="str">
        <f t="shared" si="66"/>
        <v/>
      </c>
      <c r="CK867" s="1852" t="str">
        <f t="shared" si="67"/>
        <v/>
      </c>
      <c r="CL867" s="1852" t="str">
        <f t="shared" si="68"/>
        <v/>
      </c>
      <c r="CM867" s="1852" t="str">
        <f t="shared" si="69"/>
        <v/>
      </c>
      <c r="CN867" s="1852" t="str">
        <f t="shared" si="70"/>
        <v/>
      </c>
      <c r="CO867" s="1852" t="str">
        <f t="shared" si="71"/>
        <v/>
      </c>
      <c r="CP867" s="1852" t="str">
        <f t="shared" si="72"/>
        <v/>
      </c>
      <c r="CQ867" s="1852" t="str">
        <f t="shared" si="73"/>
        <v/>
      </c>
      <c r="CR867" s="1852" t="str">
        <f t="shared" si="74"/>
        <v/>
      </c>
      <c r="CS867" s="1852" t="str">
        <f t="shared" si="75"/>
        <v/>
      </c>
      <c r="CT867" s="1852" t="str">
        <f t="shared" si="76"/>
        <v/>
      </c>
      <c r="CU867" s="1852" t="str">
        <f t="shared" si="77"/>
        <v/>
      </c>
      <c r="CV867" s="1852" t="str">
        <f t="shared" si="78"/>
        <v/>
      </c>
      <c r="CW867" s="1852" t="str">
        <f t="shared" si="79"/>
        <v/>
      </c>
      <c r="CX867" s="1852" t="str">
        <f t="shared" si="80"/>
        <v/>
      </c>
      <c r="CY867" s="1852" t="str">
        <f t="shared" si="81"/>
        <v/>
      </c>
      <c r="CZ867" s="1852" t="str">
        <f t="shared" si="82"/>
        <v/>
      </c>
      <c r="DA867" s="1852" t="str">
        <f t="shared" si="83"/>
        <v/>
      </c>
      <c r="DB867" s="1852" t="str">
        <f t="shared" si="84"/>
        <v/>
      </c>
      <c r="DC867" s="1852" t="str">
        <f t="shared" si="85"/>
        <v/>
      </c>
      <c r="DD867" s="1852" t="str">
        <f t="shared" si="86"/>
        <v/>
      </c>
      <c r="DE867" s="1852" t="str">
        <f t="shared" si="87"/>
        <v/>
      </c>
      <c r="DF867" s="1852" t="str">
        <f t="shared" si="88"/>
        <v/>
      </c>
      <c r="DG867" s="1852" t="str">
        <f t="shared" si="89"/>
        <v/>
      </c>
      <c r="DH867" s="1852" t="str">
        <f t="shared" si="90"/>
        <v/>
      </c>
      <c r="DI867" s="1852" t="str">
        <f t="shared" si="91"/>
        <v/>
      </c>
      <c r="DJ867" s="1852" t="str">
        <f t="shared" si="92"/>
        <v/>
      </c>
      <c r="DK867" s="1852" t="str">
        <f t="shared" si="93"/>
        <v/>
      </c>
      <c r="DL867" s="1852" t="str">
        <f t="shared" si="94"/>
        <v/>
      </c>
      <c r="DM867" s="1852" t="str">
        <f t="shared" si="95"/>
        <v/>
      </c>
      <c r="DN867" s="1852" t="str">
        <f t="shared" si="96"/>
        <v/>
      </c>
      <c r="DO867" s="1852" t="str">
        <f t="shared" si="97"/>
        <v/>
      </c>
      <c r="DP867" s="1852" t="str">
        <f t="shared" si="98"/>
        <v/>
      </c>
      <c r="DQ867" s="1852" t="str">
        <f t="shared" si="99"/>
        <v/>
      </c>
      <c r="DR867" s="1852" t="str">
        <f t="shared" si="100"/>
        <v/>
      </c>
      <c r="DS867" s="1852" t="str">
        <f t="shared" si="101"/>
        <v/>
      </c>
      <c r="DT867" s="1852" t="str">
        <f t="shared" si="102"/>
        <v/>
      </c>
      <c r="DU867" s="1852" t="str">
        <f t="shared" si="103"/>
        <v/>
      </c>
      <c r="DV867" s="1852" t="str">
        <f t="shared" si="104"/>
        <v/>
      </c>
      <c r="DW867" s="1852" t="str">
        <f t="shared" si="105"/>
        <v/>
      </c>
      <c r="DX867" s="1852" t="str">
        <f t="shared" si="106"/>
        <v/>
      </c>
      <c r="DY867" s="1852" t="str">
        <f t="shared" si="107"/>
        <v/>
      </c>
      <c r="DZ867" s="1852" t="str">
        <f t="shared" si="108"/>
        <v/>
      </c>
      <c r="EA867" s="1852" t="str">
        <f t="shared" si="109"/>
        <v/>
      </c>
      <c r="EB867" s="1852" t="str">
        <f t="shared" si="110"/>
        <v/>
      </c>
      <c r="EC867" s="1852" t="str">
        <f t="shared" si="111"/>
        <v/>
      </c>
      <c r="ED867" s="1852" t="str">
        <f t="shared" si="112"/>
        <v/>
      </c>
      <c r="EE867" s="1852" t="str">
        <f t="shared" si="113"/>
        <v/>
      </c>
      <c r="EF867" s="1852" t="str">
        <f t="shared" si="114"/>
        <v/>
      </c>
      <c r="EG867" s="1852" t="str">
        <f t="shared" si="115"/>
        <v/>
      </c>
      <c r="EH867" s="1852" t="str">
        <f t="shared" si="116"/>
        <v/>
      </c>
      <c r="EI867" s="1852" t="str">
        <f t="shared" si="117"/>
        <v/>
      </c>
      <c r="EJ867" s="1852" t="str">
        <f t="shared" si="118"/>
        <v/>
      </c>
      <c r="EK867" s="1852" t="str">
        <f t="shared" si="119"/>
        <v/>
      </c>
      <c r="EL867" s="1852" t="str">
        <f t="shared" si="120"/>
        <v/>
      </c>
      <c r="EM867" s="1852" t="str">
        <f t="shared" si="121"/>
        <v/>
      </c>
      <c r="EN867" s="1852" t="str">
        <f t="shared" si="122"/>
        <v/>
      </c>
      <c r="EO867" s="1852" t="str">
        <f t="shared" si="123"/>
        <v/>
      </c>
      <c r="EP867" s="1852" t="str">
        <f t="shared" si="124"/>
        <v/>
      </c>
      <c r="EQ867" s="1852" t="str">
        <f t="shared" si="125"/>
        <v/>
      </c>
      <c r="ER867" s="1852" t="str">
        <f t="shared" si="126"/>
        <v/>
      </c>
      <c r="ES867" s="1852" t="str">
        <f t="shared" si="127"/>
        <v/>
      </c>
      <c r="ET867" s="1852" t="str">
        <f t="shared" si="128"/>
        <v/>
      </c>
      <c r="EU867" s="1852" t="str">
        <f t="shared" si="129"/>
        <v/>
      </c>
      <c r="EV867" s="1852" t="str">
        <f t="shared" si="130"/>
        <v/>
      </c>
      <c r="EW867" s="1852" t="str">
        <f t="shared" si="131"/>
        <v/>
      </c>
      <c r="EX867" s="1852" t="str">
        <f t="shared" si="132"/>
        <v/>
      </c>
      <c r="EY867" s="1852" t="str">
        <f t="shared" si="133"/>
        <v/>
      </c>
      <c r="EZ867" s="1852" t="str">
        <f t="shared" si="134"/>
        <v/>
      </c>
      <c r="FA867" s="1852" t="str">
        <f t="shared" si="135"/>
        <v/>
      </c>
      <c r="FB867" s="1852" t="str">
        <f t="shared" si="136"/>
        <v/>
      </c>
      <c r="FC867" s="1852" t="str">
        <f t="shared" si="137"/>
        <v/>
      </c>
      <c r="FD867" s="1852" t="str">
        <f t="shared" si="138"/>
        <v/>
      </c>
      <c r="FE867" s="1852" t="str">
        <f t="shared" si="139"/>
        <v/>
      </c>
      <c r="FF867" s="1852" t="str">
        <f t="shared" si="140"/>
        <v/>
      </c>
      <c r="FG867" s="1852" t="str">
        <f t="shared" si="141"/>
        <v/>
      </c>
      <c r="FH867" s="1852" t="str">
        <f t="shared" si="142"/>
        <v/>
      </c>
      <c r="FI867" s="1852" t="str">
        <f t="shared" si="143"/>
        <v/>
      </c>
      <c r="FJ867" s="1852" t="str">
        <f t="shared" si="144"/>
        <v/>
      </c>
      <c r="FK867" s="1852" t="str">
        <f t="shared" si="145"/>
        <v/>
      </c>
      <c r="FL867" s="1852" t="str">
        <f t="shared" si="146"/>
        <v/>
      </c>
      <c r="FM867" s="1852" t="str">
        <f t="shared" si="147"/>
        <v/>
      </c>
      <c r="FN867" s="1852" t="str">
        <f t="shared" si="148"/>
        <v/>
      </c>
      <c r="FO867" s="1852" t="str">
        <f t="shared" si="149"/>
        <v/>
      </c>
      <c r="FP867" s="1852" t="str">
        <f t="shared" si="150"/>
        <v/>
      </c>
      <c r="FQ867" s="1852" t="str">
        <f t="shared" si="151"/>
        <v/>
      </c>
      <c r="FR867" s="1852" t="str">
        <f t="shared" si="152"/>
        <v/>
      </c>
      <c r="FS867" s="1852" t="str">
        <f t="shared" si="153"/>
        <v/>
      </c>
      <c r="FT867" s="1852" t="str">
        <f t="shared" si="154"/>
        <v/>
      </c>
      <c r="FU867" s="1852" t="str">
        <f t="shared" si="155"/>
        <v/>
      </c>
      <c r="FV867" s="1852" t="str">
        <f t="shared" si="156"/>
        <v/>
      </c>
      <c r="FW867" s="1852" t="str">
        <f t="shared" si="157"/>
        <v/>
      </c>
      <c r="FX867" s="1852" t="str">
        <f t="shared" si="158"/>
        <v/>
      </c>
      <c r="FY867" s="1852" t="str">
        <f t="shared" si="159"/>
        <v/>
      </c>
      <c r="FZ867" s="1852" t="str">
        <f t="shared" si="160"/>
        <v/>
      </c>
      <c r="GA867" s="1852" t="str">
        <f t="shared" si="161"/>
        <v/>
      </c>
      <c r="GB867" s="1852" t="str">
        <f t="shared" si="162"/>
        <v/>
      </c>
      <c r="GC867" s="1852" t="str">
        <f t="shared" si="163"/>
        <v/>
      </c>
      <c r="GD867" s="1852" t="str">
        <f t="shared" si="164"/>
        <v/>
      </c>
      <c r="GE867" s="1852" t="str">
        <f t="shared" si="165"/>
        <v/>
      </c>
      <c r="GF867" s="1852" t="str">
        <f t="shared" si="166"/>
        <v/>
      </c>
      <c r="GG867" s="1852" t="str">
        <f t="shared" si="167"/>
        <v/>
      </c>
      <c r="GH867" s="1852" t="str">
        <f t="shared" si="168"/>
        <v/>
      </c>
      <c r="GI867" s="1852" t="str">
        <f t="shared" si="169"/>
        <v/>
      </c>
      <c r="GJ867" s="1852" t="str">
        <f t="shared" si="170"/>
        <v/>
      </c>
      <c r="GK867" s="1852" t="str">
        <f t="shared" si="171"/>
        <v/>
      </c>
      <c r="GL867" s="1852" t="str">
        <f t="shared" si="172"/>
        <v/>
      </c>
      <c r="GM867" s="1852" t="str">
        <f t="shared" si="173"/>
        <v/>
      </c>
      <c r="GN867" s="1852" t="str">
        <f t="shared" si="174"/>
        <v/>
      </c>
      <c r="GO867" s="1852" t="str">
        <f t="shared" si="175"/>
        <v/>
      </c>
      <c r="GP867" s="1852" t="str">
        <f t="shared" si="176"/>
        <v/>
      </c>
      <c r="GQ867" s="1852" t="str">
        <f t="shared" si="177"/>
        <v/>
      </c>
      <c r="GR867" s="1852" t="str">
        <f t="shared" si="178"/>
        <v/>
      </c>
      <c r="GS867" s="1852" t="str">
        <f t="shared" si="179"/>
        <v/>
      </c>
      <c r="GT867" s="1852" t="str">
        <f t="shared" si="180"/>
        <v/>
      </c>
      <c r="GU867" s="1852" t="str">
        <f t="shared" si="181"/>
        <v/>
      </c>
      <c r="GV867" s="1852" t="str">
        <f t="shared" si="182"/>
        <v/>
      </c>
      <c r="GW867" s="1852" t="str">
        <f t="shared" si="183"/>
        <v/>
      </c>
      <c r="GX867" s="1852" t="str">
        <f t="shared" si="184"/>
        <v/>
      </c>
      <c r="GY867" s="1852" t="str">
        <f t="shared" si="185"/>
        <v/>
      </c>
      <c r="GZ867" s="1852" t="str">
        <f t="shared" si="186"/>
        <v/>
      </c>
      <c r="HA867" s="1852" t="str">
        <f t="shared" si="187"/>
        <v/>
      </c>
      <c r="HB867" s="1852" t="str">
        <f t="shared" si="188"/>
        <v/>
      </c>
      <c r="HC867" s="1852" t="str">
        <f t="shared" si="189"/>
        <v/>
      </c>
      <c r="HD867" s="1852" t="str">
        <f t="shared" si="190"/>
        <v/>
      </c>
      <c r="HE867" s="1852" t="str">
        <f t="shared" si="191"/>
        <v/>
      </c>
      <c r="HF867" s="1852" t="str">
        <f t="shared" si="192"/>
        <v/>
      </c>
      <c r="HG867" s="1852" t="str">
        <f t="shared" si="193"/>
        <v/>
      </c>
      <c r="HH867" s="1852" t="str">
        <f t="shared" si="194"/>
        <v/>
      </c>
      <c r="HI867" s="1852" t="str">
        <f t="shared" si="195"/>
        <v/>
      </c>
      <c r="HJ867" s="1852" t="str">
        <f t="shared" si="196"/>
        <v/>
      </c>
      <c r="HK867" s="1852" t="str">
        <f t="shared" si="197"/>
        <v/>
      </c>
      <c r="HL867" s="1852" t="str">
        <f t="shared" si="198"/>
        <v/>
      </c>
      <c r="HM867" s="1852" t="str">
        <f t="shared" si="199"/>
        <v/>
      </c>
      <c r="HN867" s="1852" t="str">
        <f t="shared" si="200"/>
        <v/>
      </c>
      <c r="HO867" s="1852" t="str">
        <f t="shared" si="201"/>
        <v/>
      </c>
      <c r="HP867" s="1852" t="str">
        <f t="shared" si="202"/>
        <v/>
      </c>
      <c r="HQ867" s="1852" t="str">
        <f t="shared" si="203"/>
        <v/>
      </c>
      <c r="HR867" s="1852" t="str">
        <f t="shared" si="204"/>
        <v/>
      </c>
      <c r="HS867" s="1852" t="str">
        <f t="shared" si="205"/>
        <v/>
      </c>
      <c r="HT867" s="1852" t="str">
        <f t="shared" si="206"/>
        <v/>
      </c>
      <c r="HU867" s="1852" t="str">
        <f t="shared" si="207"/>
        <v/>
      </c>
      <c r="HV867" s="1852" t="str">
        <f t="shared" si="208"/>
        <v/>
      </c>
      <c r="HW867" s="1852" t="str">
        <f t="shared" si="209"/>
        <v/>
      </c>
      <c r="HX867" s="1852" t="str">
        <f t="shared" si="210"/>
        <v/>
      </c>
      <c r="HY867" s="1852" t="str">
        <f t="shared" si="211"/>
        <v/>
      </c>
      <c r="HZ867" s="2140" t="str">
        <f t="shared" si="212"/>
        <v/>
      </c>
      <c r="IA867" s="2140" t="str">
        <f t="shared" si="213"/>
        <v/>
      </c>
      <c r="IB867" s="2140" t="str">
        <f t="shared" si="214"/>
        <v/>
      </c>
      <c r="IC867" s="2140" t="str">
        <f t="shared" si="215"/>
        <v/>
      </c>
      <c r="ID867" s="2140" t="str">
        <f t="shared" si="216"/>
        <v/>
      </c>
      <c r="IE867" s="2140" t="str">
        <f t="shared" si="217"/>
        <v/>
      </c>
      <c r="IF867" s="2140" t="str">
        <f t="shared" si="218"/>
        <v/>
      </c>
      <c r="IG867" s="2140" t="str">
        <f t="shared" si="219"/>
        <v/>
      </c>
      <c r="IH867" s="2140" t="str">
        <f t="shared" si="220"/>
        <v/>
      </c>
      <c r="II867" s="2140" t="str">
        <f t="shared" si="221"/>
        <v/>
      </c>
      <c r="IJ867" s="2140" t="str">
        <f t="shared" si="222"/>
        <v/>
      </c>
      <c r="IK867" s="2140" t="str">
        <f t="shared" si="223"/>
        <v/>
      </c>
      <c r="IL867" s="2140" t="str">
        <f t="shared" si="224"/>
        <v/>
      </c>
      <c r="IM867" s="2140" t="str">
        <f t="shared" si="225"/>
        <v/>
      </c>
      <c r="IN867" s="2140" t="str">
        <f t="shared" si="226"/>
        <v/>
      </c>
      <c r="IO867" s="2140" t="str">
        <f t="shared" si="227"/>
        <v/>
      </c>
      <c r="IP867" s="2140" t="str">
        <f t="shared" si="228"/>
        <v/>
      </c>
      <c r="IQ867" s="2140" t="str">
        <f t="shared" si="229"/>
        <v/>
      </c>
      <c r="IR867" s="2140" t="str">
        <f t="shared" si="230"/>
        <v/>
      </c>
      <c r="IS867" s="2140" t="str">
        <f t="shared" si="231"/>
        <v/>
      </c>
      <c r="IT867" s="2140" t="str">
        <f t="shared" si="232"/>
        <v/>
      </c>
      <c r="IU867" s="2140" t="str">
        <f t="shared" si="233"/>
        <v/>
      </c>
      <c r="IV867" s="2140" t="str">
        <f t="shared" si="234"/>
        <v/>
      </c>
      <c r="IW867" s="2140" t="str">
        <f t="shared" si="235"/>
        <v/>
      </c>
      <c r="IX867" s="2140" t="str">
        <f t="shared" si="236"/>
        <v/>
      </c>
      <c r="IY867" s="2140" t="str">
        <f t="shared" si="237"/>
        <v/>
      </c>
      <c r="IZ867" s="2140" t="str">
        <f t="shared" si="238"/>
        <v/>
      </c>
      <c r="JA867" s="2140" t="str">
        <f t="shared" si="239"/>
        <v/>
      </c>
      <c r="JB867" s="2140" t="str">
        <f t="shared" si="240"/>
        <v/>
      </c>
      <c r="JC867" s="2140" t="str">
        <f t="shared" si="241"/>
        <v/>
      </c>
      <c r="JD867" s="2140" t="str">
        <f t="shared" si="242"/>
        <v/>
      </c>
      <c r="JE867" s="2140" t="str">
        <f t="shared" si="243"/>
        <v/>
      </c>
      <c r="JF867" s="2140" t="str">
        <f t="shared" si="244"/>
        <v/>
      </c>
      <c r="JG867" s="2140" t="str">
        <f t="shared" si="245"/>
        <v/>
      </c>
      <c r="JH867" s="2140" t="str">
        <f t="shared" si="246"/>
        <v/>
      </c>
      <c r="JI867" s="2140" t="str">
        <f t="shared" si="247"/>
        <v/>
      </c>
      <c r="JJ867" s="2140" t="str">
        <f t="shared" si="248"/>
        <v/>
      </c>
      <c r="JK867" s="2140" t="str">
        <f t="shared" si="249"/>
        <v/>
      </c>
      <c r="JL867" s="2140" t="str">
        <f t="shared" si="250"/>
        <v/>
      </c>
      <c r="JM867" s="2140" t="str">
        <f t="shared" si="251"/>
        <v/>
      </c>
      <c r="JN867" s="2140" t="str">
        <f t="shared" si="252"/>
        <v/>
      </c>
      <c r="JO867" s="2140" t="str">
        <f t="shared" si="253"/>
        <v/>
      </c>
      <c r="JP867" s="2140" t="str">
        <f t="shared" si="254"/>
        <v/>
      </c>
      <c r="JQ867" s="2140" t="str">
        <f t="shared" si="255"/>
        <v/>
      </c>
      <c r="JR867" s="2140" t="str">
        <f t="shared" si="256"/>
        <v/>
      </c>
      <c r="JS867" s="2140" t="str">
        <f t="shared" si="257"/>
        <v/>
      </c>
      <c r="JT867" s="2140" t="str">
        <f t="shared" si="258"/>
        <v/>
      </c>
      <c r="JU867" s="2140" t="str">
        <f t="shared" si="259"/>
        <v/>
      </c>
      <c r="JV867" s="2140" t="str">
        <f t="shared" si="260"/>
        <v/>
      </c>
      <c r="JW867" s="2140" t="str">
        <f t="shared" si="261"/>
        <v/>
      </c>
      <c r="JX867" s="2140" t="str">
        <f t="shared" si="262"/>
        <v/>
      </c>
      <c r="JY867" s="2140" t="str">
        <f t="shared" si="263"/>
        <v/>
      </c>
      <c r="JZ867" s="2140" t="str">
        <f t="shared" si="264"/>
        <v/>
      </c>
      <c r="KA867" s="2140" t="str">
        <f t="shared" si="265"/>
        <v/>
      </c>
      <c r="KB867" s="2140" t="str">
        <f t="shared" si="266"/>
        <v/>
      </c>
      <c r="KC867" s="2140" t="str">
        <f t="shared" si="267"/>
        <v/>
      </c>
      <c r="KD867" s="2140" t="str">
        <f t="shared" si="268"/>
        <v/>
      </c>
      <c r="KE867" s="2140" t="str">
        <f t="shared" si="269"/>
        <v/>
      </c>
      <c r="KF867" s="2140" t="str">
        <f t="shared" si="270"/>
        <v/>
      </c>
      <c r="KG867" s="2140" t="str">
        <f t="shared" si="271"/>
        <v/>
      </c>
      <c r="KH867" s="2140" t="str">
        <f t="shared" si="272"/>
        <v/>
      </c>
      <c r="KI867" s="2140" t="str">
        <f t="shared" si="273"/>
        <v/>
      </c>
      <c r="KJ867" s="2140" t="str">
        <f t="shared" si="274"/>
        <v/>
      </c>
      <c r="KK867" s="2140" t="str">
        <f t="shared" si="275"/>
        <v/>
      </c>
      <c r="KL867" s="2140" t="str">
        <f t="shared" si="276"/>
        <v/>
      </c>
      <c r="KM867" s="2140" t="str">
        <f t="shared" si="277"/>
        <v/>
      </c>
      <c r="KN867" s="2140" t="str">
        <f t="shared" si="278"/>
        <v/>
      </c>
      <c r="KO867" s="2140" t="str">
        <f t="shared" si="279"/>
        <v/>
      </c>
      <c r="KP867" s="2140" t="str">
        <f t="shared" si="280"/>
        <v/>
      </c>
      <c r="KQ867" s="2140" t="str">
        <f t="shared" si="281"/>
        <v/>
      </c>
      <c r="KR867" s="2140" t="str">
        <f t="shared" si="282"/>
        <v/>
      </c>
      <c r="KS867" s="2140" t="str">
        <f t="shared" si="283"/>
        <v/>
      </c>
      <c r="KT867" s="2140" t="str">
        <f t="shared" si="284"/>
        <v/>
      </c>
      <c r="KU867" s="2140" t="str">
        <f t="shared" si="285"/>
        <v/>
      </c>
      <c r="KV867" s="2140" t="str">
        <f t="shared" si="286"/>
        <v/>
      </c>
      <c r="KW867" s="2140" t="str">
        <f t="shared" si="287"/>
        <v/>
      </c>
      <c r="KX867" s="2140" t="str">
        <f t="shared" si="288"/>
        <v/>
      </c>
      <c r="KY867" s="2140" t="str">
        <f t="shared" si="289"/>
        <v/>
      </c>
      <c r="KZ867" s="2140" t="str">
        <f t="shared" si="290"/>
        <v/>
      </c>
      <c r="LA867" s="2140" t="str">
        <f t="shared" si="291"/>
        <v/>
      </c>
      <c r="LB867" s="2140" t="str">
        <f t="shared" si="292"/>
        <v/>
      </c>
      <c r="LC867" s="2140" t="str">
        <f t="shared" si="293"/>
        <v/>
      </c>
      <c r="LD867" s="2140" t="str">
        <f t="shared" si="294"/>
        <v/>
      </c>
      <c r="LE867" s="2140" t="str">
        <f t="shared" si="295"/>
        <v/>
      </c>
      <c r="LF867" s="2140" t="str">
        <f t="shared" si="296"/>
        <v/>
      </c>
      <c r="LG867" s="2051" t="str">
        <f t="shared" si="297"/>
        <v/>
      </c>
      <c r="LH867" s="2051" t="str">
        <f t="shared" si="298"/>
        <v/>
      </c>
      <c r="LI867" s="2051" t="str">
        <f t="shared" si="299"/>
        <v/>
      </c>
      <c r="LJ867" s="2051" t="str">
        <f t="shared" si="300"/>
        <v/>
      </c>
      <c r="LK867" s="2051" t="str">
        <f t="shared" si="301"/>
        <v/>
      </c>
      <c r="LL867" s="1852" t="str">
        <f t="shared" si="302"/>
        <v/>
      </c>
      <c r="LM867" s="1852" t="str">
        <f t="shared" si="303"/>
        <v/>
      </c>
      <c r="LN867" s="1852" t="str">
        <f t="shared" si="304"/>
        <v/>
      </c>
      <c r="LO867" s="1852" t="str">
        <f t="shared" si="305"/>
        <v/>
      </c>
      <c r="LP867" s="1852" t="str">
        <f t="shared" si="306"/>
        <v/>
      </c>
      <c r="LQ867" s="1852" t="str">
        <f t="shared" si="307"/>
        <v/>
      </c>
      <c r="LR867" s="1852" t="str">
        <f t="shared" si="308"/>
        <v/>
      </c>
      <c r="LS867" s="1852" t="str">
        <f t="shared" si="309"/>
        <v/>
      </c>
      <c r="LT867" s="1852" t="str">
        <f t="shared" si="310"/>
        <v/>
      </c>
      <c r="LU867" s="1852" t="str">
        <f t="shared" si="311"/>
        <v/>
      </c>
      <c r="LV867" s="1852" t="str">
        <f t="shared" si="312"/>
        <v/>
      </c>
      <c r="LW867" s="1852" t="str">
        <f t="shared" si="313"/>
        <v/>
      </c>
      <c r="LX867" s="1852" t="str">
        <f t="shared" si="314"/>
        <v/>
      </c>
      <c r="LY867" s="1852" t="str">
        <f t="shared" si="315"/>
        <v/>
      </c>
      <c r="LZ867" s="1852" t="str">
        <f t="shared" si="316"/>
        <v/>
      </c>
      <c r="MA867" s="1852" t="str">
        <f t="shared" si="317"/>
        <v/>
      </c>
      <c r="MB867" s="1852" t="str">
        <f t="shared" si="318"/>
        <v/>
      </c>
      <c r="MC867" s="1852" t="str">
        <f t="shared" si="319"/>
        <v/>
      </c>
      <c r="MD867" s="1852" t="str">
        <f t="shared" si="320"/>
        <v/>
      </c>
      <c r="ME867" s="1852" t="str">
        <f t="shared" si="321"/>
        <v/>
      </c>
      <c r="MF867" s="2051">
        <f t="shared" si="328"/>
        <v>0</v>
      </c>
      <c r="MG867" s="2051">
        <f t="shared" si="329"/>
        <v>0</v>
      </c>
      <c r="MH867" s="2051">
        <f t="shared" si="330"/>
        <v>0</v>
      </c>
      <c r="MI867" s="2051">
        <f t="shared" si="331"/>
        <v>0</v>
      </c>
      <c r="MJ867" s="2051">
        <f t="shared" si="332"/>
        <v>0</v>
      </c>
      <c r="MK867" s="2051">
        <f t="shared" si="333"/>
        <v>0</v>
      </c>
      <c r="ML867" s="2051">
        <f t="shared" si="334"/>
        <v>0</v>
      </c>
      <c r="MM867" s="2051">
        <f t="shared" si="335"/>
        <v>0</v>
      </c>
      <c r="MN867" s="2051">
        <f t="shared" si="336"/>
        <v>0</v>
      </c>
      <c r="MO867" s="2051">
        <f t="shared" si="337"/>
        <v>0</v>
      </c>
      <c r="MP867" s="2051">
        <f t="shared" si="322"/>
        <v>0</v>
      </c>
      <c r="MQ867" s="2051">
        <f t="shared" si="323"/>
        <v>0</v>
      </c>
      <c r="MR867" s="2051">
        <f t="shared" si="324"/>
        <v>0</v>
      </c>
      <c r="MS867" s="2051">
        <f t="shared" si="325"/>
        <v>0</v>
      </c>
      <c r="MT867" s="2051">
        <f t="shared" si="326"/>
        <v>0</v>
      </c>
      <c r="NP867" s="1924" t="s">
        <v>6736</v>
      </c>
    </row>
    <row r="868" spans="1:380" s="1852" customFormat="1" ht="13.9" customHeight="1">
      <c r="A868" s="2108" t="str">
        <f t="shared" si="327"/>
        <v/>
      </c>
      <c r="B868" s="2130">
        <f>'Part VI-Revenues &amp; Expenses'!B28</f>
        <v>0</v>
      </c>
      <c r="C868" s="2131">
        <f>'Part VI-Revenues &amp; Expenses'!C28</f>
        <v>0</v>
      </c>
      <c r="D868" s="2132">
        <f>'Part VI-Revenues &amp; Expenses'!D28</f>
        <v>0</v>
      </c>
      <c r="E868" s="2133">
        <f>'Part VI-Revenues &amp; Expenses'!E28</f>
        <v>0</v>
      </c>
      <c r="F868" s="2133">
        <f>'Part VI-Revenues &amp; Expenses'!F28</f>
        <v>0</v>
      </c>
      <c r="G868" s="2133">
        <f>'Part VI-Revenues &amp; Expenses'!G28</f>
        <v>0</v>
      </c>
      <c r="H868" s="2133">
        <f>'Part VI-Revenues &amp; Expenses'!H28</f>
        <v>0</v>
      </c>
      <c r="I868" s="2133">
        <f>'Part VI-Revenues &amp; Expenses'!I28</f>
        <v>0</v>
      </c>
      <c r="J868" s="2133">
        <f>'Part VI-Revenues &amp; Expenses'!J28</f>
        <v>0</v>
      </c>
      <c r="K868" s="2134">
        <f>'Part VI-Revenues &amp; Expenses'!K28</f>
        <v>0</v>
      </c>
      <c r="L868" s="2135">
        <f t="shared" si="0"/>
        <v>0</v>
      </c>
      <c r="M868" s="2135">
        <f t="shared" si="1"/>
        <v>0</v>
      </c>
      <c r="N868" s="1916">
        <f>'Part VI-Revenues &amp; Expenses'!N28</f>
        <v>0</v>
      </c>
      <c r="O868" s="2136">
        <f>'Part VI-Revenues &amp; Expenses'!O28</f>
        <v>0</v>
      </c>
      <c r="P868" s="1916">
        <f>'Part VI-Revenues &amp; Expenses'!P28</f>
        <v>0</v>
      </c>
      <c r="Q868" s="2137">
        <f>'Part VI-Revenues &amp; Expenses'!Q28</f>
        <v>0</v>
      </c>
      <c r="R868" s="2138"/>
      <c r="S868" s="2139"/>
      <c r="T868" s="2043"/>
      <c r="U868" s="2043"/>
      <c r="V868" s="2043"/>
      <c r="W868" s="2043"/>
      <c r="X868" s="1852" t="str">
        <f t="shared" si="2"/>
        <v/>
      </c>
      <c r="Y868" s="1852" t="str">
        <f t="shared" si="3"/>
        <v/>
      </c>
      <c r="Z868" s="1852" t="str">
        <f t="shared" si="4"/>
        <v/>
      </c>
      <c r="AA868" s="1852" t="str">
        <f t="shared" si="5"/>
        <v/>
      </c>
      <c r="AB868" s="1852" t="str">
        <f t="shared" si="6"/>
        <v/>
      </c>
      <c r="AC868" s="1852" t="str">
        <f t="shared" si="7"/>
        <v/>
      </c>
      <c r="AD868" s="1852" t="str">
        <f t="shared" si="8"/>
        <v/>
      </c>
      <c r="AE868" s="1852" t="str">
        <f t="shared" si="9"/>
        <v/>
      </c>
      <c r="AF868" s="1852" t="str">
        <f t="shared" si="10"/>
        <v/>
      </c>
      <c r="AG868" s="1852" t="str">
        <f t="shared" si="11"/>
        <v/>
      </c>
      <c r="AH868" s="1852" t="str">
        <f t="shared" si="12"/>
        <v/>
      </c>
      <c r="AI868" s="1852" t="str">
        <f t="shared" si="13"/>
        <v/>
      </c>
      <c r="AJ868" s="1852" t="str">
        <f t="shared" si="14"/>
        <v/>
      </c>
      <c r="AK868" s="1852" t="str">
        <f t="shared" si="15"/>
        <v/>
      </c>
      <c r="AL868" s="1852" t="str">
        <f t="shared" si="16"/>
        <v/>
      </c>
      <c r="AM868" s="1852" t="str">
        <f t="shared" si="17"/>
        <v/>
      </c>
      <c r="AN868" s="1852" t="str">
        <f t="shared" si="18"/>
        <v/>
      </c>
      <c r="AO868" s="1852" t="str">
        <f t="shared" si="19"/>
        <v/>
      </c>
      <c r="AP868" s="1852" t="str">
        <f t="shared" si="20"/>
        <v/>
      </c>
      <c r="AQ868" s="1852" t="str">
        <f t="shared" si="21"/>
        <v/>
      </c>
      <c r="AR868" s="1852" t="str">
        <f t="shared" si="22"/>
        <v/>
      </c>
      <c r="AS868" s="1852" t="str">
        <f t="shared" si="23"/>
        <v/>
      </c>
      <c r="AT868" s="1852" t="str">
        <f t="shared" si="24"/>
        <v/>
      </c>
      <c r="AU868" s="1852" t="str">
        <f t="shared" si="25"/>
        <v/>
      </c>
      <c r="AV868" s="1852" t="str">
        <f t="shared" si="26"/>
        <v/>
      </c>
      <c r="AW868" s="1852" t="str">
        <f t="shared" si="27"/>
        <v/>
      </c>
      <c r="AX868" s="1852" t="str">
        <f t="shared" si="28"/>
        <v/>
      </c>
      <c r="AY868" s="1852" t="str">
        <f t="shared" si="29"/>
        <v/>
      </c>
      <c r="AZ868" s="1852" t="str">
        <f t="shared" si="30"/>
        <v/>
      </c>
      <c r="BA868" s="1852" t="str">
        <f t="shared" si="31"/>
        <v/>
      </c>
      <c r="BB868" s="1852" t="str">
        <f t="shared" si="32"/>
        <v/>
      </c>
      <c r="BC868" s="1852" t="str">
        <f t="shared" si="33"/>
        <v/>
      </c>
      <c r="BD868" s="1852" t="str">
        <f t="shared" si="34"/>
        <v/>
      </c>
      <c r="BE868" s="1852" t="str">
        <f t="shared" si="35"/>
        <v/>
      </c>
      <c r="BF868" s="1852" t="str">
        <f t="shared" si="36"/>
        <v/>
      </c>
      <c r="BG868" s="1852" t="str">
        <f t="shared" si="37"/>
        <v/>
      </c>
      <c r="BH868" s="1852" t="str">
        <f t="shared" si="38"/>
        <v/>
      </c>
      <c r="BI868" s="1852" t="str">
        <f t="shared" si="39"/>
        <v/>
      </c>
      <c r="BJ868" s="1852" t="str">
        <f t="shared" si="40"/>
        <v/>
      </c>
      <c r="BK868" s="1852" t="str">
        <f t="shared" si="41"/>
        <v/>
      </c>
      <c r="BL868" s="1852" t="str">
        <f t="shared" si="42"/>
        <v/>
      </c>
      <c r="BM868" s="1852" t="str">
        <f t="shared" si="43"/>
        <v/>
      </c>
      <c r="BN868" s="1852" t="str">
        <f t="shared" si="44"/>
        <v/>
      </c>
      <c r="BO868" s="1852" t="str">
        <f t="shared" si="45"/>
        <v/>
      </c>
      <c r="BP868" s="1852" t="str">
        <f t="shared" si="46"/>
        <v/>
      </c>
      <c r="BQ868" s="1852" t="str">
        <f t="shared" si="47"/>
        <v/>
      </c>
      <c r="BR868" s="1852" t="str">
        <f t="shared" si="48"/>
        <v/>
      </c>
      <c r="BS868" s="1852" t="str">
        <f t="shared" si="49"/>
        <v/>
      </c>
      <c r="BT868" s="1852" t="str">
        <f t="shared" si="50"/>
        <v/>
      </c>
      <c r="BU868" s="1852" t="str">
        <f t="shared" si="51"/>
        <v/>
      </c>
      <c r="BV868" s="1852" t="str">
        <f t="shared" si="52"/>
        <v/>
      </c>
      <c r="BW868" s="1852" t="str">
        <f t="shared" si="53"/>
        <v/>
      </c>
      <c r="BX868" s="1852" t="str">
        <f t="shared" si="54"/>
        <v/>
      </c>
      <c r="BY868" s="1852" t="str">
        <f t="shared" si="55"/>
        <v/>
      </c>
      <c r="BZ868" s="1852" t="str">
        <f t="shared" si="56"/>
        <v/>
      </c>
      <c r="CA868" s="1852" t="str">
        <f t="shared" si="57"/>
        <v/>
      </c>
      <c r="CB868" s="1852" t="str">
        <f t="shared" si="58"/>
        <v/>
      </c>
      <c r="CC868" s="1852" t="str">
        <f t="shared" si="59"/>
        <v/>
      </c>
      <c r="CD868" s="1852" t="str">
        <f t="shared" si="60"/>
        <v/>
      </c>
      <c r="CE868" s="1852" t="str">
        <f t="shared" si="61"/>
        <v/>
      </c>
      <c r="CF868" s="1852" t="str">
        <f t="shared" si="62"/>
        <v/>
      </c>
      <c r="CG868" s="1852" t="str">
        <f t="shared" si="63"/>
        <v/>
      </c>
      <c r="CH868" s="1852" t="str">
        <f t="shared" si="64"/>
        <v/>
      </c>
      <c r="CI868" s="1852" t="str">
        <f t="shared" si="65"/>
        <v/>
      </c>
      <c r="CJ868" s="1852" t="str">
        <f t="shared" si="66"/>
        <v/>
      </c>
      <c r="CK868" s="1852" t="str">
        <f t="shared" si="67"/>
        <v/>
      </c>
      <c r="CL868" s="1852" t="str">
        <f t="shared" si="68"/>
        <v/>
      </c>
      <c r="CM868" s="1852" t="str">
        <f t="shared" si="69"/>
        <v/>
      </c>
      <c r="CN868" s="1852" t="str">
        <f t="shared" si="70"/>
        <v/>
      </c>
      <c r="CO868" s="1852" t="str">
        <f t="shared" si="71"/>
        <v/>
      </c>
      <c r="CP868" s="1852" t="str">
        <f t="shared" si="72"/>
        <v/>
      </c>
      <c r="CQ868" s="1852" t="str">
        <f t="shared" si="73"/>
        <v/>
      </c>
      <c r="CR868" s="1852" t="str">
        <f t="shared" si="74"/>
        <v/>
      </c>
      <c r="CS868" s="1852" t="str">
        <f t="shared" si="75"/>
        <v/>
      </c>
      <c r="CT868" s="1852" t="str">
        <f t="shared" si="76"/>
        <v/>
      </c>
      <c r="CU868" s="1852" t="str">
        <f t="shared" si="77"/>
        <v/>
      </c>
      <c r="CV868" s="1852" t="str">
        <f t="shared" si="78"/>
        <v/>
      </c>
      <c r="CW868" s="1852" t="str">
        <f t="shared" si="79"/>
        <v/>
      </c>
      <c r="CX868" s="1852" t="str">
        <f t="shared" si="80"/>
        <v/>
      </c>
      <c r="CY868" s="1852" t="str">
        <f t="shared" si="81"/>
        <v/>
      </c>
      <c r="CZ868" s="1852" t="str">
        <f t="shared" si="82"/>
        <v/>
      </c>
      <c r="DA868" s="1852" t="str">
        <f t="shared" si="83"/>
        <v/>
      </c>
      <c r="DB868" s="1852" t="str">
        <f t="shared" si="84"/>
        <v/>
      </c>
      <c r="DC868" s="1852" t="str">
        <f t="shared" si="85"/>
        <v/>
      </c>
      <c r="DD868" s="1852" t="str">
        <f t="shared" si="86"/>
        <v/>
      </c>
      <c r="DE868" s="1852" t="str">
        <f t="shared" si="87"/>
        <v/>
      </c>
      <c r="DF868" s="1852" t="str">
        <f t="shared" si="88"/>
        <v/>
      </c>
      <c r="DG868" s="1852" t="str">
        <f t="shared" si="89"/>
        <v/>
      </c>
      <c r="DH868" s="1852" t="str">
        <f t="shared" si="90"/>
        <v/>
      </c>
      <c r="DI868" s="1852" t="str">
        <f t="shared" si="91"/>
        <v/>
      </c>
      <c r="DJ868" s="1852" t="str">
        <f t="shared" si="92"/>
        <v/>
      </c>
      <c r="DK868" s="1852" t="str">
        <f t="shared" si="93"/>
        <v/>
      </c>
      <c r="DL868" s="1852" t="str">
        <f t="shared" si="94"/>
        <v/>
      </c>
      <c r="DM868" s="1852" t="str">
        <f t="shared" si="95"/>
        <v/>
      </c>
      <c r="DN868" s="1852" t="str">
        <f t="shared" si="96"/>
        <v/>
      </c>
      <c r="DO868" s="1852" t="str">
        <f t="shared" si="97"/>
        <v/>
      </c>
      <c r="DP868" s="1852" t="str">
        <f t="shared" si="98"/>
        <v/>
      </c>
      <c r="DQ868" s="1852" t="str">
        <f t="shared" si="99"/>
        <v/>
      </c>
      <c r="DR868" s="1852" t="str">
        <f t="shared" si="100"/>
        <v/>
      </c>
      <c r="DS868" s="1852" t="str">
        <f t="shared" si="101"/>
        <v/>
      </c>
      <c r="DT868" s="1852" t="str">
        <f t="shared" si="102"/>
        <v/>
      </c>
      <c r="DU868" s="1852" t="str">
        <f t="shared" si="103"/>
        <v/>
      </c>
      <c r="DV868" s="1852" t="str">
        <f t="shared" si="104"/>
        <v/>
      </c>
      <c r="DW868" s="1852" t="str">
        <f t="shared" si="105"/>
        <v/>
      </c>
      <c r="DX868" s="1852" t="str">
        <f t="shared" si="106"/>
        <v/>
      </c>
      <c r="DY868" s="1852" t="str">
        <f t="shared" si="107"/>
        <v/>
      </c>
      <c r="DZ868" s="1852" t="str">
        <f t="shared" si="108"/>
        <v/>
      </c>
      <c r="EA868" s="1852" t="str">
        <f t="shared" si="109"/>
        <v/>
      </c>
      <c r="EB868" s="1852" t="str">
        <f t="shared" si="110"/>
        <v/>
      </c>
      <c r="EC868" s="1852" t="str">
        <f t="shared" si="111"/>
        <v/>
      </c>
      <c r="ED868" s="1852" t="str">
        <f t="shared" si="112"/>
        <v/>
      </c>
      <c r="EE868" s="1852" t="str">
        <f t="shared" si="113"/>
        <v/>
      </c>
      <c r="EF868" s="1852" t="str">
        <f t="shared" si="114"/>
        <v/>
      </c>
      <c r="EG868" s="1852" t="str">
        <f t="shared" si="115"/>
        <v/>
      </c>
      <c r="EH868" s="1852" t="str">
        <f t="shared" si="116"/>
        <v/>
      </c>
      <c r="EI868" s="1852" t="str">
        <f t="shared" si="117"/>
        <v/>
      </c>
      <c r="EJ868" s="1852" t="str">
        <f t="shared" si="118"/>
        <v/>
      </c>
      <c r="EK868" s="1852" t="str">
        <f t="shared" si="119"/>
        <v/>
      </c>
      <c r="EL868" s="1852" t="str">
        <f t="shared" si="120"/>
        <v/>
      </c>
      <c r="EM868" s="1852" t="str">
        <f t="shared" si="121"/>
        <v/>
      </c>
      <c r="EN868" s="1852" t="str">
        <f t="shared" si="122"/>
        <v/>
      </c>
      <c r="EO868" s="1852" t="str">
        <f t="shared" si="123"/>
        <v/>
      </c>
      <c r="EP868" s="1852" t="str">
        <f t="shared" si="124"/>
        <v/>
      </c>
      <c r="EQ868" s="1852" t="str">
        <f t="shared" si="125"/>
        <v/>
      </c>
      <c r="ER868" s="1852" t="str">
        <f t="shared" si="126"/>
        <v/>
      </c>
      <c r="ES868" s="1852" t="str">
        <f t="shared" si="127"/>
        <v/>
      </c>
      <c r="ET868" s="1852" t="str">
        <f t="shared" si="128"/>
        <v/>
      </c>
      <c r="EU868" s="1852" t="str">
        <f t="shared" si="129"/>
        <v/>
      </c>
      <c r="EV868" s="1852" t="str">
        <f t="shared" si="130"/>
        <v/>
      </c>
      <c r="EW868" s="1852" t="str">
        <f t="shared" si="131"/>
        <v/>
      </c>
      <c r="EX868" s="1852" t="str">
        <f t="shared" si="132"/>
        <v/>
      </c>
      <c r="EY868" s="1852" t="str">
        <f t="shared" si="133"/>
        <v/>
      </c>
      <c r="EZ868" s="1852" t="str">
        <f t="shared" si="134"/>
        <v/>
      </c>
      <c r="FA868" s="1852" t="str">
        <f t="shared" si="135"/>
        <v/>
      </c>
      <c r="FB868" s="1852" t="str">
        <f t="shared" si="136"/>
        <v/>
      </c>
      <c r="FC868" s="1852" t="str">
        <f t="shared" si="137"/>
        <v/>
      </c>
      <c r="FD868" s="1852" t="str">
        <f t="shared" si="138"/>
        <v/>
      </c>
      <c r="FE868" s="1852" t="str">
        <f t="shared" si="139"/>
        <v/>
      </c>
      <c r="FF868" s="1852" t="str">
        <f t="shared" si="140"/>
        <v/>
      </c>
      <c r="FG868" s="1852" t="str">
        <f t="shared" si="141"/>
        <v/>
      </c>
      <c r="FH868" s="1852" t="str">
        <f t="shared" si="142"/>
        <v/>
      </c>
      <c r="FI868" s="1852" t="str">
        <f t="shared" si="143"/>
        <v/>
      </c>
      <c r="FJ868" s="1852" t="str">
        <f t="shared" si="144"/>
        <v/>
      </c>
      <c r="FK868" s="1852" t="str">
        <f t="shared" si="145"/>
        <v/>
      </c>
      <c r="FL868" s="1852" t="str">
        <f t="shared" si="146"/>
        <v/>
      </c>
      <c r="FM868" s="1852" t="str">
        <f t="shared" si="147"/>
        <v/>
      </c>
      <c r="FN868" s="1852" t="str">
        <f t="shared" si="148"/>
        <v/>
      </c>
      <c r="FO868" s="1852" t="str">
        <f t="shared" si="149"/>
        <v/>
      </c>
      <c r="FP868" s="1852" t="str">
        <f t="shared" si="150"/>
        <v/>
      </c>
      <c r="FQ868" s="1852" t="str">
        <f t="shared" si="151"/>
        <v/>
      </c>
      <c r="FR868" s="1852" t="str">
        <f t="shared" si="152"/>
        <v/>
      </c>
      <c r="FS868" s="1852" t="str">
        <f t="shared" si="153"/>
        <v/>
      </c>
      <c r="FT868" s="1852" t="str">
        <f t="shared" si="154"/>
        <v/>
      </c>
      <c r="FU868" s="1852" t="str">
        <f t="shared" si="155"/>
        <v/>
      </c>
      <c r="FV868" s="1852" t="str">
        <f t="shared" si="156"/>
        <v/>
      </c>
      <c r="FW868" s="1852" t="str">
        <f t="shared" si="157"/>
        <v/>
      </c>
      <c r="FX868" s="1852" t="str">
        <f t="shared" si="158"/>
        <v/>
      </c>
      <c r="FY868" s="1852" t="str">
        <f t="shared" si="159"/>
        <v/>
      </c>
      <c r="FZ868" s="1852" t="str">
        <f t="shared" si="160"/>
        <v/>
      </c>
      <c r="GA868" s="1852" t="str">
        <f t="shared" si="161"/>
        <v/>
      </c>
      <c r="GB868" s="1852" t="str">
        <f t="shared" si="162"/>
        <v/>
      </c>
      <c r="GC868" s="1852" t="str">
        <f t="shared" si="163"/>
        <v/>
      </c>
      <c r="GD868" s="1852" t="str">
        <f t="shared" si="164"/>
        <v/>
      </c>
      <c r="GE868" s="1852" t="str">
        <f t="shared" si="165"/>
        <v/>
      </c>
      <c r="GF868" s="1852" t="str">
        <f t="shared" si="166"/>
        <v/>
      </c>
      <c r="GG868" s="1852" t="str">
        <f t="shared" si="167"/>
        <v/>
      </c>
      <c r="GH868" s="1852" t="str">
        <f t="shared" si="168"/>
        <v/>
      </c>
      <c r="GI868" s="1852" t="str">
        <f t="shared" si="169"/>
        <v/>
      </c>
      <c r="GJ868" s="1852" t="str">
        <f t="shared" si="170"/>
        <v/>
      </c>
      <c r="GK868" s="1852" t="str">
        <f t="shared" si="171"/>
        <v/>
      </c>
      <c r="GL868" s="1852" t="str">
        <f t="shared" si="172"/>
        <v/>
      </c>
      <c r="GM868" s="1852" t="str">
        <f t="shared" si="173"/>
        <v/>
      </c>
      <c r="GN868" s="1852" t="str">
        <f t="shared" si="174"/>
        <v/>
      </c>
      <c r="GO868" s="1852" t="str">
        <f t="shared" si="175"/>
        <v/>
      </c>
      <c r="GP868" s="1852" t="str">
        <f t="shared" si="176"/>
        <v/>
      </c>
      <c r="GQ868" s="1852" t="str">
        <f t="shared" si="177"/>
        <v/>
      </c>
      <c r="GR868" s="1852" t="str">
        <f t="shared" si="178"/>
        <v/>
      </c>
      <c r="GS868" s="1852" t="str">
        <f t="shared" si="179"/>
        <v/>
      </c>
      <c r="GT868" s="1852" t="str">
        <f t="shared" si="180"/>
        <v/>
      </c>
      <c r="GU868" s="1852" t="str">
        <f t="shared" si="181"/>
        <v/>
      </c>
      <c r="GV868" s="1852" t="str">
        <f t="shared" si="182"/>
        <v/>
      </c>
      <c r="GW868" s="1852" t="str">
        <f t="shared" si="183"/>
        <v/>
      </c>
      <c r="GX868" s="1852" t="str">
        <f t="shared" si="184"/>
        <v/>
      </c>
      <c r="GY868" s="1852" t="str">
        <f t="shared" si="185"/>
        <v/>
      </c>
      <c r="GZ868" s="1852" t="str">
        <f t="shared" si="186"/>
        <v/>
      </c>
      <c r="HA868" s="1852" t="str">
        <f t="shared" si="187"/>
        <v/>
      </c>
      <c r="HB868" s="1852" t="str">
        <f t="shared" si="188"/>
        <v/>
      </c>
      <c r="HC868" s="1852" t="str">
        <f t="shared" si="189"/>
        <v/>
      </c>
      <c r="HD868" s="1852" t="str">
        <f t="shared" si="190"/>
        <v/>
      </c>
      <c r="HE868" s="1852" t="str">
        <f t="shared" si="191"/>
        <v/>
      </c>
      <c r="HF868" s="1852" t="str">
        <f t="shared" si="192"/>
        <v/>
      </c>
      <c r="HG868" s="1852" t="str">
        <f t="shared" si="193"/>
        <v/>
      </c>
      <c r="HH868" s="1852" t="str">
        <f t="shared" si="194"/>
        <v/>
      </c>
      <c r="HI868" s="1852" t="str">
        <f t="shared" si="195"/>
        <v/>
      </c>
      <c r="HJ868" s="1852" t="str">
        <f t="shared" si="196"/>
        <v/>
      </c>
      <c r="HK868" s="1852" t="str">
        <f t="shared" si="197"/>
        <v/>
      </c>
      <c r="HL868" s="1852" t="str">
        <f t="shared" si="198"/>
        <v/>
      </c>
      <c r="HM868" s="1852" t="str">
        <f t="shared" si="199"/>
        <v/>
      </c>
      <c r="HN868" s="1852" t="str">
        <f t="shared" si="200"/>
        <v/>
      </c>
      <c r="HO868" s="1852" t="str">
        <f t="shared" si="201"/>
        <v/>
      </c>
      <c r="HP868" s="1852" t="str">
        <f t="shared" si="202"/>
        <v/>
      </c>
      <c r="HQ868" s="1852" t="str">
        <f t="shared" si="203"/>
        <v/>
      </c>
      <c r="HR868" s="1852" t="str">
        <f t="shared" si="204"/>
        <v/>
      </c>
      <c r="HS868" s="1852" t="str">
        <f t="shared" si="205"/>
        <v/>
      </c>
      <c r="HT868" s="1852" t="str">
        <f t="shared" si="206"/>
        <v/>
      </c>
      <c r="HU868" s="1852" t="str">
        <f t="shared" si="207"/>
        <v/>
      </c>
      <c r="HV868" s="1852" t="str">
        <f t="shared" si="208"/>
        <v/>
      </c>
      <c r="HW868" s="1852" t="str">
        <f t="shared" si="209"/>
        <v/>
      </c>
      <c r="HX868" s="1852" t="str">
        <f t="shared" si="210"/>
        <v/>
      </c>
      <c r="HY868" s="1852" t="str">
        <f t="shared" si="211"/>
        <v/>
      </c>
      <c r="HZ868" s="2140" t="str">
        <f t="shared" si="212"/>
        <v/>
      </c>
      <c r="IA868" s="2140" t="str">
        <f t="shared" si="213"/>
        <v/>
      </c>
      <c r="IB868" s="2140" t="str">
        <f t="shared" si="214"/>
        <v/>
      </c>
      <c r="IC868" s="2140" t="str">
        <f t="shared" si="215"/>
        <v/>
      </c>
      <c r="ID868" s="2140" t="str">
        <f t="shared" si="216"/>
        <v/>
      </c>
      <c r="IE868" s="2140" t="str">
        <f t="shared" si="217"/>
        <v/>
      </c>
      <c r="IF868" s="2140" t="str">
        <f t="shared" si="218"/>
        <v/>
      </c>
      <c r="IG868" s="2140" t="str">
        <f t="shared" si="219"/>
        <v/>
      </c>
      <c r="IH868" s="2140" t="str">
        <f t="shared" si="220"/>
        <v/>
      </c>
      <c r="II868" s="2140" t="str">
        <f t="shared" si="221"/>
        <v/>
      </c>
      <c r="IJ868" s="2140" t="str">
        <f t="shared" si="222"/>
        <v/>
      </c>
      <c r="IK868" s="2140" t="str">
        <f t="shared" si="223"/>
        <v/>
      </c>
      <c r="IL868" s="2140" t="str">
        <f t="shared" si="224"/>
        <v/>
      </c>
      <c r="IM868" s="2140" t="str">
        <f t="shared" si="225"/>
        <v/>
      </c>
      <c r="IN868" s="2140" t="str">
        <f t="shared" si="226"/>
        <v/>
      </c>
      <c r="IO868" s="2140" t="str">
        <f t="shared" si="227"/>
        <v/>
      </c>
      <c r="IP868" s="2140" t="str">
        <f t="shared" si="228"/>
        <v/>
      </c>
      <c r="IQ868" s="2140" t="str">
        <f t="shared" si="229"/>
        <v/>
      </c>
      <c r="IR868" s="2140" t="str">
        <f t="shared" si="230"/>
        <v/>
      </c>
      <c r="IS868" s="2140" t="str">
        <f t="shared" si="231"/>
        <v/>
      </c>
      <c r="IT868" s="2140" t="str">
        <f t="shared" si="232"/>
        <v/>
      </c>
      <c r="IU868" s="2140" t="str">
        <f t="shared" si="233"/>
        <v/>
      </c>
      <c r="IV868" s="2140" t="str">
        <f t="shared" si="234"/>
        <v/>
      </c>
      <c r="IW868" s="2140" t="str">
        <f t="shared" si="235"/>
        <v/>
      </c>
      <c r="IX868" s="2140" t="str">
        <f t="shared" si="236"/>
        <v/>
      </c>
      <c r="IY868" s="2140" t="str">
        <f t="shared" si="237"/>
        <v/>
      </c>
      <c r="IZ868" s="2140" t="str">
        <f t="shared" si="238"/>
        <v/>
      </c>
      <c r="JA868" s="2140" t="str">
        <f t="shared" si="239"/>
        <v/>
      </c>
      <c r="JB868" s="2140" t="str">
        <f t="shared" si="240"/>
        <v/>
      </c>
      <c r="JC868" s="2140" t="str">
        <f t="shared" si="241"/>
        <v/>
      </c>
      <c r="JD868" s="2140" t="str">
        <f t="shared" si="242"/>
        <v/>
      </c>
      <c r="JE868" s="2140" t="str">
        <f t="shared" si="243"/>
        <v/>
      </c>
      <c r="JF868" s="2140" t="str">
        <f t="shared" si="244"/>
        <v/>
      </c>
      <c r="JG868" s="2140" t="str">
        <f t="shared" si="245"/>
        <v/>
      </c>
      <c r="JH868" s="2140" t="str">
        <f t="shared" si="246"/>
        <v/>
      </c>
      <c r="JI868" s="2140" t="str">
        <f t="shared" si="247"/>
        <v/>
      </c>
      <c r="JJ868" s="2140" t="str">
        <f t="shared" si="248"/>
        <v/>
      </c>
      <c r="JK868" s="2140" t="str">
        <f t="shared" si="249"/>
        <v/>
      </c>
      <c r="JL868" s="2140" t="str">
        <f t="shared" si="250"/>
        <v/>
      </c>
      <c r="JM868" s="2140" t="str">
        <f t="shared" si="251"/>
        <v/>
      </c>
      <c r="JN868" s="2140" t="str">
        <f t="shared" si="252"/>
        <v/>
      </c>
      <c r="JO868" s="2140" t="str">
        <f t="shared" si="253"/>
        <v/>
      </c>
      <c r="JP868" s="2140" t="str">
        <f t="shared" si="254"/>
        <v/>
      </c>
      <c r="JQ868" s="2140" t="str">
        <f t="shared" si="255"/>
        <v/>
      </c>
      <c r="JR868" s="2140" t="str">
        <f t="shared" si="256"/>
        <v/>
      </c>
      <c r="JS868" s="2140" t="str">
        <f t="shared" si="257"/>
        <v/>
      </c>
      <c r="JT868" s="2140" t="str">
        <f t="shared" si="258"/>
        <v/>
      </c>
      <c r="JU868" s="2140" t="str">
        <f t="shared" si="259"/>
        <v/>
      </c>
      <c r="JV868" s="2140" t="str">
        <f t="shared" si="260"/>
        <v/>
      </c>
      <c r="JW868" s="2140" t="str">
        <f t="shared" si="261"/>
        <v/>
      </c>
      <c r="JX868" s="2140" t="str">
        <f t="shared" si="262"/>
        <v/>
      </c>
      <c r="JY868" s="2140" t="str">
        <f t="shared" si="263"/>
        <v/>
      </c>
      <c r="JZ868" s="2140" t="str">
        <f t="shared" si="264"/>
        <v/>
      </c>
      <c r="KA868" s="2140" t="str">
        <f t="shared" si="265"/>
        <v/>
      </c>
      <c r="KB868" s="2140" t="str">
        <f t="shared" si="266"/>
        <v/>
      </c>
      <c r="KC868" s="2140" t="str">
        <f t="shared" si="267"/>
        <v/>
      </c>
      <c r="KD868" s="2140" t="str">
        <f t="shared" si="268"/>
        <v/>
      </c>
      <c r="KE868" s="2140" t="str">
        <f t="shared" si="269"/>
        <v/>
      </c>
      <c r="KF868" s="2140" t="str">
        <f t="shared" si="270"/>
        <v/>
      </c>
      <c r="KG868" s="2140" t="str">
        <f t="shared" si="271"/>
        <v/>
      </c>
      <c r="KH868" s="2140" t="str">
        <f t="shared" si="272"/>
        <v/>
      </c>
      <c r="KI868" s="2140" t="str">
        <f t="shared" si="273"/>
        <v/>
      </c>
      <c r="KJ868" s="2140" t="str">
        <f t="shared" si="274"/>
        <v/>
      </c>
      <c r="KK868" s="2140" t="str">
        <f t="shared" si="275"/>
        <v/>
      </c>
      <c r="KL868" s="2140" t="str">
        <f t="shared" si="276"/>
        <v/>
      </c>
      <c r="KM868" s="2140" t="str">
        <f t="shared" si="277"/>
        <v/>
      </c>
      <c r="KN868" s="2140" t="str">
        <f t="shared" si="278"/>
        <v/>
      </c>
      <c r="KO868" s="2140" t="str">
        <f t="shared" si="279"/>
        <v/>
      </c>
      <c r="KP868" s="2140" t="str">
        <f t="shared" si="280"/>
        <v/>
      </c>
      <c r="KQ868" s="2140" t="str">
        <f t="shared" si="281"/>
        <v/>
      </c>
      <c r="KR868" s="2140" t="str">
        <f t="shared" si="282"/>
        <v/>
      </c>
      <c r="KS868" s="2140" t="str">
        <f t="shared" si="283"/>
        <v/>
      </c>
      <c r="KT868" s="2140" t="str">
        <f t="shared" si="284"/>
        <v/>
      </c>
      <c r="KU868" s="2140" t="str">
        <f t="shared" si="285"/>
        <v/>
      </c>
      <c r="KV868" s="2140" t="str">
        <f t="shared" si="286"/>
        <v/>
      </c>
      <c r="KW868" s="2140" t="str">
        <f t="shared" si="287"/>
        <v/>
      </c>
      <c r="KX868" s="2140" t="str">
        <f t="shared" si="288"/>
        <v/>
      </c>
      <c r="KY868" s="2140" t="str">
        <f t="shared" si="289"/>
        <v/>
      </c>
      <c r="KZ868" s="2140" t="str">
        <f t="shared" si="290"/>
        <v/>
      </c>
      <c r="LA868" s="2140" t="str">
        <f t="shared" si="291"/>
        <v/>
      </c>
      <c r="LB868" s="2140" t="str">
        <f t="shared" si="292"/>
        <v/>
      </c>
      <c r="LC868" s="2140" t="str">
        <f t="shared" si="293"/>
        <v/>
      </c>
      <c r="LD868" s="2140" t="str">
        <f t="shared" si="294"/>
        <v/>
      </c>
      <c r="LE868" s="2140" t="str">
        <f t="shared" si="295"/>
        <v/>
      </c>
      <c r="LF868" s="2140" t="str">
        <f t="shared" si="296"/>
        <v/>
      </c>
      <c r="LG868" s="2051" t="str">
        <f t="shared" si="297"/>
        <v/>
      </c>
      <c r="LH868" s="2051" t="str">
        <f t="shared" si="298"/>
        <v/>
      </c>
      <c r="LI868" s="2051" t="str">
        <f t="shared" si="299"/>
        <v/>
      </c>
      <c r="LJ868" s="2051" t="str">
        <f t="shared" si="300"/>
        <v/>
      </c>
      <c r="LK868" s="2051" t="str">
        <f t="shared" si="301"/>
        <v/>
      </c>
      <c r="LL868" s="1852" t="str">
        <f t="shared" si="302"/>
        <v/>
      </c>
      <c r="LM868" s="1852" t="str">
        <f t="shared" si="303"/>
        <v/>
      </c>
      <c r="LN868" s="1852" t="str">
        <f t="shared" si="304"/>
        <v/>
      </c>
      <c r="LO868" s="1852" t="str">
        <f t="shared" si="305"/>
        <v/>
      </c>
      <c r="LP868" s="1852" t="str">
        <f t="shared" si="306"/>
        <v/>
      </c>
      <c r="LQ868" s="1852" t="str">
        <f t="shared" si="307"/>
        <v/>
      </c>
      <c r="LR868" s="1852" t="str">
        <f t="shared" si="308"/>
        <v/>
      </c>
      <c r="LS868" s="1852" t="str">
        <f t="shared" si="309"/>
        <v/>
      </c>
      <c r="LT868" s="1852" t="str">
        <f t="shared" si="310"/>
        <v/>
      </c>
      <c r="LU868" s="1852" t="str">
        <f t="shared" si="311"/>
        <v/>
      </c>
      <c r="LV868" s="1852" t="str">
        <f t="shared" si="312"/>
        <v/>
      </c>
      <c r="LW868" s="1852" t="str">
        <f t="shared" si="313"/>
        <v/>
      </c>
      <c r="LX868" s="1852" t="str">
        <f t="shared" si="314"/>
        <v/>
      </c>
      <c r="LY868" s="1852" t="str">
        <f t="shared" si="315"/>
        <v/>
      </c>
      <c r="LZ868" s="1852" t="str">
        <f t="shared" si="316"/>
        <v/>
      </c>
      <c r="MA868" s="1852" t="str">
        <f t="shared" si="317"/>
        <v/>
      </c>
      <c r="MB868" s="1852" t="str">
        <f t="shared" si="318"/>
        <v/>
      </c>
      <c r="MC868" s="1852" t="str">
        <f t="shared" si="319"/>
        <v/>
      </c>
      <c r="MD868" s="1852" t="str">
        <f t="shared" si="320"/>
        <v/>
      </c>
      <c r="ME868" s="1852" t="str">
        <f t="shared" si="321"/>
        <v/>
      </c>
      <c r="MF868" s="2051">
        <f t="shared" si="328"/>
        <v>0</v>
      </c>
      <c r="MG868" s="2051">
        <f t="shared" si="329"/>
        <v>0</v>
      </c>
      <c r="MH868" s="2051">
        <f t="shared" si="330"/>
        <v>0</v>
      </c>
      <c r="MI868" s="2051">
        <f t="shared" si="331"/>
        <v>0</v>
      </c>
      <c r="MJ868" s="2051">
        <f t="shared" si="332"/>
        <v>0</v>
      </c>
      <c r="MK868" s="2051">
        <f t="shared" si="333"/>
        <v>0</v>
      </c>
      <c r="ML868" s="2051">
        <f t="shared" si="334"/>
        <v>0</v>
      </c>
      <c r="MM868" s="2051">
        <f t="shared" si="335"/>
        <v>0</v>
      </c>
      <c r="MN868" s="2051">
        <f t="shared" si="336"/>
        <v>0</v>
      </c>
      <c r="MO868" s="2051">
        <f t="shared" si="337"/>
        <v>0</v>
      </c>
      <c r="MP868" s="2051">
        <f t="shared" si="322"/>
        <v>0</v>
      </c>
      <c r="MQ868" s="2051">
        <f t="shared" si="323"/>
        <v>0</v>
      </c>
      <c r="MR868" s="2051">
        <f t="shared" si="324"/>
        <v>0</v>
      </c>
      <c r="MS868" s="2051">
        <f t="shared" si="325"/>
        <v>0</v>
      </c>
      <c r="MT868" s="2051">
        <f t="shared" si="326"/>
        <v>0</v>
      </c>
      <c r="NP868" s="1924" t="s">
        <v>6737</v>
      </c>
    </row>
    <row r="869" spans="1:380" s="1852" customFormat="1" ht="13.9" customHeight="1">
      <c r="A869" s="2108" t="str">
        <f t="shared" si="327"/>
        <v/>
      </c>
      <c r="B869" s="2130">
        <f>'Part VI-Revenues &amp; Expenses'!B29</f>
        <v>0</v>
      </c>
      <c r="C869" s="2131">
        <f>'Part VI-Revenues &amp; Expenses'!C29</f>
        <v>0</v>
      </c>
      <c r="D869" s="2132">
        <f>'Part VI-Revenues &amp; Expenses'!D29</f>
        <v>0</v>
      </c>
      <c r="E869" s="2133">
        <f>'Part VI-Revenues &amp; Expenses'!E29</f>
        <v>0</v>
      </c>
      <c r="F869" s="2133">
        <f>'Part VI-Revenues &amp; Expenses'!F29</f>
        <v>0</v>
      </c>
      <c r="G869" s="2133">
        <f>'Part VI-Revenues &amp; Expenses'!G29</f>
        <v>0</v>
      </c>
      <c r="H869" s="2133">
        <f>'Part VI-Revenues &amp; Expenses'!H29</f>
        <v>0</v>
      </c>
      <c r="I869" s="2133">
        <f>'Part VI-Revenues &amp; Expenses'!I29</f>
        <v>0</v>
      </c>
      <c r="J869" s="2133">
        <f>'Part VI-Revenues &amp; Expenses'!J29</f>
        <v>0</v>
      </c>
      <c r="K869" s="2134">
        <f>'Part VI-Revenues &amp; Expenses'!K29</f>
        <v>0</v>
      </c>
      <c r="L869" s="2135">
        <f t="shared" si="0"/>
        <v>0</v>
      </c>
      <c r="M869" s="2135">
        <f t="shared" si="1"/>
        <v>0</v>
      </c>
      <c r="N869" s="1916">
        <f>'Part VI-Revenues &amp; Expenses'!N29</f>
        <v>0</v>
      </c>
      <c r="O869" s="2136">
        <f>'Part VI-Revenues &amp; Expenses'!O29</f>
        <v>0</v>
      </c>
      <c r="P869" s="1916">
        <f>'Part VI-Revenues &amp; Expenses'!P29</f>
        <v>0</v>
      </c>
      <c r="Q869" s="2137">
        <f>'Part VI-Revenues &amp; Expenses'!Q29</f>
        <v>0</v>
      </c>
      <c r="R869" s="2138"/>
      <c r="S869" s="2139"/>
      <c r="T869" s="2043"/>
      <c r="U869" s="2043"/>
      <c r="V869" s="2043"/>
      <c r="W869" s="2043"/>
      <c r="X869" s="1852" t="str">
        <f t="shared" si="2"/>
        <v/>
      </c>
      <c r="Y869" s="1852" t="str">
        <f t="shared" si="3"/>
        <v/>
      </c>
      <c r="Z869" s="1852" t="str">
        <f t="shared" si="4"/>
        <v/>
      </c>
      <c r="AA869" s="1852" t="str">
        <f t="shared" si="5"/>
        <v/>
      </c>
      <c r="AB869" s="1852" t="str">
        <f t="shared" si="6"/>
        <v/>
      </c>
      <c r="AC869" s="1852" t="str">
        <f t="shared" si="7"/>
        <v/>
      </c>
      <c r="AD869" s="1852" t="str">
        <f t="shared" si="8"/>
        <v/>
      </c>
      <c r="AE869" s="1852" t="str">
        <f t="shared" si="9"/>
        <v/>
      </c>
      <c r="AF869" s="1852" t="str">
        <f t="shared" si="10"/>
        <v/>
      </c>
      <c r="AG869" s="1852" t="str">
        <f t="shared" si="11"/>
        <v/>
      </c>
      <c r="AH869" s="1852" t="str">
        <f t="shared" si="12"/>
        <v/>
      </c>
      <c r="AI869" s="1852" t="str">
        <f t="shared" si="13"/>
        <v/>
      </c>
      <c r="AJ869" s="1852" t="str">
        <f t="shared" si="14"/>
        <v/>
      </c>
      <c r="AK869" s="1852" t="str">
        <f t="shared" si="15"/>
        <v/>
      </c>
      <c r="AL869" s="1852" t="str">
        <f t="shared" si="16"/>
        <v/>
      </c>
      <c r="AM869" s="1852" t="str">
        <f t="shared" si="17"/>
        <v/>
      </c>
      <c r="AN869" s="1852" t="str">
        <f t="shared" si="18"/>
        <v/>
      </c>
      <c r="AO869" s="1852" t="str">
        <f t="shared" si="19"/>
        <v/>
      </c>
      <c r="AP869" s="1852" t="str">
        <f t="shared" si="20"/>
        <v/>
      </c>
      <c r="AQ869" s="1852" t="str">
        <f t="shared" si="21"/>
        <v/>
      </c>
      <c r="AR869" s="1852" t="str">
        <f t="shared" si="22"/>
        <v/>
      </c>
      <c r="AS869" s="1852" t="str">
        <f t="shared" si="23"/>
        <v/>
      </c>
      <c r="AT869" s="1852" t="str">
        <f t="shared" si="24"/>
        <v/>
      </c>
      <c r="AU869" s="1852" t="str">
        <f t="shared" si="25"/>
        <v/>
      </c>
      <c r="AV869" s="1852" t="str">
        <f t="shared" si="26"/>
        <v/>
      </c>
      <c r="AW869" s="1852" t="str">
        <f t="shared" si="27"/>
        <v/>
      </c>
      <c r="AX869" s="1852" t="str">
        <f t="shared" si="28"/>
        <v/>
      </c>
      <c r="AY869" s="1852" t="str">
        <f t="shared" si="29"/>
        <v/>
      </c>
      <c r="AZ869" s="1852" t="str">
        <f t="shared" si="30"/>
        <v/>
      </c>
      <c r="BA869" s="1852" t="str">
        <f t="shared" si="31"/>
        <v/>
      </c>
      <c r="BB869" s="1852" t="str">
        <f t="shared" si="32"/>
        <v/>
      </c>
      <c r="BC869" s="1852" t="str">
        <f t="shared" si="33"/>
        <v/>
      </c>
      <c r="BD869" s="1852" t="str">
        <f t="shared" si="34"/>
        <v/>
      </c>
      <c r="BE869" s="1852" t="str">
        <f t="shared" si="35"/>
        <v/>
      </c>
      <c r="BF869" s="1852" t="str">
        <f t="shared" si="36"/>
        <v/>
      </c>
      <c r="BG869" s="1852" t="str">
        <f t="shared" si="37"/>
        <v/>
      </c>
      <c r="BH869" s="1852" t="str">
        <f t="shared" si="38"/>
        <v/>
      </c>
      <c r="BI869" s="1852" t="str">
        <f t="shared" si="39"/>
        <v/>
      </c>
      <c r="BJ869" s="1852" t="str">
        <f t="shared" si="40"/>
        <v/>
      </c>
      <c r="BK869" s="1852" t="str">
        <f t="shared" si="41"/>
        <v/>
      </c>
      <c r="BL869" s="1852" t="str">
        <f t="shared" si="42"/>
        <v/>
      </c>
      <c r="BM869" s="1852" t="str">
        <f t="shared" si="43"/>
        <v/>
      </c>
      <c r="BN869" s="1852" t="str">
        <f t="shared" si="44"/>
        <v/>
      </c>
      <c r="BO869" s="1852" t="str">
        <f t="shared" si="45"/>
        <v/>
      </c>
      <c r="BP869" s="1852" t="str">
        <f t="shared" si="46"/>
        <v/>
      </c>
      <c r="BQ869" s="1852" t="str">
        <f t="shared" si="47"/>
        <v/>
      </c>
      <c r="BR869" s="1852" t="str">
        <f t="shared" si="48"/>
        <v/>
      </c>
      <c r="BS869" s="1852" t="str">
        <f t="shared" si="49"/>
        <v/>
      </c>
      <c r="BT869" s="1852" t="str">
        <f t="shared" si="50"/>
        <v/>
      </c>
      <c r="BU869" s="1852" t="str">
        <f t="shared" si="51"/>
        <v/>
      </c>
      <c r="BV869" s="1852" t="str">
        <f t="shared" si="52"/>
        <v/>
      </c>
      <c r="BW869" s="1852" t="str">
        <f t="shared" si="53"/>
        <v/>
      </c>
      <c r="BX869" s="1852" t="str">
        <f t="shared" si="54"/>
        <v/>
      </c>
      <c r="BY869" s="1852" t="str">
        <f t="shared" si="55"/>
        <v/>
      </c>
      <c r="BZ869" s="1852" t="str">
        <f t="shared" si="56"/>
        <v/>
      </c>
      <c r="CA869" s="1852" t="str">
        <f t="shared" si="57"/>
        <v/>
      </c>
      <c r="CB869" s="1852" t="str">
        <f t="shared" si="58"/>
        <v/>
      </c>
      <c r="CC869" s="1852" t="str">
        <f t="shared" si="59"/>
        <v/>
      </c>
      <c r="CD869" s="1852" t="str">
        <f t="shared" si="60"/>
        <v/>
      </c>
      <c r="CE869" s="1852" t="str">
        <f t="shared" si="61"/>
        <v/>
      </c>
      <c r="CF869" s="1852" t="str">
        <f t="shared" si="62"/>
        <v/>
      </c>
      <c r="CG869" s="1852" t="str">
        <f t="shared" si="63"/>
        <v/>
      </c>
      <c r="CH869" s="1852" t="str">
        <f t="shared" si="64"/>
        <v/>
      </c>
      <c r="CI869" s="1852" t="str">
        <f t="shared" si="65"/>
        <v/>
      </c>
      <c r="CJ869" s="1852" t="str">
        <f t="shared" si="66"/>
        <v/>
      </c>
      <c r="CK869" s="1852" t="str">
        <f t="shared" si="67"/>
        <v/>
      </c>
      <c r="CL869" s="1852" t="str">
        <f t="shared" si="68"/>
        <v/>
      </c>
      <c r="CM869" s="1852" t="str">
        <f t="shared" si="69"/>
        <v/>
      </c>
      <c r="CN869" s="1852" t="str">
        <f t="shared" si="70"/>
        <v/>
      </c>
      <c r="CO869" s="1852" t="str">
        <f t="shared" si="71"/>
        <v/>
      </c>
      <c r="CP869" s="1852" t="str">
        <f t="shared" si="72"/>
        <v/>
      </c>
      <c r="CQ869" s="1852" t="str">
        <f t="shared" si="73"/>
        <v/>
      </c>
      <c r="CR869" s="1852" t="str">
        <f t="shared" si="74"/>
        <v/>
      </c>
      <c r="CS869" s="1852" t="str">
        <f t="shared" si="75"/>
        <v/>
      </c>
      <c r="CT869" s="1852" t="str">
        <f t="shared" si="76"/>
        <v/>
      </c>
      <c r="CU869" s="1852" t="str">
        <f t="shared" si="77"/>
        <v/>
      </c>
      <c r="CV869" s="1852" t="str">
        <f t="shared" si="78"/>
        <v/>
      </c>
      <c r="CW869" s="1852" t="str">
        <f t="shared" si="79"/>
        <v/>
      </c>
      <c r="CX869" s="1852" t="str">
        <f t="shared" si="80"/>
        <v/>
      </c>
      <c r="CY869" s="1852" t="str">
        <f t="shared" si="81"/>
        <v/>
      </c>
      <c r="CZ869" s="1852" t="str">
        <f t="shared" si="82"/>
        <v/>
      </c>
      <c r="DA869" s="1852" t="str">
        <f t="shared" si="83"/>
        <v/>
      </c>
      <c r="DB869" s="1852" t="str">
        <f t="shared" si="84"/>
        <v/>
      </c>
      <c r="DC869" s="1852" t="str">
        <f t="shared" si="85"/>
        <v/>
      </c>
      <c r="DD869" s="1852" t="str">
        <f t="shared" si="86"/>
        <v/>
      </c>
      <c r="DE869" s="1852" t="str">
        <f t="shared" si="87"/>
        <v/>
      </c>
      <c r="DF869" s="1852" t="str">
        <f t="shared" si="88"/>
        <v/>
      </c>
      <c r="DG869" s="1852" t="str">
        <f t="shared" si="89"/>
        <v/>
      </c>
      <c r="DH869" s="1852" t="str">
        <f t="shared" si="90"/>
        <v/>
      </c>
      <c r="DI869" s="1852" t="str">
        <f t="shared" si="91"/>
        <v/>
      </c>
      <c r="DJ869" s="1852" t="str">
        <f t="shared" si="92"/>
        <v/>
      </c>
      <c r="DK869" s="1852" t="str">
        <f t="shared" si="93"/>
        <v/>
      </c>
      <c r="DL869" s="1852" t="str">
        <f t="shared" si="94"/>
        <v/>
      </c>
      <c r="DM869" s="1852" t="str">
        <f t="shared" si="95"/>
        <v/>
      </c>
      <c r="DN869" s="1852" t="str">
        <f t="shared" si="96"/>
        <v/>
      </c>
      <c r="DO869" s="1852" t="str">
        <f t="shared" si="97"/>
        <v/>
      </c>
      <c r="DP869" s="1852" t="str">
        <f t="shared" si="98"/>
        <v/>
      </c>
      <c r="DQ869" s="1852" t="str">
        <f t="shared" si="99"/>
        <v/>
      </c>
      <c r="DR869" s="1852" t="str">
        <f t="shared" si="100"/>
        <v/>
      </c>
      <c r="DS869" s="1852" t="str">
        <f t="shared" si="101"/>
        <v/>
      </c>
      <c r="DT869" s="1852" t="str">
        <f t="shared" si="102"/>
        <v/>
      </c>
      <c r="DU869" s="1852" t="str">
        <f t="shared" si="103"/>
        <v/>
      </c>
      <c r="DV869" s="1852" t="str">
        <f t="shared" si="104"/>
        <v/>
      </c>
      <c r="DW869" s="1852" t="str">
        <f t="shared" si="105"/>
        <v/>
      </c>
      <c r="DX869" s="1852" t="str">
        <f t="shared" si="106"/>
        <v/>
      </c>
      <c r="DY869" s="1852" t="str">
        <f t="shared" si="107"/>
        <v/>
      </c>
      <c r="DZ869" s="1852" t="str">
        <f t="shared" si="108"/>
        <v/>
      </c>
      <c r="EA869" s="1852" t="str">
        <f t="shared" si="109"/>
        <v/>
      </c>
      <c r="EB869" s="1852" t="str">
        <f t="shared" si="110"/>
        <v/>
      </c>
      <c r="EC869" s="1852" t="str">
        <f t="shared" si="111"/>
        <v/>
      </c>
      <c r="ED869" s="1852" t="str">
        <f t="shared" si="112"/>
        <v/>
      </c>
      <c r="EE869" s="1852" t="str">
        <f t="shared" si="113"/>
        <v/>
      </c>
      <c r="EF869" s="1852" t="str">
        <f t="shared" si="114"/>
        <v/>
      </c>
      <c r="EG869" s="1852" t="str">
        <f t="shared" si="115"/>
        <v/>
      </c>
      <c r="EH869" s="1852" t="str">
        <f t="shared" si="116"/>
        <v/>
      </c>
      <c r="EI869" s="1852" t="str">
        <f t="shared" si="117"/>
        <v/>
      </c>
      <c r="EJ869" s="1852" t="str">
        <f t="shared" si="118"/>
        <v/>
      </c>
      <c r="EK869" s="1852" t="str">
        <f t="shared" si="119"/>
        <v/>
      </c>
      <c r="EL869" s="1852" t="str">
        <f t="shared" si="120"/>
        <v/>
      </c>
      <c r="EM869" s="1852" t="str">
        <f t="shared" si="121"/>
        <v/>
      </c>
      <c r="EN869" s="1852" t="str">
        <f t="shared" si="122"/>
        <v/>
      </c>
      <c r="EO869" s="1852" t="str">
        <f t="shared" si="123"/>
        <v/>
      </c>
      <c r="EP869" s="1852" t="str">
        <f t="shared" si="124"/>
        <v/>
      </c>
      <c r="EQ869" s="1852" t="str">
        <f t="shared" si="125"/>
        <v/>
      </c>
      <c r="ER869" s="1852" t="str">
        <f t="shared" si="126"/>
        <v/>
      </c>
      <c r="ES869" s="1852" t="str">
        <f t="shared" si="127"/>
        <v/>
      </c>
      <c r="ET869" s="1852" t="str">
        <f t="shared" si="128"/>
        <v/>
      </c>
      <c r="EU869" s="1852" t="str">
        <f t="shared" si="129"/>
        <v/>
      </c>
      <c r="EV869" s="1852" t="str">
        <f t="shared" si="130"/>
        <v/>
      </c>
      <c r="EW869" s="1852" t="str">
        <f t="shared" si="131"/>
        <v/>
      </c>
      <c r="EX869" s="1852" t="str">
        <f t="shared" si="132"/>
        <v/>
      </c>
      <c r="EY869" s="1852" t="str">
        <f t="shared" si="133"/>
        <v/>
      </c>
      <c r="EZ869" s="1852" t="str">
        <f t="shared" si="134"/>
        <v/>
      </c>
      <c r="FA869" s="1852" t="str">
        <f t="shared" si="135"/>
        <v/>
      </c>
      <c r="FB869" s="1852" t="str">
        <f t="shared" si="136"/>
        <v/>
      </c>
      <c r="FC869" s="1852" t="str">
        <f t="shared" si="137"/>
        <v/>
      </c>
      <c r="FD869" s="1852" t="str">
        <f t="shared" si="138"/>
        <v/>
      </c>
      <c r="FE869" s="1852" t="str">
        <f t="shared" si="139"/>
        <v/>
      </c>
      <c r="FF869" s="1852" t="str">
        <f t="shared" si="140"/>
        <v/>
      </c>
      <c r="FG869" s="1852" t="str">
        <f t="shared" si="141"/>
        <v/>
      </c>
      <c r="FH869" s="1852" t="str">
        <f t="shared" si="142"/>
        <v/>
      </c>
      <c r="FI869" s="1852" t="str">
        <f t="shared" si="143"/>
        <v/>
      </c>
      <c r="FJ869" s="1852" t="str">
        <f t="shared" si="144"/>
        <v/>
      </c>
      <c r="FK869" s="1852" t="str">
        <f t="shared" si="145"/>
        <v/>
      </c>
      <c r="FL869" s="1852" t="str">
        <f t="shared" si="146"/>
        <v/>
      </c>
      <c r="FM869" s="1852" t="str">
        <f t="shared" si="147"/>
        <v/>
      </c>
      <c r="FN869" s="1852" t="str">
        <f t="shared" si="148"/>
        <v/>
      </c>
      <c r="FO869" s="1852" t="str">
        <f t="shared" si="149"/>
        <v/>
      </c>
      <c r="FP869" s="1852" t="str">
        <f t="shared" si="150"/>
        <v/>
      </c>
      <c r="FQ869" s="1852" t="str">
        <f t="shared" si="151"/>
        <v/>
      </c>
      <c r="FR869" s="1852" t="str">
        <f t="shared" si="152"/>
        <v/>
      </c>
      <c r="FS869" s="1852" t="str">
        <f t="shared" si="153"/>
        <v/>
      </c>
      <c r="FT869" s="1852" t="str">
        <f t="shared" si="154"/>
        <v/>
      </c>
      <c r="FU869" s="1852" t="str">
        <f t="shared" si="155"/>
        <v/>
      </c>
      <c r="FV869" s="1852" t="str">
        <f t="shared" si="156"/>
        <v/>
      </c>
      <c r="FW869" s="1852" t="str">
        <f t="shared" si="157"/>
        <v/>
      </c>
      <c r="FX869" s="1852" t="str">
        <f t="shared" si="158"/>
        <v/>
      </c>
      <c r="FY869" s="1852" t="str">
        <f t="shared" si="159"/>
        <v/>
      </c>
      <c r="FZ869" s="1852" t="str">
        <f t="shared" si="160"/>
        <v/>
      </c>
      <c r="GA869" s="1852" t="str">
        <f t="shared" si="161"/>
        <v/>
      </c>
      <c r="GB869" s="1852" t="str">
        <f t="shared" si="162"/>
        <v/>
      </c>
      <c r="GC869" s="1852" t="str">
        <f t="shared" si="163"/>
        <v/>
      </c>
      <c r="GD869" s="1852" t="str">
        <f t="shared" si="164"/>
        <v/>
      </c>
      <c r="GE869" s="1852" t="str">
        <f t="shared" si="165"/>
        <v/>
      </c>
      <c r="GF869" s="1852" t="str">
        <f t="shared" si="166"/>
        <v/>
      </c>
      <c r="GG869" s="1852" t="str">
        <f t="shared" si="167"/>
        <v/>
      </c>
      <c r="GH869" s="1852" t="str">
        <f t="shared" si="168"/>
        <v/>
      </c>
      <c r="GI869" s="1852" t="str">
        <f t="shared" si="169"/>
        <v/>
      </c>
      <c r="GJ869" s="1852" t="str">
        <f t="shared" si="170"/>
        <v/>
      </c>
      <c r="GK869" s="1852" t="str">
        <f t="shared" si="171"/>
        <v/>
      </c>
      <c r="GL869" s="1852" t="str">
        <f t="shared" si="172"/>
        <v/>
      </c>
      <c r="GM869" s="1852" t="str">
        <f t="shared" si="173"/>
        <v/>
      </c>
      <c r="GN869" s="1852" t="str">
        <f t="shared" si="174"/>
        <v/>
      </c>
      <c r="GO869" s="1852" t="str">
        <f t="shared" si="175"/>
        <v/>
      </c>
      <c r="GP869" s="1852" t="str">
        <f t="shared" si="176"/>
        <v/>
      </c>
      <c r="GQ869" s="1852" t="str">
        <f t="shared" si="177"/>
        <v/>
      </c>
      <c r="GR869" s="1852" t="str">
        <f t="shared" si="178"/>
        <v/>
      </c>
      <c r="GS869" s="1852" t="str">
        <f t="shared" si="179"/>
        <v/>
      </c>
      <c r="GT869" s="1852" t="str">
        <f t="shared" si="180"/>
        <v/>
      </c>
      <c r="GU869" s="1852" t="str">
        <f t="shared" si="181"/>
        <v/>
      </c>
      <c r="GV869" s="1852" t="str">
        <f t="shared" si="182"/>
        <v/>
      </c>
      <c r="GW869" s="1852" t="str">
        <f t="shared" si="183"/>
        <v/>
      </c>
      <c r="GX869" s="1852" t="str">
        <f t="shared" si="184"/>
        <v/>
      </c>
      <c r="GY869" s="1852" t="str">
        <f t="shared" si="185"/>
        <v/>
      </c>
      <c r="GZ869" s="1852" t="str">
        <f t="shared" si="186"/>
        <v/>
      </c>
      <c r="HA869" s="1852" t="str">
        <f t="shared" si="187"/>
        <v/>
      </c>
      <c r="HB869" s="1852" t="str">
        <f t="shared" si="188"/>
        <v/>
      </c>
      <c r="HC869" s="1852" t="str">
        <f t="shared" si="189"/>
        <v/>
      </c>
      <c r="HD869" s="1852" t="str">
        <f t="shared" si="190"/>
        <v/>
      </c>
      <c r="HE869" s="1852" t="str">
        <f t="shared" si="191"/>
        <v/>
      </c>
      <c r="HF869" s="1852" t="str">
        <f t="shared" si="192"/>
        <v/>
      </c>
      <c r="HG869" s="1852" t="str">
        <f t="shared" si="193"/>
        <v/>
      </c>
      <c r="HH869" s="1852" t="str">
        <f t="shared" si="194"/>
        <v/>
      </c>
      <c r="HI869" s="1852" t="str">
        <f t="shared" si="195"/>
        <v/>
      </c>
      <c r="HJ869" s="1852" t="str">
        <f t="shared" si="196"/>
        <v/>
      </c>
      <c r="HK869" s="1852" t="str">
        <f t="shared" si="197"/>
        <v/>
      </c>
      <c r="HL869" s="1852" t="str">
        <f t="shared" si="198"/>
        <v/>
      </c>
      <c r="HM869" s="1852" t="str">
        <f t="shared" si="199"/>
        <v/>
      </c>
      <c r="HN869" s="1852" t="str">
        <f t="shared" si="200"/>
        <v/>
      </c>
      <c r="HO869" s="1852" t="str">
        <f t="shared" si="201"/>
        <v/>
      </c>
      <c r="HP869" s="1852" t="str">
        <f t="shared" si="202"/>
        <v/>
      </c>
      <c r="HQ869" s="1852" t="str">
        <f t="shared" si="203"/>
        <v/>
      </c>
      <c r="HR869" s="1852" t="str">
        <f t="shared" si="204"/>
        <v/>
      </c>
      <c r="HS869" s="1852" t="str">
        <f t="shared" si="205"/>
        <v/>
      </c>
      <c r="HT869" s="1852" t="str">
        <f t="shared" si="206"/>
        <v/>
      </c>
      <c r="HU869" s="1852" t="str">
        <f t="shared" si="207"/>
        <v/>
      </c>
      <c r="HV869" s="1852" t="str">
        <f t="shared" si="208"/>
        <v/>
      </c>
      <c r="HW869" s="1852" t="str">
        <f t="shared" si="209"/>
        <v/>
      </c>
      <c r="HX869" s="1852" t="str">
        <f t="shared" si="210"/>
        <v/>
      </c>
      <c r="HY869" s="1852" t="str">
        <f t="shared" si="211"/>
        <v/>
      </c>
      <c r="HZ869" s="2140" t="str">
        <f t="shared" si="212"/>
        <v/>
      </c>
      <c r="IA869" s="2140" t="str">
        <f t="shared" si="213"/>
        <v/>
      </c>
      <c r="IB869" s="2140" t="str">
        <f t="shared" si="214"/>
        <v/>
      </c>
      <c r="IC869" s="2140" t="str">
        <f t="shared" si="215"/>
        <v/>
      </c>
      <c r="ID869" s="2140" t="str">
        <f t="shared" si="216"/>
        <v/>
      </c>
      <c r="IE869" s="2140" t="str">
        <f t="shared" si="217"/>
        <v/>
      </c>
      <c r="IF869" s="2140" t="str">
        <f t="shared" si="218"/>
        <v/>
      </c>
      <c r="IG869" s="2140" t="str">
        <f t="shared" si="219"/>
        <v/>
      </c>
      <c r="IH869" s="2140" t="str">
        <f t="shared" si="220"/>
        <v/>
      </c>
      <c r="II869" s="2140" t="str">
        <f t="shared" si="221"/>
        <v/>
      </c>
      <c r="IJ869" s="2140" t="str">
        <f t="shared" si="222"/>
        <v/>
      </c>
      <c r="IK869" s="2140" t="str">
        <f t="shared" si="223"/>
        <v/>
      </c>
      <c r="IL869" s="2140" t="str">
        <f t="shared" si="224"/>
        <v/>
      </c>
      <c r="IM869" s="2140" t="str">
        <f t="shared" si="225"/>
        <v/>
      </c>
      <c r="IN869" s="2140" t="str">
        <f t="shared" si="226"/>
        <v/>
      </c>
      <c r="IO869" s="2140" t="str">
        <f t="shared" si="227"/>
        <v/>
      </c>
      <c r="IP869" s="2140" t="str">
        <f t="shared" si="228"/>
        <v/>
      </c>
      <c r="IQ869" s="2140" t="str">
        <f t="shared" si="229"/>
        <v/>
      </c>
      <c r="IR869" s="2140" t="str">
        <f t="shared" si="230"/>
        <v/>
      </c>
      <c r="IS869" s="2140" t="str">
        <f t="shared" si="231"/>
        <v/>
      </c>
      <c r="IT869" s="2140" t="str">
        <f t="shared" si="232"/>
        <v/>
      </c>
      <c r="IU869" s="2140" t="str">
        <f t="shared" si="233"/>
        <v/>
      </c>
      <c r="IV869" s="2140" t="str">
        <f t="shared" si="234"/>
        <v/>
      </c>
      <c r="IW869" s="2140" t="str">
        <f t="shared" si="235"/>
        <v/>
      </c>
      <c r="IX869" s="2140" t="str">
        <f t="shared" si="236"/>
        <v/>
      </c>
      <c r="IY869" s="2140" t="str">
        <f t="shared" si="237"/>
        <v/>
      </c>
      <c r="IZ869" s="2140" t="str">
        <f t="shared" si="238"/>
        <v/>
      </c>
      <c r="JA869" s="2140" t="str">
        <f t="shared" si="239"/>
        <v/>
      </c>
      <c r="JB869" s="2140" t="str">
        <f t="shared" si="240"/>
        <v/>
      </c>
      <c r="JC869" s="2140" t="str">
        <f t="shared" si="241"/>
        <v/>
      </c>
      <c r="JD869" s="2140" t="str">
        <f t="shared" si="242"/>
        <v/>
      </c>
      <c r="JE869" s="2140" t="str">
        <f t="shared" si="243"/>
        <v/>
      </c>
      <c r="JF869" s="2140" t="str">
        <f t="shared" si="244"/>
        <v/>
      </c>
      <c r="JG869" s="2140" t="str">
        <f t="shared" si="245"/>
        <v/>
      </c>
      <c r="JH869" s="2140" t="str">
        <f t="shared" si="246"/>
        <v/>
      </c>
      <c r="JI869" s="2140" t="str">
        <f t="shared" si="247"/>
        <v/>
      </c>
      <c r="JJ869" s="2140" t="str">
        <f t="shared" si="248"/>
        <v/>
      </c>
      <c r="JK869" s="2140" t="str">
        <f t="shared" si="249"/>
        <v/>
      </c>
      <c r="JL869" s="2140" t="str">
        <f t="shared" si="250"/>
        <v/>
      </c>
      <c r="JM869" s="2140" t="str">
        <f t="shared" si="251"/>
        <v/>
      </c>
      <c r="JN869" s="2140" t="str">
        <f t="shared" si="252"/>
        <v/>
      </c>
      <c r="JO869" s="2140" t="str">
        <f t="shared" si="253"/>
        <v/>
      </c>
      <c r="JP869" s="2140" t="str">
        <f t="shared" si="254"/>
        <v/>
      </c>
      <c r="JQ869" s="2140" t="str">
        <f t="shared" si="255"/>
        <v/>
      </c>
      <c r="JR869" s="2140" t="str">
        <f t="shared" si="256"/>
        <v/>
      </c>
      <c r="JS869" s="2140" t="str">
        <f t="shared" si="257"/>
        <v/>
      </c>
      <c r="JT869" s="2140" t="str">
        <f t="shared" si="258"/>
        <v/>
      </c>
      <c r="JU869" s="2140" t="str">
        <f t="shared" si="259"/>
        <v/>
      </c>
      <c r="JV869" s="2140" t="str">
        <f t="shared" si="260"/>
        <v/>
      </c>
      <c r="JW869" s="2140" t="str">
        <f t="shared" si="261"/>
        <v/>
      </c>
      <c r="JX869" s="2140" t="str">
        <f t="shared" si="262"/>
        <v/>
      </c>
      <c r="JY869" s="2140" t="str">
        <f t="shared" si="263"/>
        <v/>
      </c>
      <c r="JZ869" s="2140" t="str">
        <f t="shared" si="264"/>
        <v/>
      </c>
      <c r="KA869" s="2140" t="str">
        <f t="shared" si="265"/>
        <v/>
      </c>
      <c r="KB869" s="2140" t="str">
        <f t="shared" si="266"/>
        <v/>
      </c>
      <c r="KC869" s="2140" t="str">
        <f t="shared" si="267"/>
        <v/>
      </c>
      <c r="KD869" s="2140" t="str">
        <f t="shared" si="268"/>
        <v/>
      </c>
      <c r="KE869" s="2140" t="str">
        <f t="shared" si="269"/>
        <v/>
      </c>
      <c r="KF869" s="2140" t="str">
        <f t="shared" si="270"/>
        <v/>
      </c>
      <c r="KG869" s="2140" t="str">
        <f t="shared" si="271"/>
        <v/>
      </c>
      <c r="KH869" s="2140" t="str">
        <f t="shared" si="272"/>
        <v/>
      </c>
      <c r="KI869" s="2140" t="str">
        <f t="shared" si="273"/>
        <v/>
      </c>
      <c r="KJ869" s="2140" t="str">
        <f t="shared" si="274"/>
        <v/>
      </c>
      <c r="KK869" s="2140" t="str">
        <f t="shared" si="275"/>
        <v/>
      </c>
      <c r="KL869" s="2140" t="str">
        <f t="shared" si="276"/>
        <v/>
      </c>
      <c r="KM869" s="2140" t="str">
        <f t="shared" si="277"/>
        <v/>
      </c>
      <c r="KN869" s="2140" t="str">
        <f t="shared" si="278"/>
        <v/>
      </c>
      <c r="KO869" s="2140" t="str">
        <f t="shared" si="279"/>
        <v/>
      </c>
      <c r="KP869" s="2140" t="str">
        <f t="shared" si="280"/>
        <v/>
      </c>
      <c r="KQ869" s="2140" t="str">
        <f t="shared" si="281"/>
        <v/>
      </c>
      <c r="KR869" s="2140" t="str">
        <f t="shared" si="282"/>
        <v/>
      </c>
      <c r="KS869" s="2140" t="str">
        <f t="shared" si="283"/>
        <v/>
      </c>
      <c r="KT869" s="2140" t="str">
        <f t="shared" si="284"/>
        <v/>
      </c>
      <c r="KU869" s="2140" t="str">
        <f t="shared" si="285"/>
        <v/>
      </c>
      <c r="KV869" s="2140" t="str">
        <f t="shared" si="286"/>
        <v/>
      </c>
      <c r="KW869" s="2140" t="str">
        <f t="shared" si="287"/>
        <v/>
      </c>
      <c r="KX869" s="2140" t="str">
        <f t="shared" si="288"/>
        <v/>
      </c>
      <c r="KY869" s="2140" t="str">
        <f t="shared" si="289"/>
        <v/>
      </c>
      <c r="KZ869" s="2140" t="str">
        <f t="shared" si="290"/>
        <v/>
      </c>
      <c r="LA869" s="2140" t="str">
        <f t="shared" si="291"/>
        <v/>
      </c>
      <c r="LB869" s="2140" t="str">
        <f t="shared" si="292"/>
        <v/>
      </c>
      <c r="LC869" s="2140" t="str">
        <f t="shared" si="293"/>
        <v/>
      </c>
      <c r="LD869" s="2140" t="str">
        <f t="shared" si="294"/>
        <v/>
      </c>
      <c r="LE869" s="2140" t="str">
        <f t="shared" si="295"/>
        <v/>
      </c>
      <c r="LF869" s="2140" t="str">
        <f t="shared" si="296"/>
        <v/>
      </c>
      <c r="LG869" s="2051" t="str">
        <f t="shared" si="297"/>
        <v/>
      </c>
      <c r="LH869" s="2051" t="str">
        <f t="shared" si="298"/>
        <v/>
      </c>
      <c r="LI869" s="2051" t="str">
        <f t="shared" si="299"/>
        <v/>
      </c>
      <c r="LJ869" s="2051" t="str">
        <f t="shared" si="300"/>
        <v/>
      </c>
      <c r="LK869" s="2051" t="str">
        <f t="shared" si="301"/>
        <v/>
      </c>
      <c r="LL869" s="1852" t="str">
        <f t="shared" si="302"/>
        <v/>
      </c>
      <c r="LM869" s="1852" t="str">
        <f t="shared" si="303"/>
        <v/>
      </c>
      <c r="LN869" s="1852" t="str">
        <f t="shared" si="304"/>
        <v/>
      </c>
      <c r="LO869" s="1852" t="str">
        <f t="shared" si="305"/>
        <v/>
      </c>
      <c r="LP869" s="1852" t="str">
        <f t="shared" si="306"/>
        <v/>
      </c>
      <c r="LQ869" s="1852" t="str">
        <f t="shared" si="307"/>
        <v/>
      </c>
      <c r="LR869" s="1852" t="str">
        <f t="shared" si="308"/>
        <v/>
      </c>
      <c r="LS869" s="1852" t="str">
        <f t="shared" si="309"/>
        <v/>
      </c>
      <c r="LT869" s="1852" t="str">
        <f t="shared" si="310"/>
        <v/>
      </c>
      <c r="LU869" s="1852" t="str">
        <f t="shared" si="311"/>
        <v/>
      </c>
      <c r="LV869" s="1852" t="str">
        <f t="shared" si="312"/>
        <v/>
      </c>
      <c r="LW869" s="1852" t="str">
        <f t="shared" si="313"/>
        <v/>
      </c>
      <c r="LX869" s="1852" t="str">
        <f t="shared" si="314"/>
        <v/>
      </c>
      <c r="LY869" s="1852" t="str">
        <f t="shared" si="315"/>
        <v/>
      </c>
      <c r="LZ869" s="1852" t="str">
        <f t="shared" si="316"/>
        <v/>
      </c>
      <c r="MA869" s="1852" t="str">
        <f t="shared" si="317"/>
        <v/>
      </c>
      <c r="MB869" s="1852" t="str">
        <f t="shared" si="318"/>
        <v/>
      </c>
      <c r="MC869" s="1852" t="str">
        <f t="shared" si="319"/>
        <v/>
      </c>
      <c r="MD869" s="1852" t="str">
        <f t="shared" si="320"/>
        <v/>
      </c>
      <c r="ME869" s="1852" t="str">
        <f t="shared" si="321"/>
        <v/>
      </c>
      <c r="MF869" s="2051">
        <f t="shared" si="328"/>
        <v>0</v>
      </c>
      <c r="MG869" s="2051">
        <f t="shared" si="329"/>
        <v>0</v>
      </c>
      <c r="MH869" s="2051">
        <f t="shared" si="330"/>
        <v>0</v>
      </c>
      <c r="MI869" s="2051">
        <f t="shared" si="331"/>
        <v>0</v>
      </c>
      <c r="MJ869" s="2051">
        <f t="shared" si="332"/>
        <v>0</v>
      </c>
      <c r="MK869" s="2051">
        <f t="shared" si="333"/>
        <v>0</v>
      </c>
      <c r="ML869" s="2051">
        <f t="shared" si="334"/>
        <v>0</v>
      </c>
      <c r="MM869" s="2051">
        <f t="shared" si="335"/>
        <v>0</v>
      </c>
      <c r="MN869" s="2051">
        <f t="shared" si="336"/>
        <v>0</v>
      </c>
      <c r="MO869" s="2051">
        <f t="shared" si="337"/>
        <v>0</v>
      </c>
      <c r="MP869" s="2051">
        <f t="shared" si="322"/>
        <v>0</v>
      </c>
      <c r="MQ869" s="2051">
        <f t="shared" si="323"/>
        <v>0</v>
      </c>
      <c r="MR869" s="2051">
        <f t="shared" si="324"/>
        <v>0</v>
      </c>
      <c r="MS869" s="2051">
        <f t="shared" si="325"/>
        <v>0</v>
      </c>
      <c r="MT869" s="2051">
        <f t="shared" si="326"/>
        <v>0</v>
      </c>
      <c r="NP869" s="1924" t="s">
        <v>6738</v>
      </c>
    </row>
    <row r="870" spans="1:380" s="1852" customFormat="1" ht="13.9" customHeight="1">
      <c r="A870" s="2108" t="str">
        <f t="shared" si="327"/>
        <v/>
      </c>
      <c r="B870" s="2130">
        <f>'Part VI-Revenues &amp; Expenses'!B30</f>
        <v>0</v>
      </c>
      <c r="C870" s="2131">
        <f>'Part VI-Revenues &amp; Expenses'!C30</f>
        <v>0</v>
      </c>
      <c r="D870" s="2132">
        <f>'Part VI-Revenues &amp; Expenses'!D30</f>
        <v>0</v>
      </c>
      <c r="E870" s="2133">
        <f>'Part VI-Revenues &amp; Expenses'!E30</f>
        <v>0</v>
      </c>
      <c r="F870" s="2133">
        <f>'Part VI-Revenues &amp; Expenses'!F30</f>
        <v>0</v>
      </c>
      <c r="G870" s="2133">
        <f>'Part VI-Revenues &amp; Expenses'!G30</f>
        <v>0</v>
      </c>
      <c r="H870" s="2133">
        <f>'Part VI-Revenues &amp; Expenses'!H30</f>
        <v>0</v>
      </c>
      <c r="I870" s="2133">
        <f>'Part VI-Revenues &amp; Expenses'!I30</f>
        <v>0</v>
      </c>
      <c r="J870" s="2133">
        <f>'Part VI-Revenues &amp; Expenses'!J30</f>
        <v>0</v>
      </c>
      <c r="K870" s="2134">
        <f>'Part VI-Revenues &amp; Expenses'!K30</f>
        <v>0</v>
      </c>
      <c r="L870" s="2135">
        <f t="shared" si="0"/>
        <v>0</v>
      </c>
      <c r="M870" s="2135">
        <f t="shared" si="1"/>
        <v>0</v>
      </c>
      <c r="N870" s="1916">
        <f>'Part VI-Revenues &amp; Expenses'!N30</f>
        <v>0</v>
      </c>
      <c r="O870" s="2136">
        <f>'Part VI-Revenues &amp; Expenses'!O30</f>
        <v>0</v>
      </c>
      <c r="P870" s="1916">
        <f>'Part VI-Revenues &amp; Expenses'!P30</f>
        <v>0</v>
      </c>
      <c r="Q870" s="2137">
        <f>'Part VI-Revenues &amp; Expenses'!Q30</f>
        <v>0</v>
      </c>
      <c r="R870" s="2138"/>
      <c r="S870" s="2139"/>
      <c r="T870" s="2043"/>
      <c r="U870" s="2043"/>
      <c r="V870" s="2043"/>
      <c r="W870" s="2043"/>
      <c r="X870" s="1852" t="str">
        <f t="shared" si="2"/>
        <v/>
      </c>
      <c r="Y870" s="1852" t="str">
        <f t="shared" si="3"/>
        <v/>
      </c>
      <c r="Z870" s="1852" t="str">
        <f t="shared" si="4"/>
        <v/>
      </c>
      <c r="AA870" s="1852" t="str">
        <f t="shared" si="5"/>
        <v/>
      </c>
      <c r="AB870" s="1852" t="str">
        <f t="shared" si="6"/>
        <v/>
      </c>
      <c r="AC870" s="1852" t="str">
        <f t="shared" si="7"/>
        <v/>
      </c>
      <c r="AD870" s="1852" t="str">
        <f t="shared" si="8"/>
        <v/>
      </c>
      <c r="AE870" s="1852" t="str">
        <f t="shared" si="9"/>
        <v/>
      </c>
      <c r="AF870" s="1852" t="str">
        <f t="shared" si="10"/>
        <v/>
      </c>
      <c r="AG870" s="1852" t="str">
        <f t="shared" si="11"/>
        <v/>
      </c>
      <c r="AH870" s="1852" t="str">
        <f t="shared" si="12"/>
        <v/>
      </c>
      <c r="AI870" s="1852" t="str">
        <f t="shared" si="13"/>
        <v/>
      </c>
      <c r="AJ870" s="1852" t="str">
        <f t="shared" si="14"/>
        <v/>
      </c>
      <c r="AK870" s="1852" t="str">
        <f t="shared" si="15"/>
        <v/>
      </c>
      <c r="AL870" s="1852" t="str">
        <f t="shared" si="16"/>
        <v/>
      </c>
      <c r="AM870" s="1852" t="str">
        <f t="shared" si="17"/>
        <v/>
      </c>
      <c r="AN870" s="1852" t="str">
        <f t="shared" si="18"/>
        <v/>
      </c>
      <c r="AO870" s="1852" t="str">
        <f t="shared" si="19"/>
        <v/>
      </c>
      <c r="AP870" s="1852" t="str">
        <f t="shared" si="20"/>
        <v/>
      </c>
      <c r="AQ870" s="1852" t="str">
        <f t="shared" si="21"/>
        <v/>
      </c>
      <c r="AR870" s="1852" t="str">
        <f t="shared" si="22"/>
        <v/>
      </c>
      <c r="AS870" s="1852" t="str">
        <f t="shared" si="23"/>
        <v/>
      </c>
      <c r="AT870" s="1852" t="str">
        <f t="shared" si="24"/>
        <v/>
      </c>
      <c r="AU870" s="1852" t="str">
        <f t="shared" si="25"/>
        <v/>
      </c>
      <c r="AV870" s="1852" t="str">
        <f t="shared" si="26"/>
        <v/>
      </c>
      <c r="AW870" s="1852" t="str">
        <f t="shared" si="27"/>
        <v/>
      </c>
      <c r="AX870" s="1852" t="str">
        <f t="shared" si="28"/>
        <v/>
      </c>
      <c r="AY870" s="1852" t="str">
        <f t="shared" si="29"/>
        <v/>
      </c>
      <c r="AZ870" s="1852" t="str">
        <f t="shared" si="30"/>
        <v/>
      </c>
      <c r="BA870" s="1852" t="str">
        <f t="shared" si="31"/>
        <v/>
      </c>
      <c r="BB870" s="1852" t="str">
        <f t="shared" si="32"/>
        <v/>
      </c>
      <c r="BC870" s="1852" t="str">
        <f t="shared" si="33"/>
        <v/>
      </c>
      <c r="BD870" s="1852" t="str">
        <f t="shared" si="34"/>
        <v/>
      </c>
      <c r="BE870" s="1852" t="str">
        <f t="shared" si="35"/>
        <v/>
      </c>
      <c r="BF870" s="1852" t="str">
        <f t="shared" si="36"/>
        <v/>
      </c>
      <c r="BG870" s="1852" t="str">
        <f t="shared" si="37"/>
        <v/>
      </c>
      <c r="BH870" s="1852" t="str">
        <f t="shared" si="38"/>
        <v/>
      </c>
      <c r="BI870" s="1852" t="str">
        <f t="shared" si="39"/>
        <v/>
      </c>
      <c r="BJ870" s="1852" t="str">
        <f t="shared" si="40"/>
        <v/>
      </c>
      <c r="BK870" s="1852" t="str">
        <f t="shared" si="41"/>
        <v/>
      </c>
      <c r="BL870" s="1852" t="str">
        <f t="shared" si="42"/>
        <v/>
      </c>
      <c r="BM870" s="1852" t="str">
        <f t="shared" si="43"/>
        <v/>
      </c>
      <c r="BN870" s="1852" t="str">
        <f t="shared" si="44"/>
        <v/>
      </c>
      <c r="BO870" s="1852" t="str">
        <f t="shared" si="45"/>
        <v/>
      </c>
      <c r="BP870" s="1852" t="str">
        <f t="shared" si="46"/>
        <v/>
      </c>
      <c r="BQ870" s="1852" t="str">
        <f t="shared" si="47"/>
        <v/>
      </c>
      <c r="BR870" s="1852" t="str">
        <f t="shared" si="48"/>
        <v/>
      </c>
      <c r="BS870" s="1852" t="str">
        <f t="shared" si="49"/>
        <v/>
      </c>
      <c r="BT870" s="1852" t="str">
        <f t="shared" si="50"/>
        <v/>
      </c>
      <c r="BU870" s="1852" t="str">
        <f t="shared" si="51"/>
        <v/>
      </c>
      <c r="BV870" s="1852" t="str">
        <f t="shared" si="52"/>
        <v/>
      </c>
      <c r="BW870" s="1852" t="str">
        <f t="shared" si="53"/>
        <v/>
      </c>
      <c r="BX870" s="1852" t="str">
        <f t="shared" si="54"/>
        <v/>
      </c>
      <c r="BY870" s="1852" t="str">
        <f t="shared" si="55"/>
        <v/>
      </c>
      <c r="BZ870" s="1852" t="str">
        <f t="shared" si="56"/>
        <v/>
      </c>
      <c r="CA870" s="1852" t="str">
        <f t="shared" si="57"/>
        <v/>
      </c>
      <c r="CB870" s="1852" t="str">
        <f t="shared" si="58"/>
        <v/>
      </c>
      <c r="CC870" s="1852" t="str">
        <f t="shared" si="59"/>
        <v/>
      </c>
      <c r="CD870" s="1852" t="str">
        <f t="shared" si="60"/>
        <v/>
      </c>
      <c r="CE870" s="1852" t="str">
        <f t="shared" si="61"/>
        <v/>
      </c>
      <c r="CF870" s="1852" t="str">
        <f t="shared" si="62"/>
        <v/>
      </c>
      <c r="CG870" s="1852" t="str">
        <f t="shared" si="63"/>
        <v/>
      </c>
      <c r="CH870" s="1852" t="str">
        <f t="shared" si="64"/>
        <v/>
      </c>
      <c r="CI870" s="1852" t="str">
        <f t="shared" si="65"/>
        <v/>
      </c>
      <c r="CJ870" s="1852" t="str">
        <f t="shared" si="66"/>
        <v/>
      </c>
      <c r="CK870" s="1852" t="str">
        <f t="shared" si="67"/>
        <v/>
      </c>
      <c r="CL870" s="1852" t="str">
        <f t="shared" si="68"/>
        <v/>
      </c>
      <c r="CM870" s="1852" t="str">
        <f t="shared" si="69"/>
        <v/>
      </c>
      <c r="CN870" s="1852" t="str">
        <f t="shared" si="70"/>
        <v/>
      </c>
      <c r="CO870" s="1852" t="str">
        <f t="shared" si="71"/>
        <v/>
      </c>
      <c r="CP870" s="1852" t="str">
        <f t="shared" si="72"/>
        <v/>
      </c>
      <c r="CQ870" s="1852" t="str">
        <f t="shared" si="73"/>
        <v/>
      </c>
      <c r="CR870" s="1852" t="str">
        <f t="shared" si="74"/>
        <v/>
      </c>
      <c r="CS870" s="1852" t="str">
        <f t="shared" si="75"/>
        <v/>
      </c>
      <c r="CT870" s="1852" t="str">
        <f t="shared" si="76"/>
        <v/>
      </c>
      <c r="CU870" s="1852" t="str">
        <f t="shared" si="77"/>
        <v/>
      </c>
      <c r="CV870" s="1852" t="str">
        <f t="shared" si="78"/>
        <v/>
      </c>
      <c r="CW870" s="1852" t="str">
        <f t="shared" si="79"/>
        <v/>
      </c>
      <c r="CX870" s="1852" t="str">
        <f t="shared" si="80"/>
        <v/>
      </c>
      <c r="CY870" s="1852" t="str">
        <f t="shared" si="81"/>
        <v/>
      </c>
      <c r="CZ870" s="1852" t="str">
        <f t="shared" si="82"/>
        <v/>
      </c>
      <c r="DA870" s="1852" t="str">
        <f t="shared" si="83"/>
        <v/>
      </c>
      <c r="DB870" s="1852" t="str">
        <f t="shared" si="84"/>
        <v/>
      </c>
      <c r="DC870" s="1852" t="str">
        <f t="shared" si="85"/>
        <v/>
      </c>
      <c r="DD870" s="1852" t="str">
        <f t="shared" si="86"/>
        <v/>
      </c>
      <c r="DE870" s="1852" t="str">
        <f t="shared" si="87"/>
        <v/>
      </c>
      <c r="DF870" s="1852" t="str">
        <f t="shared" si="88"/>
        <v/>
      </c>
      <c r="DG870" s="1852" t="str">
        <f t="shared" si="89"/>
        <v/>
      </c>
      <c r="DH870" s="1852" t="str">
        <f t="shared" si="90"/>
        <v/>
      </c>
      <c r="DI870" s="1852" t="str">
        <f t="shared" si="91"/>
        <v/>
      </c>
      <c r="DJ870" s="1852" t="str">
        <f t="shared" si="92"/>
        <v/>
      </c>
      <c r="DK870" s="1852" t="str">
        <f t="shared" si="93"/>
        <v/>
      </c>
      <c r="DL870" s="1852" t="str">
        <f t="shared" si="94"/>
        <v/>
      </c>
      <c r="DM870" s="1852" t="str">
        <f t="shared" si="95"/>
        <v/>
      </c>
      <c r="DN870" s="1852" t="str">
        <f t="shared" si="96"/>
        <v/>
      </c>
      <c r="DO870" s="1852" t="str">
        <f t="shared" si="97"/>
        <v/>
      </c>
      <c r="DP870" s="1852" t="str">
        <f t="shared" si="98"/>
        <v/>
      </c>
      <c r="DQ870" s="1852" t="str">
        <f t="shared" si="99"/>
        <v/>
      </c>
      <c r="DR870" s="1852" t="str">
        <f t="shared" si="100"/>
        <v/>
      </c>
      <c r="DS870" s="1852" t="str">
        <f t="shared" si="101"/>
        <v/>
      </c>
      <c r="DT870" s="1852" t="str">
        <f t="shared" si="102"/>
        <v/>
      </c>
      <c r="DU870" s="1852" t="str">
        <f t="shared" si="103"/>
        <v/>
      </c>
      <c r="DV870" s="1852" t="str">
        <f t="shared" si="104"/>
        <v/>
      </c>
      <c r="DW870" s="1852" t="str">
        <f t="shared" si="105"/>
        <v/>
      </c>
      <c r="DX870" s="1852" t="str">
        <f t="shared" si="106"/>
        <v/>
      </c>
      <c r="DY870" s="1852" t="str">
        <f t="shared" si="107"/>
        <v/>
      </c>
      <c r="DZ870" s="1852" t="str">
        <f t="shared" si="108"/>
        <v/>
      </c>
      <c r="EA870" s="1852" t="str">
        <f t="shared" si="109"/>
        <v/>
      </c>
      <c r="EB870" s="1852" t="str">
        <f t="shared" si="110"/>
        <v/>
      </c>
      <c r="EC870" s="1852" t="str">
        <f t="shared" si="111"/>
        <v/>
      </c>
      <c r="ED870" s="1852" t="str">
        <f t="shared" si="112"/>
        <v/>
      </c>
      <c r="EE870" s="1852" t="str">
        <f t="shared" si="113"/>
        <v/>
      </c>
      <c r="EF870" s="1852" t="str">
        <f t="shared" si="114"/>
        <v/>
      </c>
      <c r="EG870" s="1852" t="str">
        <f t="shared" si="115"/>
        <v/>
      </c>
      <c r="EH870" s="1852" t="str">
        <f t="shared" si="116"/>
        <v/>
      </c>
      <c r="EI870" s="1852" t="str">
        <f t="shared" si="117"/>
        <v/>
      </c>
      <c r="EJ870" s="1852" t="str">
        <f t="shared" si="118"/>
        <v/>
      </c>
      <c r="EK870" s="1852" t="str">
        <f t="shared" si="119"/>
        <v/>
      </c>
      <c r="EL870" s="1852" t="str">
        <f t="shared" si="120"/>
        <v/>
      </c>
      <c r="EM870" s="1852" t="str">
        <f t="shared" si="121"/>
        <v/>
      </c>
      <c r="EN870" s="1852" t="str">
        <f t="shared" si="122"/>
        <v/>
      </c>
      <c r="EO870" s="1852" t="str">
        <f t="shared" si="123"/>
        <v/>
      </c>
      <c r="EP870" s="1852" t="str">
        <f t="shared" si="124"/>
        <v/>
      </c>
      <c r="EQ870" s="1852" t="str">
        <f t="shared" si="125"/>
        <v/>
      </c>
      <c r="ER870" s="1852" t="str">
        <f t="shared" si="126"/>
        <v/>
      </c>
      <c r="ES870" s="1852" t="str">
        <f t="shared" si="127"/>
        <v/>
      </c>
      <c r="ET870" s="1852" t="str">
        <f t="shared" si="128"/>
        <v/>
      </c>
      <c r="EU870" s="1852" t="str">
        <f t="shared" si="129"/>
        <v/>
      </c>
      <c r="EV870" s="1852" t="str">
        <f t="shared" si="130"/>
        <v/>
      </c>
      <c r="EW870" s="1852" t="str">
        <f t="shared" si="131"/>
        <v/>
      </c>
      <c r="EX870" s="1852" t="str">
        <f t="shared" si="132"/>
        <v/>
      </c>
      <c r="EY870" s="1852" t="str">
        <f t="shared" si="133"/>
        <v/>
      </c>
      <c r="EZ870" s="1852" t="str">
        <f t="shared" si="134"/>
        <v/>
      </c>
      <c r="FA870" s="1852" t="str">
        <f t="shared" si="135"/>
        <v/>
      </c>
      <c r="FB870" s="1852" t="str">
        <f t="shared" si="136"/>
        <v/>
      </c>
      <c r="FC870" s="1852" t="str">
        <f t="shared" si="137"/>
        <v/>
      </c>
      <c r="FD870" s="1852" t="str">
        <f t="shared" si="138"/>
        <v/>
      </c>
      <c r="FE870" s="1852" t="str">
        <f t="shared" si="139"/>
        <v/>
      </c>
      <c r="FF870" s="1852" t="str">
        <f t="shared" si="140"/>
        <v/>
      </c>
      <c r="FG870" s="1852" t="str">
        <f t="shared" si="141"/>
        <v/>
      </c>
      <c r="FH870" s="1852" t="str">
        <f t="shared" si="142"/>
        <v/>
      </c>
      <c r="FI870" s="1852" t="str">
        <f t="shared" si="143"/>
        <v/>
      </c>
      <c r="FJ870" s="1852" t="str">
        <f t="shared" si="144"/>
        <v/>
      </c>
      <c r="FK870" s="1852" t="str">
        <f t="shared" si="145"/>
        <v/>
      </c>
      <c r="FL870" s="1852" t="str">
        <f t="shared" si="146"/>
        <v/>
      </c>
      <c r="FM870" s="1852" t="str">
        <f t="shared" si="147"/>
        <v/>
      </c>
      <c r="FN870" s="1852" t="str">
        <f t="shared" si="148"/>
        <v/>
      </c>
      <c r="FO870" s="1852" t="str">
        <f t="shared" si="149"/>
        <v/>
      </c>
      <c r="FP870" s="1852" t="str">
        <f t="shared" si="150"/>
        <v/>
      </c>
      <c r="FQ870" s="1852" t="str">
        <f t="shared" si="151"/>
        <v/>
      </c>
      <c r="FR870" s="1852" t="str">
        <f t="shared" si="152"/>
        <v/>
      </c>
      <c r="FS870" s="1852" t="str">
        <f t="shared" si="153"/>
        <v/>
      </c>
      <c r="FT870" s="1852" t="str">
        <f t="shared" si="154"/>
        <v/>
      </c>
      <c r="FU870" s="1852" t="str">
        <f t="shared" si="155"/>
        <v/>
      </c>
      <c r="FV870" s="1852" t="str">
        <f t="shared" si="156"/>
        <v/>
      </c>
      <c r="FW870" s="1852" t="str">
        <f t="shared" si="157"/>
        <v/>
      </c>
      <c r="FX870" s="1852" t="str">
        <f t="shared" si="158"/>
        <v/>
      </c>
      <c r="FY870" s="1852" t="str">
        <f t="shared" si="159"/>
        <v/>
      </c>
      <c r="FZ870" s="1852" t="str">
        <f t="shared" si="160"/>
        <v/>
      </c>
      <c r="GA870" s="1852" t="str">
        <f t="shared" si="161"/>
        <v/>
      </c>
      <c r="GB870" s="1852" t="str">
        <f t="shared" si="162"/>
        <v/>
      </c>
      <c r="GC870" s="1852" t="str">
        <f t="shared" si="163"/>
        <v/>
      </c>
      <c r="GD870" s="1852" t="str">
        <f t="shared" si="164"/>
        <v/>
      </c>
      <c r="GE870" s="1852" t="str">
        <f t="shared" si="165"/>
        <v/>
      </c>
      <c r="GF870" s="1852" t="str">
        <f t="shared" si="166"/>
        <v/>
      </c>
      <c r="GG870" s="1852" t="str">
        <f t="shared" si="167"/>
        <v/>
      </c>
      <c r="GH870" s="1852" t="str">
        <f t="shared" si="168"/>
        <v/>
      </c>
      <c r="GI870" s="1852" t="str">
        <f t="shared" si="169"/>
        <v/>
      </c>
      <c r="GJ870" s="1852" t="str">
        <f t="shared" si="170"/>
        <v/>
      </c>
      <c r="GK870" s="1852" t="str">
        <f t="shared" si="171"/>
        <v/>
      </c>
      <c r="GL870" s="1852" t="str">
        <f t="shared" si="172"/>
        <v/>
      </c>
      <c r="GM870" s="1852" t="str">
        <f t="shared" si="173"/>
        <v/>
      </c>
      <c r="GN870" s="1852" t="str">
        <f t="shared" si="174"/>
        <v/>
      </c>
      <c r="GO870" s="1852" t="str">
        <f t="shared" si="175"/>
        <v/>
      </c>
      <c r="GP870" s="1852" t="str">
        <f t="shared" si="176"/>
        <v/>
      </c>
      <c r="GQ870" s="1852" t="str">
        <f t="shared" si="177"/>
        <v/>
      </c>
      <c r="GR870" s="1852" t="str">
        <f t="shared" si="178"/>
        <v/>
      </c>
      <c r="GS870" s="1852" t="str">
        <f t="shared" si="179"/>
        <v/>
      </c>
      <c r="GT870" s="1852" t="str">
        <f t="shared" si="180"/>
        <v/>
      </c>
      <c r="GU870" s="1852" t="str">
        <f t="shared" si="181"/>
        <v/>
      </c>
      <c r="GV870" s="1852" t="str">
        <f t="shared" si="182"/>
        <v/>
      </c>
      <c r="GW870" s="1852" t="str">
        <f t="shared" si="183"/>
        <v/>
      </c>
      <c r="GX870" s="1852" t="str">
        <f t="shared" si="184"/>
        <v/>
      </c>
      <c r="GY870" s="1852" t="str">
        <f t="shared" si="185"/>
        <v/>
      </c>
      <c r="GZ870" s="1852" t="str">
        <f t="shared" si="186"/>
        <v/>
      </c>
      <c r="HA870" s="1852" t="str">
        <f t="shared" si="187"/>
        <v/>
      </c>
      <c r="HB870" s="1852" t="str">
        <f t="shared" si="188"/>
        <v/>
      </c>
      <c r="HC870" s="1852" t="str">
        <f t="shared" si="189"/>
        <v/>
      </c>
      <c r="HD870" s="1852" t="str">
        <f t="shared" si="190"/>
        <v/>
      </c>
      <c r="HE870" s="1852" t="str">
        <f t="shared" si="191"/>
        <v/>
      </c>
      <c r="HF870" s="1852" t="str">
        <f t="shared" si="192"/>
        <v/>
      </c>
      <c r="HG870" s="1852" t="str">
        <f t="shared" si="193"/>
        <v/>
      </c>
      <c r="HH870" s="1852" t="str">
        <f t="shared" si="194"/>
        <v/>
      </c>
      <c r="HI870" s="1852" t="str">
        <f t="shared" si="195"/>
        <v/>
      </c>
      <c r="HJ870" s="1852" t="str">
        <f t="shared" si="196"/>
        <v/>
      </c>
      <c r="HK870" s="1852" t="str">
        <f t="shared" si="197"/>
        <v/>
      </c>
      <c r="HL870" s="1852" t="str">
        <f t="shared" si="198"/>
        <v/>
      </c>
      <c r="HM870" s="1852" t="str">
        <f t="shared" si="199"/>
        <v/>
      </c>
      <c r="HN870" s="1852" t="str">
        <f t="shared" si="200"/>
        <v/>
      </c>
      <c r="HO870" s="1852" t="str">
        <f t="shared" si="201"/>
        <v/>
      </c>
      <c r="HP870" s="1852" t="str">
        <f t="shared" si="202"/>
        <v/>
      </c>
      <c r="HQ870" s="1852" t="str">
        <f t="shared" si="203"/>
        <v/>
      </c>
      <c r="HR870" s="1852" t="str">
        <f t="shared" si="204"/>
        <v/>
      </c>
      <c r="HS870" s="1852" t="str">
        <f t="shared" si="205"/>
        <v/>
      </c>
      <c r="HT870" s="1852" t="str">
        <f t="shared" si="206"/>
        <v/>
      </c>
      <c r="HU870" s="1852" t="str">
        <f t="shared" si="207"/>
        <v/>
      </c>
      <c r="HV870" s="1852" t="str">
        <f t="shared" si="208"/>
        <v/>
      </c>
      <c r="HW870" s="1852" t="str">
        <f t="shared" si="209"/>
        <v/>
      </c>
      <c r="HX870" s="1852" t="str">
        <f t="shared" si="210"/>
        <v/>
      </c>
      <c r="HY870" s="1852" t="str">
        <f t="shared" si="211"/>
        <v/>
      </c>
      <c r="HZ870" s="2140" t="str">
        <f t="shared" si="212"/>
        <v/>
      </c>
      <c r="IA870" s="2140" t="str">
        <f t="shared" si="213"/>
        <v/>
      </c>
      <c r="IB870" s="2140" t="str">
        <f t="shared" si="214"/>
        <v/>
      </c>
      <c r="IC870" s="2140" t="str">
        <f t="shared" si="215"/>
        <v/>
      </c>
      <c r="ID870" s="2140" t="str">
        <f t="shared" si="216"/>
        <v/>
      </c>
      <c r="IE870" s="2140" t="str">
        <f t="shared" si="217"/>
        <v/>
      </c>
      <c r="IF870" s="2140" t="str">
        <f t="shared" si="218"/>
        <v/>
      </c>
      <c r="IG870" s="2140" t="str">
        <f t="shared" si="219"/>
        <v/>
      </c>
      <c r="IH870" s="2140" t="str">
        <f t="shared" si="220"/>
        <v/>
      </c>
      <c r="II870" s="2140" t="str">
        <f t="shared" si="221"/>
        <v/>
      </c>
      <c r="IJ870" s="2140" t="str">
        <f t="shared" si="222"/>
        <v/>
      </c>
      <c r="IK870" s="2140" t="str">
        <f t="shared" si="223"/>
        <v/>
      </c>
      <c r="IL870" s="2140" t="str">
        <f t="shared" si="224"/>
        <v/>
      </c>
      <c r="IM870" s="2140" t="str">
        <f t="shared" si="225"/>
        <v/>
      </c>
      <c r="IN870" s="2140" t="str">
        <f t="shared" si="226"/>
        <v/>
      </c>
      <c r="IO870" s="2140" t="str">
        <f t="shared" si="227"/>
        <v/>
      </c>
      <c r="IP870" s="2140" t="str">
        <f t="shared" si="228"/>
        <v/>
      </c>
      <c r="IQ870" s="2140" t="str">
        <f t="shared" si="229"/>
        <v/>
      </c>
      <c r="IR870" s="2140" t="str">
        <f t="shared" si="230"/>
        <v/>
      </c>
      <c r="IS870" s="2140" t="str">
        <f t="shared" si="231"/>
        <v/>
      </c>
      <c r="IT870" s="2140" t="str">
        <f t="shared" si="232"/>
        <v/>
      </c>
      <c r="IU870" s="2140" t="str">
        <f t="shared" si="233"/>
        <v/>
      </c>
      <c r="IV870" s="2140" t="str">
        <f t="shared" si="234"/>
        <v/>
      </c>
      <c r="IW870" s="2140" t="str">
        <f t="shared" si="235"/>
        <v/>
      </c>
      <c r="IX870" s="2140" t="str">
        <f t="shared" si="236"/>
        <v/>
      </c>
      <c r="IY870" s="2140" t="str">
        <f t="shared" si="237"/>
        <v/>
      </c>
      <c r="IZ870" s="2140" t="str">
        <f t="shared" si="238"/>
        <v/>
      </c>
      <c r="JA870" s="2140" t="str">
        <f t="shared" si="239"/>
        <v/>
      </c>
      <c r="JB870" s="2140" t="str">
        <f t="shared" si="240"/>
        <v/>
      </c>
      <c r="JC870" s="2140" t="str">
        <f t="shared" si="241"/>
        <v/>
      </c>
      <c r="JD870" s="2140" t="str">
        <f t="shared" si="242"/>
        <v/>
      </c>
      <c r="JE870" s="2140" t="str">
        <f t="shared" si="243"/>
        <v/>
      </c>
      <c r="JF870" s="2140" t="str">
        <f t="shared" si="244"/>
        <v/>
      </c>
      <c r="JG870" s="2140" t="str">
        <f t="shared" si="245"/>
        <v/>
      </c>
      <c r="JH870" s="2140" t="str">
        <f t="shared" si="246"/>
        <v/>
      </c>
      <c r="JI870" s="2140" t="str">
        <f t="shared" si="247"/>
        <v/>
      </c>
      <c r="JJ870" s="2140" t="str">
        <f t="shared" si="248"/>
        <v/>
      </c>
      <c r="JK870" s="2140" t="str">
        <f t="shared" si="249"/>
        <v/>
      </c>
      <c r="JL870" s="2140" t="str">
        <f t="shared" si="250"/>
        <v/>
      </c>
      <c r="JM870" s="2140" t="str">
        <f t="shared" si="251"/>
        <v/>
      </c>
      <c r="JN870" s="2140" t="str">
        <f t="shared" si="252"/>
        <v/>
      </c>
      <c r="JO870" s="2140" t="str">
        <f t="shared" si="253"/>
        <v/>
      </c>
      <c r="JP870" s="2140" t="str">
        <f t="shared" si="254"/>
        <v/>
      </c>
      <c r="JQ870" s="2140" t="str">
        <f t="shared" si="255"/>
        <v/>
      </c>
      <c r="JR870" s="2140" t="str">
        <f t="shared" si="256"/>
        <v/>
      </c>
      <c r="JS870" s="2140" t="str">
        <f t="shared" si="257"/>
        <v/>
      </c>
      <c r="JT870" s="2140" t="str">
        <f t="shared" si="258"/>
        <v/>
      </c>
      <c r="JU870" s="2140" t="str">
        <f t="shared" si="259"/>
        <v/>
      </c>
      <c r="JV870" s="2140" t="str">
        <f t="shared" si="260"/>
        <v/>
      </c>
      <c r="JW870" s="2140" t="str">
        <f t="shared" si="261"/>
        <v/>
      </c>
      <c r="JX870" s="2140" t="str">
        <f t="shared" si="262"/>
        <v/>
      </c>
      <c r="JY870" s="2140" t="str">
        <f t="shared" si="263"/>
        <v/>
      </c>
      <c r="JZ870" s="2140" t="str">
        <f t="shared" si="264"/>
        <v/>
      </c>
      <c r="KA870" s="2140" t="str">
        <f t="shared" si="265"/>
        <v/>
      </c>
      <c r="KB870" s="2140" t="str">
        <f t="shared" si="266"/>
        <v/>
      </c>
      <c r="KC870" s="2140" t="str">
        <f t="shared" si="267"/>
        <v/>
      </c>
      <c r="KD870" s="2140" t="str">
        <f t="shared" si="268"/>
        <v/>
      </c>
      <c r="KE870" s="2140" t="str">
        <f t="shared" si="269"/>
        <v/>
      </c>
      <c r="KF870" s="2140" t="str">
        <f t="shared" si="270"/>
        <v/>
      </c>
      <c r="KG870" s="2140" t="str">
        <f t="shared" si="271"/>
        <v/>
      </c>
      <c r="KH870" s="2140" t="str">
        <f t="shared" si="272"/>
        <v/>
      </c>
      <c r="KI870" s="2140" t="str">
        <f t="shared" si="273"/>
        <v/>
      </c>
      <c r="KJ870" s="2140" t="str">
        <f t="shared" si="274"/>
        <v/>
      </c>
      <c r="KK870" s="2140" t="str">
        <f t="shared" si="275"/>
        <v/>
      </c>
      <c r="KL870" s="2140" t="str">
        <f t="shared" si="276"/>
        <v/>
      </c>
      <c r="KM870" s="2140" t="str">
        <f t="shared" si="277"/>
        <v/>
      </c>
      <c r="KN870" s="2140" t="str">
        <f t="shared" si="278"/>
        <v/>
      </c>
      <c r="KO870" s="2140" t="str">
        <f t="shared" si="279"/>
        <v/>
      </c>
      <c r="KP870" s="2140" t="str">
        <f t="shared" si="280"/>
        <v/>
      </c>
      <c r="KQ870" s="2140" t="str">
        <f t="shared" si="281"/>
        <v/>
      </c>
      <c r="KR870" s="2140" t="str">
        <f t="shared" si="282"/>
        <v/>
      </c>
      <c r="KS870" s="2140" t="str">
        <f t="shared" si="283"/>
        <v/>
      </c>
      <c r="KT870" s="2140" t="str">
        <f t="shared" si="284"/>
        <v/>
      </c>
      <c r="KU870" s="2140" t="str">
        <f t="shared" si="285"/>
        <v/>
      </c>
      <c r="KV870" s="2140" t="str">
        <f t="shared" si="286"/>
        <v/>
      </c>
      <c r="KW870" s="2140" t="str">
        <f t="shared" si="287"/>
        <v/>
      </c>
      <c r="KX870" s="2140" t="str">
        <f t="shared" si="288"/>
        <v/>
      </c>
      <c r="KY870" s="2140" t="str">
        <f t="shared" si="289"/>
        <v/>
      </c>
      <c r="KZ870" s="2140" t="str">
        <f t="shared" si="290"/>
        <v/>
      </c>
      <c r="LA870" s="2140" t="str">
        <f t="shared" si="291"/>
        <v/>
      </c>
      <c r="LB870" s="2140" t="str">
        <f t="shared" si="292"/>
        <v/>
      </c>
      <c r="LC870" s="2140" t="str">
        <f t="shared" si="293"/>
        <v/>
      </c>
      <c r="LD870" s="2140" t="str">
        <f t="shared" si="294"/>
        <v/>
      </c>
      <c r="LE870" s="2140" t="str">
        <f t="shared" si="295"/>
        <v/>
      </c>
      <c r="LF870" s="2140" t="str">
        <f t="shared" si="296"/>
        <v/>
      </c>
      <c r="LG870" s="2051" t="str">
        <f t="shared" si="297"/>
        <v/>
      </c>
      <c r="LH870" s="2051" t="str">
        <f t="shared" si="298"/>
        <v/>
      </c>
      <c r="LI870" s="2051" t="str">
        <f t="shared" si="299"/>
        <v/>
      </c>
      <c r="LJ870" s="2051" t="str">
        <f t="shared" si="300"/>
        <v/>
      </c>
      <c r="LK870" s="2051" t="str">
        <f t="shared" si="301"/>
        <v/>
      </c>
      <c r="LL870" s="1852" t="str">
        <f t="shared" si="302"/>
        <v/>
      </c>
      <c r="LM870" s="1852" t="str">
        <f t="shared" si="303"/>
        <v/>
      </c>
      <c r="LN870" s="1852" t="str">
        <f t="shared" si="304"/>
        <v/>
      </c>
      <c r="LO870" s="1852" t="str">
        <f t="shared" si="305"/>
        <v/>
      </c>
      <c r="LP870" s="1852" t="str">
        <f t="shared" si="306"/>
        <v/>
      </c>
      <c r="LQ870" s="1852" t="str">
        <f t="shared" si="307"/>
        <v/>
      </c>
      <c r="LR870" s="1852" t="str">
        <f t="shared" si="308"/>
        <v/>
      </c>
      <c r="LS870" s="1852" t="str">
        <f t="shared" si="309"/>
        <v/>
      </c>
      <c r="LT870" s="1852" t="str">
        <f t="shared" si="310"/>
        <v/>
      </c>
      <c r="LU870" s="1852" t="str">
        <f t="shared" si="311"/>
        <v/>
      </c>
      <c r="LV870" s="1852" t="str">
        <f t="shared" si="312"/>
        <v/>
      </c>
      <c r="LW870" s="1852" t="str">
        <f t="shared" si="313"/>
        <v/>
      </c>
      <c r="LX870" s="1852" t="str">
        <f t="shared" si="314"/>
        <v/>
      </c>
      <c r="LY870" s="1852" t="str">
        <f t="shared" si="315"/>
        <v/>
      </c>
      <c r="LZ870" s="1852" t="str">
        <f t="shared" si="316"/>
        <v/>
      </c>
      <c r="MA870" s="1852" t="str">
        <f t="shared" si="317"/>
        <v/>
      </c>
      <c r="MB870" s="1852" t="str">
        <f t="shared" si="318"/>
        <v/>
      </c>
      <c r="MC870" s="1852" t="str">
        <f t="shared" si="319"/>
        <v/>
      </c>
      <c r="MD870" s="1852" t="str">
        <f t="shared" si="320"/>
        <v/>
      </c>
      <c r="ME870" s="1852" t="str">
        <f t="shared" si="321"/>
        <v/>
      </c>
      <c r="MF870" s="2051">
        <f t="shared" si="328"/>
        <v>0</v>
      </c>
      <c r="MG870" s="2051">
        <f t="shared" si="329"/>
        <v>0</v>
      </c>
      <c r="MH870" s="2051">
        <f t="shared" si="330"/>
        <v>0</v>
      </c>
      <c r="MI870" s="2051">
        <f t="shared" si="331"/>
        <v>0</v>
      </c>
      <c r="MJ870" s="2051">
        <f t="shared" si="332"/>
        <v>0</v>
      </c>
      <c r="MK870" s="2051">
        <f t="shared" si="333"/>
        <v>0</v>
      </c>
      <c r="ML870" s="2051">
        <f t="shared" si="334"/>
        <v>0</v>
      </c>
      <c r="MM870" s="2051">
        <f t="shared" si="335"/>
        <v>0</v>
      </c>
      <c r="MN870" s="2051">
        <f t="shared" si="336"/>
        <v>0</v>
      </c>
      <c r="MO870" s="2051">
        <f t="shared" si="337"/>
        <v>0</v>
      </c>
      <c r="MP870" s="2051">
        <f t="shared" si="322"/>
        <v>0</v>
      </c>
      <c r="MQ870" s="2051">
        <f t="shared" si="323"/>
        <v>0</v>
      </c>
      <c r="MR870" s="2051">
        <f t="shared" si="324"/>
        <v>0</v>
      </c>
      <c r="MS870" s="2051">
        <f t="shared" si="325"/>
        <v>0</v>
      </c>
      <c r="MT870" s="2051">
        <f t="shared" si="326"/>
        <v>0</v>
      </c>
      <c r="NP870" s="1924" t="s">
        <v>6739</v>
      </c>
    </row>
    <row r="871" spans="1:380" s="1852" customFormat="1" ht="13.9" customHeight="1">
      <c r="A871" s="2108" t="str">
        <f t="shared" si="327"/>
        <v/>
      </c>
      <c r="B871" s="2130">
        <f>'Part VI-Revenues &amp; Expenses'!B31</f>
        <v>0</v>
      </c>
      <c r="C871" s="2131">
        <f>'Part VI-Revenues &amp; Expenses'!C31</f>
        <v>0</v>
      </c>
      <c r="D871" s="2132">
        <f>'Part VI-Revenues &amp; Expenses'!D31</f>
        <v>0</v>
      </c>
      <c r="E871" s="2133">
        <f>'Part VI-Revenues &amp; Expenses'!E31</f>
        <v>0</v>
      </c>
      <c r="F871" s="2133">
        <f>'Part VI-Revenues &amp; Expenses'!F31</f>
        <v>0</v>
      </c>
      <c r="G871" s="2133">
        <f>'Part VI-Revenues &amp; Expenses'!G31</f>
        <v>0</v>
      </c>
      <c r="H871" s="2133">
        <f>'Part VI-Revenues &amp; Expenses'!H31</f>
        <v>0</v>
      </c>
      <c r="I871" s="2133">
        <f>'Part VI-Revenues &amp; Expenses'!I31</f>
        <v>0</v>
      </c>
      <c r="J871" s="2133">
        <f>'Part VI-Revenues &amp; Expenses'!J31</f>
        <v>0</v>
      </c>
      <c r="K871" s="2134">
        <f>'Part VI-Revenues &amp; Expenses'!K31</f>
        <v>0</v>
      </c>
      <c r="L871" s="2135">
        <f t="shared" si="0"/>
        <v>0</v>
      </c>
      <c r="M871" s="2135">
        <f t="shared" si="1"/>
        <v>0</v>
      </c>
      <c r="N871" s="1916">
        <f>'Part VI-Revenues &amp; Expenses'!N31</f>
        <v>0</v>
      </c>
      <c r="O871" s="2136">
        <f>'Part VI-Revenues &amp; Expenses'!O31</f>
        <v>0</v>
      </c>
      <c r="P871" s="1916">
        <f>'Part VI-Revenues &amp; Expenses'!P31</f>
        <v>0</v>
      </c>
      <c r="Q871" s="2137">
        <f>'Part VI-Revenues &amp; Expenses'!Q31</f>
        <v>0</v>
      </c>
      <c r="R871" s="2138"/>
      <c r="S871" s="2139"/>
      <c r="T871" s="2043"/>
      <c r="U871" s="2043"/>
      <c r="V871" s="2043"/>
      <c r="W871" s="2043"/>
      <c r="X871" s="1852" t="str">
        <f t="shared" si="2"/>
        <v/>
      </c>
      <c r="Y871" s="1852" t="str">
        <f t="shared" si="3"/>
        <v/>
      </c>
      <c r="Z871" s="1852" t="str">
        <f t="shared" si="4"/>
        <v/>
      </c>
      <c r="AA871" s="1852" t="str">
        <f t="shared" si="5"/>
        <v/>
      </c>
      <c r="AB871" s="1852" t="str">
        <f t="shared" si="6"/>
        <v/>
      </c>
      <c r="AC871" s="1852" t="str">
        <f t="shared" si="7"/>
        <v/>
      </c>
      <c r="AD871" s="1852" t="str">
        <f t="shared" si="8"/>
        <v/>
      </c>
      <c r="AE871" s="1852" t="str">
        <f t="shared" si="9"/>
        <v/>
      </c>
      <c r="AF871" s="1852" t="str">
        <f t="shared" si="10"/>
        <v/>
      </c>
      <c r="AG871" s="1852" t="str">
        <f t="shared" si="11"/>
        <v/>
      </c>
      <c r="AH871" s="1852" t="str">
        <f t="shared" si="12"/>
        <v/>
      </c>
      <c r="AI871" s="1852" t="str">
        <f t="shared" si="13"/>
        <v/>
      </c>
      <c r="AJ871" s="1852" t="str">
        <f t="shared" si="14"/>
        <v/>
      </c>
      <c r="AK871" s="1852" t="str">
        <f t="shared" si="15"/>
        <v/>
      </c>
      <c r="AL871" s="1852" t="str">
        <f t="shared" si="16"/>
        <v/>
      </c>
      <c r="AM871" s="1852" t="str">
        <f t="shared" si="17"/>
        <v/>
      </c>
      <c r="AN871" s="1852" t="str">
        <f t="shared" si="18"/>
        <v/>
      </c>
      <c r="AO871" s="1852" t="str">
        <f t="shared" si="19"/>
        <v/>
      </c>
      <c r="AP871" s="1852" t="str">
        <f t="shared" si="20"/>
        <v/>
      </c>
      <c r="AQ871" s="1852" t="str">
        <f t="shared" si="21"/>
        <v/>
      </c>
      <c r="AR871" s="1852" t="str">
        <f t="shared" si="22"/>
        <v/>
      </c>
      <c r="AS871" s="1852" t="str">
        <f t="shared" si="23"/>
        <v/>
      </c>
      <c r="AT871" s="1852" t="str">
        <f t="shared" si="24"/>
        <v/>
      </c>
      <c r="AU871" s="1852" t="str">
        <f t="shared" si="25"/>
        <v/>
      </c>
      <c r="AV871" s="1852" t="str">
        <f t="shared" si="26"/>
        <v/>
      </c>
      <c r="AW871" s="1852" t="str">
        <f t="shared" si="27"/>
        <v/>
      </c>
      <c r="AX871" s="1852" t="str">
        <f t="shared" si="28"/>
        <v/>
      </c>
      <c r="AY871" s="1852" t="str">
        <f t="shared" si="29"/>
        <v/>
      </c>
      <c r="AZ871" s="1852" t="str">
        <f t="shared" si="30"/>
        <v/>
      </c>
      <c r="BA871" s="1852" t="str">
        <f t="shared" si="31"/>
        <v/>
      </c>
      <c r="BB871" s="1852" t="str">
        <f t="shared" si="32"/>
        <v/>
      </c>
      <c r="BC871" s="1852" t="str">
        <f t="shared" si="33"/>
        <v/>
      </c>
      <c r="BD871" s="1852" t="str">
        <f t="shared" si="34"/>
        <v/>
      </c>
      <c r="BE871" s="1852" t="str">
        <f t="shared" si="35"/>
        <v/>
      </c>
      <c r="BF871" s="1852" t="str">
        <f t="shared" si="36"/>
        <v/>
      </c>
      <c r="BG871" s="1852" t="str">
        <f t="shared" si="37"/>
        <v/>
      </c>
      <c r="BH871" s="1852" t="str">
        <f t="shared" si="38"/>
        <v/>
      </c>
      <c r="BI871" s="1852" t="str">
        <f t="shared" si="39"/>
        <v/>
      </c>
      <c r="BJ871" s="1852" t="str">
        <f t="shared" si="40"/>
        <v/>
      </c>
      <c r="BK871" s="1852" t="str">
        <f t="shared" si="41"/>
        <v/>
      </c>
      <c r="BL871" s="1852" t="str">
        <f t="shared" si="42"/>
        <v/>
      </c>
      <c r="BM871" s="1852" t="str">
        <f t="shared" si="43"/>
        <v/>
      </c>
      <c r="BN871" s="1852" t="str">
        <f t="shared" si="44"/>
        <v/>
      </c>
      <c r="BO871" s="1852" t="str">
        <f t="shared" si="45"/>
        <v/>
      </c>
      <c r="BP871" s="1852" t="str">
        <f t="shared" si="46"/>
        <v/>
      </c>
      <c r="BQ871" s="1852" t="str">
        <f t="shared" si="47"/>
        <v/>
      </c>
      <c r="BR871" s="1852" t="str">
        <f t="shared" si="48"/>
        <v/>
      </c>
      <c r="BS871" s="1852" t="str">
        <f t="shared" si="49"/>
        <v/>
      </c>
      <c r="BT871" s="1852" t="str">
        <f t="shared" si="50"/>
        <v/>
      </c>
      <c r="BU871" s="1852" t="str">
        <f t="shared" si="51"/>
        <v/>
      </c>
      <c r="BV871" s="1852" t="str">
        <f t="shared" si="52"/>
        <v/>
      </c>
      <c r="BW871" s="1852" t="str">
        <f t="shared" si="53"/>
        <v/>
      </c>
      <c r="BX871" s="1852" t="str">
        <f t="shared" si="54"/>
        <v/>
      </c>
      <c r="BY871" s="1852" t="str">
        <f t="shared" si="55"/>
        <v/>
      </c>
      <c r="BZ871" s="1852" t="str">
        <f t="shared" si="56"/>
        <v/>
      </c>
      <c r="CA871" s="1852" t="str">
        <f t="shared" si="57"/>
        <v/>
      </c>
      <c r="CB871" s="1852" t="str">
        <f t="shared" si="58"/>
        <v/>
      </c>
      <c r="CC871" s="1852" t="str">
        <f t="shared" si="59"/>
        <v/>
      </c>
      <c r="CD871" s="1852" t="str">
        <f t="shared" si="60"/>
        <v/>
      </c>
      <c r="CE871" s="1852" t="str">
        <f t="shared" si="61"/>
        <v/>
      </c>
      <c r="CF871" s="1852" t="str">
        <f t="shared" si="62"/>
        <v/>
      </c>
      <c r="CG871" s="1852" t="str">
        <f t="shared" si="63"/>
        <v/>
      </c>
      <c r="CH871" s="1852" t="str">
        <f t="shared" si="64"/>
        <v/>
      </c>
      <c r="CI871" s="1852" t="str">
        <f t="shared" si="65"/>
        <v/>
      </c>
      <c r="CJ871" s="1852" t="str">
        <f t="shared" si="66"/>
        <v/>
      </c>
      <c r="CK871" s="1852" t="str">
        <f t="shared" si="67"/>
        <v/>
      </c>
      <c r="CL871" s="1852" t="str">
        <f t="shared" si="68"/>
        <v/>
      </c>
      <c r="CM871" s="1852" t="str">
        <f t="shared" si="69"/>
        <v/>
      </c>
      <c r="CN871" s="1852" t="str">
        <f t="shared" si="70"/>
        <v/>
      </c>
      <c r="CO871" s="1852" t="str">
        <f t="shared" si="71"/>
        <v/>
      </c>
      <c r="CP871" s="1852" t="str">
        <f t="shared" si="72"/>
        <v/>
      </c>
      <c r="CQ871" s="1852" t="str">
        <f t="shared" si="73"/>
        <v/>
      </c>
      <c r="CR871" s="1852" t="str">
        <f t="shared" si="74"/>
        <v/>
      </c>
      <c r="CS871" s="1852" t="str">
        <f t="shared" si="75"/>
        <v/>
      </c>
      <c r="CT871" s="1852" t="str">
        <f t="shared" si="76"/>
        <v/>
      </c>
      <c r="CU871" s="1852" t="str">
        <f t="shared" si="77"/>
        <v/>
      </c>
      <c r="CV871" s="1852" t="str">
        <f t="shared" si="78"/>
        <v/>
      </c>
      <c r="CW871" s="1852" t="str">
        <f t="shared" si="79"/>
        <v/>
      </c>
      <c r="CX871" s="1852" t="str">
        <f t="shared" si="80"/>
        <v/>
      </c>
      <c r="CY871" s="1852" t="str">
        <f t="shared" si="81"/>
        <v/>
      </c>
      <c r="CZ871" s="1852" t="str">
        <f t="shared" si="82"/>
        <v/>
      </c>
      <c r="DA871" s="1852" t="str">
        <f t="shared" si="83"/>
        <v/>
      </c>
      <c r="DB871" s="1852" t="str">
        <f t="shared" si="84"/>
        <v/>
      </c>
      <c r="DC871" s="1852" t="str">
        <f t="shared" si="85"/>
        <v/>
      </c>
      <c r="DD871" s="1852" t="str">
        <f t="shared" si="86"/>
        <v/>
      </c>
      <c r="DE871" s="1852" t="str">
        <f t="shared" si="87"/>
        <v/>
      </c>
      <c r="DF871" s="1852" t="str">
        <f t="shared" si="88"/>
        <v/>
      </c>
      <c r="DG871" s="1852" t="str">
        <f t="shared" si="89"/>
        <v/>
      </c>
      <c r="DH871" s="1852" t="str">
        <f t="shared" si="90"/>
        <v/>
      </c>
      <c r="DI871" s="1852" t="str">
        <f t="shared" si="91"/>
        <v/>
      </c>
      <c r="DJ871" s="1852" t="str">
        <f t="shared" si="92"/>
        <v/>
      </c>
      <c r="DK871" s="1852" t="str">
        <f t="shared" si="93"/>
        <v/>
      </c>
      <c r="DL871" s="1852" t="str">
        <f t="shared" si="94"/>
        <v/>
      </c>
      <c r="DM871" s="1852" t="str">
        <f t="shared" si="95"/>
        <v/>
      </c>
      <c r="DN871" s="1852" t="str">
        <f t="shared" si="96"/>
        <v/>
      </c>
      <c r="DO871" s="1852" t="str">
        <f t="shared" si="97"/>
        <v/>
      </c>
      <c r="DP871" s="1852" t="str">
        <f t="shared" si="98"/>
        <v/>
      </c>
      <c r="DQ871" s="1852" t="str">
        <f t="shared" si="99"/>
        <v/>
      </c>
      <c r="DR871" s="1852" t="str">
        <f t="shared" si="100"/>
        <v/>
      </c>
      <c r="DS871" s="1852" t="str">
        <f t="shared" si="101"/>
        <v/>
      </c>
      <c r="DT871" s="1852" t="str">
        <f t="shared" si="102"/>
        <v/>
      </c>
      <c r="DU871" s="1852" t="str">
        <f t="shared" si="103"/>
        <v/>
      </c>
      <c r="DV871" s="1852" t="str">
        <f t="shared" si="104"/>
        <v/>
      </c>
      <c r="DW871" s="1852" t="str">
        <f t="shared" si="105"/>
        <v/>
      </c>
      <c r="DX871" s="1852" t="str">
        <f t="shared" si="106"/>
        <v/>
      </c>
      <c r="DY871" s="1852" t="str">
        <f t="shared" si="107"/>
        <v/>
      </c>
      <c r="DZ871" s="1852" t="str">
        <f t="shared" si="108"/>
        <v/>
      </c>
      <c r="EA871" s="1852" t="str">
        <f t="shared" si="109"/>
        <v/>
      </c>
      <c r="EB871" s="1852" t="str">
        <f t="shared" si="110"/>
        <v/>
      </c>
      <c r="EC871" s="1852" t="str">
        <f t="shared" si="111"/>
        <v/>
      </c>
      <c r="ED871" s="1852" t="str">
        <f t="shared" si="112"/>
        <v/>
      </c>
      <c r="EE871" s="1852" t="str">
        <f t="shared" si="113"/>
        <v/>
      </c>
      <c r="EF871" s="1852" t="str">
        <f t="shared" si="114"/>
        <v/>
      </c>
      <c r="EG871" s="1852" t="str">
        <f t="shared" si="115"/>
        <v/>
      </c>
      <c r="EH871" s="1852" t="str">
        <f t="shared" si="116"/>
        <v/>
      </c>
      <c r="EI871" s="1852" t="str">
        <f t="shared" si="117"/>
        <v/>
      </c>
      <c r="EJ871" s="1852" t="str">
        <f t="shared" si="118"/>
        <v/>
      </c>
      <c r="EK871" s="1852" t="str">
        <f t="shared" si="119"/>
        <v/>
      </c>
      <c r="EL871" s="1852" t="str">
        <f t="shared" si="120"/>
        <v/>
      </c>
      <c r="EM871" s="1852" t="str">
        <f t="shared" si="121"/>
        <v/>
      </c>
      <c r="EN871" s="1852" t="str">
        <f t="shared" si="122"/>
        <v/>
      </c>
      <c r="EO871" s="1852" t="str">
        <f t="shared" si="123"/>
        <v/>
      </c>
      <c r="EP871" s="1852" t="str">
        <f t="shared" si="124"/>
        <v/>
      </c>
      <c r="EQ871" s="1852" t="str">
        <f t="shared" si="125"/>
        <v/>
      </c>
      <c r="ER871" s="1852" t="str">
        <f t="shared" si="126"/>
        <v/>
      </c>
      <c r="ES871" s="1852" t="str">
        <f t="shared" si="127"/>
        <v/>
      </c>
      <c r="ET871" s="1852" t="str">
        <f t="shared" si="128"/>
        <v/>
      </c>
      <c r="EU871" s="1852" t="str">
        <f t="shared" si="129"/>
        <v/>
      </c>
      <c r="EV871" s="1852" t="str">
        <f t="shared" si="130"/>
        <v/>
      </c>
      <c r="EW871" s="1852" t="str">
        <f t="shared" si="131"/>
        <v/>
      </c>
      <c r="EX871" s="1852" t="str">
        <f t="shared" si="132"/>
        <v/>
      </c>
      <c r="EY871" s="1852" t="str">
        <f t="shared" si="133"/>
        <v/>
      </c>
      <c r="EZ871" s="1852" t="str">
        <f t="shared" si="134"/>
        <v/>
      </c>
      <c r="FA871" s="1852" t="str">
        <f t="shared" si="135"/>
        <v/>
      </c>
      <c r="FB871" s="1852" t="str">
        <f t="shared" si="136"/>
        <v/>
      </c>
      <c r="FC871" s="1852" t="str">
        <f t="shared" si="137"/>
        <v/>
      </c>
      <c r="FD871" s="1852" t="str">
        <f t="shared" si="138"/>
        <v/>
      </c>
      <c r="FE871" s="1852" t="str">
        <f t="shared" si="139"/>
        <v/>
      </c>
      <c r="FF871" s="1852" t="str">
        <f t="shared" si="140"/>
        <v/>
      </c>
      <c r="FG871" s="1852" t="str">
        <f t="shared" si="141"/>
        <v/>
      </c>
      <c r="FH871" s="1852" t="str">
        <f t="shared" si="142"/>
        <v/>
      </c>
      <c r="FI871" s="1852" t="str">
        <f t="shared" si="143"/>
        <v/>
      </c>
      <c r="FJ871" s="1852" t="str">
        <f t="shared" si="144"/>
        <v/>
      </c>
      <c r="FK871" s="1852" t="str">
        <f t="shared" si="145"/>
        <v/>
      </c>
      <c r="FL871" s="1852" t="str">
        <f t="shared" si="146"/>
        <v/>
      </c>
      <c r="FM871" s="1852" t="str">
        <f t="shared" si="147"/>
        <v/>
      </c>
      <c r="FN871" s="1852" t="str">
        <f t="shared" si="148"/>
        <v/>
      </c>
      <c r="FO871" s="1852" t="str">
        <f t="shared" si="149"/>
        <v/>
      </c>
      <c r="FP871" s="1852" t="str">
        <f t="shared" si="150"/>
        <v/>
      </c>
      <c r="FQ871" s="1852" t="str">
        <f t="shared" si="151"/>
        <v/>
      </c>
      <c r="FR871" s="1852" t="str">
        <f t="shared" si="152"/>
        <v/>
      </c>
      <c r="FS871" s="1852" t="str">
        <f t="shared" si="153"/>
        <v/>
      </c>
      <c r="FT871" s="1852" t="str">
        <f t="shared" si="154"/>
        <v/>
      </c>
      <c r="FU871" s="1852" t="str">
        <f t="shared" si="155"/>
        <v/>
      </c>
      <c r="FV871" s="1852" t="str">
        <f t="shared" si="156"/>
        <v/>
      </c>
      <c r="FW871" s="1852" t="str">
        <f t="shared" si="157"/>
        <v/>
      </c>
      <c r="FX871" s="1852" t="str">
        <f t="shared" si="158"/>
        <v/>
      </c>
      <c r="FY871" s="1852" t="str">
        <f t="shared" si="159"/>
        <v/>
      </c>
      <c r="FZ871" s="1852" t="str">
        <f t="shared" si="160"/>
        <v/>
      </c>
      <c r="GA871" s="1852" t="str">
        <f t="shared" si="161"/>
        <v/>
      </c>
      <c r="GB871" s="1852" t="str">
        <f t="shared" si="162"/>
        <v/>
      </c>
      <c r="GC871" s="1852" t="str">
        <f t="shared" si="163"/>
        <v/>
      </c>
      <c r="GD871" s="1852" t="str">
        <f t="shared" si="164"/>
        <v/>
      </c>
      <c r="GE871" s="1852" t="str">
        <f t="shared" si="165"/>
        <v/>
      </c>
      <c r="GF871" s="1852" t="str">
        <f t="shared" si="166"/>
        <v/>
      </c>
      <c r="GG871" s="1852" t="str">
        <f t="shared" si="167"/>
        <v/>
      </c>
      <c r="GH871" s="1852" t="str">
        <f t="shared" si="168"/>
        <v/>
      </c>
      <c r="GI871" s="1852" t="str">
        <f t="shared" si="169"/>
        <v/>
      </c>
      <c r="GJ871" s="1852" t="str">
        <f t="shared" si="170"/>
        <v/>
      </c>
      <c r="GK871" s="1852" t="str">
        <f t="shared" si="171"/>
        <v/>
      </c>
      <c r="GL871" s="1852" t="str">
        <f t="shared" si="172"/>
        <v/>
      </c>
      <c r="GM871" s="1852" t="str">
        <f t="shared" si="173"/>
        <v/>
      </c>
      <c r="GN871" s="1852" t="str">
        <f t="shared" si="174"/>
        <v/>
      </c>
      <c r="GO871" s="1852" t="str">
        <f t="shared" si="175"/>
        <v/>
      </c>
      <c r="GP871" s="1852" t="str">
        <f t="shared" si="176"/>
        <v/>
      </c>
      <c r="GQ871" s="1852" t="str">
        <f t="shared" si="177"/>
        <v/>
      </c>
      <c r="GR871" s="1852" t="str">
        <f t="shared" si="178"/>
        <v/>
      </c>
      <c r="GS871" s="1852" t="str">
        <f t="shared" si="179"/>
        <v/>
      </c>
      <c r="GT871" s="1852" t="str">
        <f t="shared" si="180"/>
        <v/>
      </c>
      <c r="GU871" s="1852" t="str">
        <f t="shared" si="181"/>
        <v/>
      </c>
      <c r="GV871" s="1852" t="str">
        <f t="shared" si="182"/>
        <v/>
      </c>
      <c r="GW871" s="1852" t="str">
        <f t="shared" si="183"/>
        <v/>
      </c>
      <c r="GX871" s="1852" t="str">
        <f t="shared" si="184"/>
        <v/>
      </c>
      <c r="GY871" s="1852" t="str">
        <f t="shared" si="185"/>
        <v/>
      </c>
      <c r="GZ871" s="1852" t="str">
        <f t="shared" si="186"/>
        <v/>
      </c>
      <c r="HA871" s="1852" t="str">
        <f t="shared" si="187"/>
        <v/>
      </c>
      <c r="HB871" s="1852" t="str">
        <f t="shared" si="188"/>
        <v/>
      </c>
      <c r="HC871" s="1852" t="str">
        <f t="shared" si="189"/>
        <v/>
      </c>
      <c r="HD871" s="1852" t="str">
        <f t="shared" si="190"/>
        <v/>
      </c>
      <c r="HE871" s="1852" t="str">
        <f t="shared" si="191"/>
        <v/>
      </c>
      <c r="HF871" s="1852" t="str">
        <f t="shared" si="192"/>
        <v/>
      </c>
      <c r="HG871" s="1852" t="str">
        <f t="shared" si="193"/>
        <v/>
      </c>
      <c r="HH871" s="1852" t="str">
        <f t="shared" si="194"/>
        <v/>
      </c>
      <c r="HI871" s="1852" t="str">
        <f t="shared" si="195"/>
        <v/>
      </c>
      <c r="HJ871" s="1852" t="str">
        <f t="shared" si="196"/>
        <v/>
      </c>
      <c r="HK871" s="1852" t="str">
        <f t="shared" si="197"/>
        <v/>
      </c>
      <c r="HL871" s="1852" t="str">
        <f t="shared" si="198"/>
        <v/>
      </c>
      <c r="HM871" s="1852" t="str">
        <f t="shared" si="199"/>
        <v/>
      </c>
      <c r="HN871" s="1852" t="str">
        <f t="shared" si="200"/>
        <v/>
      </c>
      <c r="HO871" s="1852" t="str">
        <f t="shared" si="201"/>
        <v/>
      </c>
      <c r="HP871" s="1852" t="str">
        <f t="shared" si="202"/>
        <v/>
      </c>
      <c r="HQ871" s="1852" t="str">
        <f t="shared" si="203"/>
        <v/>
      </c>
      <c r="HR871" s="1852" t="str">
        <f t="shared" si="204"/>
        <v/>
      </c>
      <c r="HS871" s="1852" t="str">
        <f t="shared" si="205"/>
        <v/>
      </c>
      <c r="HT871" s="1852" t="str">
        <f t="shared" si="206"/>
        <v/>
      </c>
      <c r="HU871" s="1852" t="str">
        <f t="shared" si="207"/>
        <v/>
      </c>
      <c r="HV871" s="1852" t="str">
        <f t="shared" si="208"/>
        <v/>
      </c>
      <c r="HW871" s="1852" t="str">
        <f t="shared" si="209"/>
        <v/>
      </c>
      <c r="HX871" s="1852" t="str">
        <f t="shared" si="210"/>
        <v/>
      </c>
      <c r="HY871" s="1852" t="str">
        <f t="shared" si="211"/>
        <v/>
      </c>
      <c r="HZ871" s="2140" t="str">
        <f t="shared" si="212"/>
        <v/>
      </c>
      <c r="IA871" s="2140" t="str">
        <f t="shared" si="213"/>
        <v/>
      </c>
      <c r="IB871" s="2140" t="str">
        <f t="shared" si="214"/>
        <v/>
      </c>
      <c r="IC871" s="2140" t="str">
        <f t="shared" si="215"/>
        <v/>
      </c>
      <c r="ID871" s="2140" t="str">
        <f t="shared" si="216"/>
        <v/>
      </c>
      <c r="IE871" s="2140" t="str">
        <f t="shared" si="217"/>
        <v/>
      </c>
      <c r="IF871" s="2140" t="str">
        <f t="shared" si="218"/>
        <v/>
      </c>
      <c r="IG871" s="2140" t="str">
        <f t="shared" si="219"/>
        <v/>
      </c>
      <c r="IH871" s="2140" t="str">
        <f t="shared" si="220"/>
        <v/>
      </c>
      <c r="II871" s="2140" t="str">
        <f t="shared" si="221"/>
        <v/>
      </c>
      <c r="IJ871" s="2140" t="str">
        <f t="shared" si="222"/>
        <v/>
      </c>
      <c r="IK871" s="2140" t="str">
        <f t="shared" si="223"/>
        <v/>
      </c>
      <c r="IL871" s="2140" t="str">
        <f t="shared" si="224"/>
        <v/>
      </c>
      <c r="IM871" s="2140" t="str">
        <f t="shared" si="225"/>
        <v/>
      </c>
      <c r="IN871" s="2140" t="str">
        <f t="shared" si="226"/>
        <v/>
      </c>
      <c r="IO871" s="2140" t="str">
        <f t="shared" si="227"/>
        <v/>
      </c>
      <c r="IP871" s="2140" t="str">
        <f t="shared" si="228"/>
        <v/>
      </c>
      <c r="IQ871" s="2140" t="str">
        <f t="shared" si="229"/>
        <v/>
      </c>
      <c r="IR871" s="2140" t="str">
        <f t="shared" si="230"/>
        <v/>
      </c>
      <c r="IS871" s="2140" t="str">
        <f t="shared" si="231"/>
        <v/>
      </c>
      <c r="IT871" s="2140" t="str">
        <f t="shared" si="232"/>
        <v/>
      </c>
      <c r="IU871" s="2140" t="str">
        <f t="shared" si="233"/>
        <v/>
      </c>
      <c r="IV871" s="2140" t="str">
        <f t="shared" si="234"/>
        <v/>
      </c>
      <c r="IW871" s="2140" t="str">
        <f t="shared" si="235"/>
        <v/>
      </c>
      <c r="IX871" s="2140" t="str">
        <f t="shared" si="236"/>
        <v/>
      </c>
      <c r="IY871" s="2140" t="str">
        <f t="shared" si="237"/>
        <v/>
      </c>
      <c r="IZ871" s="2140" t="str">
        <f t="shared" si="238"/>
        <v/>
      </c>
      <c r="JA871" s="2140" t="str">
        <f t="shared" si="239"/>
        <v/>
      </c>
      <c r="JB871" s="2140" t="str">
        <f t="shared" si="240"/>
        <v/>
      </c>
      <c r="JC871" s="2140" t="str">
        <f t="shared" si="241"/>
        <v/>
      </c>
      <c r="JD871" s="2140" t="str">
        <f t="shared" si="242"/>
        <v/>
      </c>
      <c r="JE871" s="2140" t="str">
        <f t="shared" si="243"/>
        <v/>
      </c>
      <c r="JF871" s="2140" t="str">
        <f t="shared" si="244"/>
        <v/>
      </c>
      <c r="JG871" s="2140" t="str">
        <f t="shared" si="245"/>
        <v/>
      </c>
      <c r="JH871" s="2140" t="str">
        <f t="shared" si="246"/>
        <v/>
      </c>
      <c r="JI871" s="2140" t="str">
        <f t="shared" si="247"/>
        <v/>
      </c>
      <c r="JJ871" s="2140" t="str">
        <f t="shared" si="248"/>
        <v/>
      </c>
      <c r="JK871" s="2140" t="str">
        <f t="shared" si="249"/>
        <v/>
      </c>
      <c r="JL871" s="2140" t="str">
        <f t="shared" si="250"/>
        <v/>
      </c>
      <c r="JM871" s="2140" t="str">
        <f t="shared" si="251"/>
        <v/>
      </c>
      <c r="JN871" s="2140" t="str">
        <f t="shared" si="252"/>
        <v/>
      </c>
      <c r="JO871" s="2140" t="str">
        <f t="shared" si="253"/>
        <v/>
      </c>
      <c r="JP871" s="2140" t="str">
        <f t="shared" si="254"/>
        <v/>
      </c>
      <c r="JQ871" s="2140" t="str">
        <f t="shared" si="255"/>
        <v/>
      </c>
      <c r="JR871" s="2140" t="str">
        <f t="shared" si="256"/>
        <v/>
      </c>
      <c r="JS871" s="2140" t="str">
        <f t="shared" si="257"/>
        <v/>
      </c>
      <c r="JT871" s="2140" t="str">
        <f t="shared" si="258"/>
        <v/>
      </c>
      <c r="JU871" s="2140" t="str">
        <f t="shared" si="259"/>
        <v/>
      </c>
      <c r="JV871" s="2140" t="str">
        <f t="shared" si="260"/>
        <v/>
      </c>
      <c r="JW871" s="2140" t="str">
        <f t="shared" si="261"/>
        <v/>
      </c>
      <c r="JX871" s="2140" t="str">
        <f t="shared" si="262"/>
        <v/>
      </c>
      <c r="JY871" s="2140" t="str">
        <f t="shared" si="263"/>
        <v/>
      </c>
      <c r="JZ871" s="2140" t="str">
        <f t="shared" si="264"/>
        <v/>
      </c>
      <c r="KA871" s="2140" t="str">
        <f t="shared" si="265"/>
        <v/>
      </c>
      <c r="KB871" s="2140" t="str">
        <f t="shared" si="266"/>
        <v/>
      </c>
      <c r="KC871" s="2140" t="str">
        <f t="shared" si="267"/>
        <v/>
      </c>
      <c r="KD871" s="2140" t="str">
        <f t="shared" si="268"/>
        <v/>
      </c>
      <c r="KE871" s="2140" t="str">
        <f t="shared" si="269"/>
        <v/>
      </c>
      <c r="KF871" s="2140" t="str">
        <f t="shared" si="270"/>
        <v/>
      </c>
      <c r="KG871" s="2140" t="str">
        <f t="shared" si="271"/>
        <v/>
      </c>
      <c r="KH871" s="2140" t="str">
        <f t="shared" si="272"/>
        <v/>
      </c>
      <c r="KI871" s="2140" t="str">
        <f t="shared" si="273"/>
        <v/>
      </c>
      <c r="KJ871" s="2140" t="str">
        <f t="shared" si="274"/>
        <v/>
      </c>
      <c r="KK871" s="2140" t="str">
        <f t="shared" si="275"/>
        <v/>
      </c>
      <c r="KL871" s="2140" t="str">
        <f t="shared" si="276"/>
        <v/>
      </c>
      <c r="KM871" s="2140" t="str">
        <f t="shared" si="277"/>
        <v/>
      </c>
      <c r="KN871" s="2140" t="str">
        <f t="shared" si="278"/>
        <v/>
      </c>
      <c r="KO871" s="2140" t="str">
        <f t="shared" si="279"/>
        <v/>
      </c>
      <c r="KP871" s="2140" t="str">
        <f t="shared" si="280"/>
        <v/>
      </c>
      <c r="KQ871" s="2140" t="str">
        <f t="shared" si="281"/>
        <v/>
      </c>
      <c r="KR871" s="2140" t="str">
        <f t="shared" si="282"/>
        <v/>
      </c>
      <c r="KS871" s="2140" t="str">
        <f t="shared" si="283"/>
        <v/>
      </c>
      <c r="KT871" s="2140" t="str">
        <f t="shared" si="284"/>
        <v/>
      </c>
      <c r="KU871" s="2140" t="str">
        <f t="shared" si="285"/>
        <v/>
      </c>
      <c r="KV871" s="2140" t="str">
        <f t="shared" si="286"/>
        <v/>
      </c>
      <c r="KW871" s="2140" t="str">
        <f t="shared" si="287"/>
        <v/>
      </c>
      <c r="KX871" s="2140" t="str">
        <f t="shared" si="288"/>
        <v/>
      </c>
      <c r="KY871" s="2140" t="str">
        <f t="shared" si="289"/>
        <v/>
      </c>
      <c r="KZ871" s="2140" t="str">
        <f t="shared" si="290"/>
        <v/>
      </c>
      <c r="LA871" s="2140" t="str">
        <f t="shared" si="291"/>
        <v/>
      </c>
      <c r="LB871" s="2140" t="str">
        <f t="shared" si="292"/>
        <v/>
      </c>
      <c r="LC871" s="2140" t="str">
        <f t="shared" si="293"/>
        <v/>
      </c>
      <c r="LD871" s="2140" t="str">
        <f t="shared" si="294"/>
        <v/>
      </c>
      <c r="LE871" s="2140" t="str">
        <f t="shared" si="295"/>
        <v/>
      </c>
      <c r="LF871" s="2140" t="str">
        <f t="shared" si="296"/>
        <v/>
      </c>
      <c r="LG871" s="2051" t="str">
        <f t="shared" si="297"/>
        <v/>
      </c>
      <c r="LH871" s="2051" t="str">
        <f t="shared" si="298"/>
        <v/>
      </c>
      <c r="LI871" s="2051" t="str">
        <f t="shared" si="299"/>
        <v/>
      </c>
      <c r="LJ871" s="2051" t="str">
        <f t="shared" si="300"/>
        <v/>
      </c>
      <c r="LK871" s="2051" t="str">
        <f t="shared" si="301"/>
        <v/>
      </c>
      <c r="LL871" s="1852" t="str">
        <f t="shared" si="302"/>
        <v/>
      </c>
      <c r="LM871" s="1852" t="str">
        <f t="shared" si="303"/>
        <v/>
      </c>
      <c r="LN871" s="1852" t="str">
        <f t="shared" si="304"/>
        <v/>
      </c>
      <c r="LO871" s="1852" t="str">
        <f t="shared" si="305"/>
        <v/>
      </c>
      <c r="LP871" s="1852" t="str">
        <f t="shared" si="306"/>
        <v/>
      </c>
      <c r="LQ871" s="1852" t="str">
        <f t="shared" si="307"/>
        <v/>
      </c>
      <c r="LR871" s="1852" t="str">
        <f t="shared" si="308"/>
        <v/>
      </c>
      <c r="LS871" s="1852" t="str">
        <f t="shared" si="309"/>
        <v/>
      </c>
      <c r="LT871" s="1852" t="str">
        <f t="shared" si="310"/>
        <v/>
      </c>
      <c r="LU871" s="1852" t="str">
        <f t="shared" si="311"/>
        <v/>
      </c>
      <c r="LV871" s="1852" t="str">
        <f t="shared" si="312"/>
        <v/>
      </c>
      <c r="LW871" s="1852" t="str">
        <f t="shared" si="313"/>
        <v/>
      </c>
      <c r="LX871" s="1852" t="str">
        <f t="shared" si="314"/>
        <v/>
      </c>
      <c r="LY871" s="1852" t="str">
        <f t="shared" si="315"/>
        <v/>
      </c>
      <c r="LZ871" s="1852" t="str">
        <f t="shared" si="316"/>
        <v/>
      </c>
      <c r="MA871" s="1852" t="str">
        <f t="shared" si="317"/>
        <v/>
      </c>
      <c r="MB871" s="1852" t="str">
        <f t="shared" si="318"/>
        <v/>
      </c>
      <c r="MC871" s="1852" t="str">
        <f t="shared" si="319"/>
        <v/>
      </c>
      <c r="MD871" s="1852" t="str">
        <f t="shared" si="320"/>
        <v/>
      </c>
      <c r="ME871" s="1852" t="str">
        <f t="shared" si="321"/>
        <v/>
      </c>
      <c r="MF871" s="2051">
        <f t="shared" si="328"/>
        <v>0</v>
      </c>
      <c r="MG871" s="2051">
        <f t="shared" si="329"/>
        <v>0</v>
      </c>
      <c r="MH871" s="2051">
        <f t="shared" si="330"/>
        <v>0</v>
      </c>
      <c r="MI871" s="2051">
        <f t="shared" si="331"/>
        <v>0</v>
      </c>
      <c r="MJ871" s="2051">
        <f t="shared" si="332"/>
        <v>0</v>
      </c>
      <c r="MK871" s="2051">
        <f t="shared" si="333"/>
        <v>0</v>
      </c>
      <c r="ML871" s="2051">
        <f t="shared" si="334"/>
        <v>0</v>
      </c>
      <c r="MM871" s="2051">
        <f t="shared" si="335"/>
        <v>0</v>
      </c>
      <c r="MN871" s="2051">
        <f t="shared" si="336"/>
        <v>0</v>
      </c>
      <c r="MO871" s="2051">
        <f t="shared" si="337"/>
        <v>0</v>
      </c>
      <c r="MP871" s="2051">
        <f t="shared" si="322"/>
        <v>0</v>
      </c>
      <c r="MQ871" s="2051">
        <f t="shared" si="323"/>
        <v>0</v>
      </c>
      <c r="MR871" s="2051">
        <f t="shared" si="324"/>
        <v>0</v>
      </c>
      <c r="MS871" s="2051">
        <f t="shared" si="325"/>
        <v>0</v>
      </c>
      <c r="MT871" s="2051">
        <f t="shared" si="326"/>
        <v>0</v>
      </c>
      <c r="NP871" s="1924" t="s">
        <v>6740</v>
      </c>
    </row>
    <row r="872" spans="1:380" s="1852" customFormat="1" ht="13.9" customHeight="1">
      <c r="A872" s="2108" t="str">
        <f t="shared" si="327"/>
        <v/>
      </c>
      <c r="B872" s="2130">
        <f>'Part VI-Revenues &amp; Expenses'!B32</f>
        <v>0</v>
      </c>
      <c r="C872" s="2131">
        <f>'Part VI-Revenues &amp; Expenses'!C32</f>
        <v>0</v>
      </c>
      <c r="D872" s="2132">
        <f>'Part VI-Revenues &amp; Expenses'!D32</f>
        <v>0</v>
      </c>
      <c r="E872" s="2133">
        <f>'Part VI-Revenues &amp; Expenses'!E32</f>
        <v>0</v>
      </c>
      <c r="F872" s="2133">
        <f>'Part VI-Revenues &amp; Expenses'!F32</f>
        <v>0</v>
      </c>
      <c r="G872" s="2133">
        <f>'Part VI-Revenues &amp; Expenses'!G32</f>
        <v>0</v>
      </c>
      <c r="H872" s="2133">
        <f>'Part VI-Revenues &amp; Expenses'!H32</f>
        <v>0</v>
      </c>
      <c r="I872" s="2133">
        <f>'Part VI-Revenues &amp; Expenses'!I32</f>
        <v>0</v>
      </c>
      <c r="J872" s="2133">
        <f>'Part VI-Revenues &amp; Expenses'!J32</f>
        <v>0</v>
      </c>
      <c r="K872" s="2134">
        <f>'Part VI-Revenues &amp; Expenses'!K32</f>
        <v>0</v>
      </c>
      <c r="L872" s="2135">
        <f t="shared" si="0"/>
        <v>0</v>
      </c>
      <c r="M872" s="2135">
        <f t="shared" si="1"/>
        <v>0</v>
      </c>
      <c r="N872" s="1916">
        <f>'Part VI-Revenues &amp; Expenses'!N32</f>
        <v>0</v>
      </c>
      <c r="O872" s="2136">
        <f>'Part VI-Revenues &amp; Expenses'!O32</f>
        <v>0</v>
      </c>
      <c r="P872" s="1916">
        <f>'Part VI-Revenues &amp; Expenses'!P32</f>
        <v>0</v>
      </c>
      <c r="Q872" s="2137">
        <f>'Part VI-Revenues &amp; Expenses'!Q32</f>
        <v>0</v>
      </c>
      <c r="R872" s="2138"/>
      <c r="S872" s="2139"/>
      <c r="T872" s="2043"/>
      <c r="U872" s="2043"/>
      <c r="V872" s="2043"/>
      <c r="W872" s="2043"/>
      <c r="X872" s="1852" t="str">
        <f t="shared" si="2"/>
        <v/>
      </c>
      <c r="Y872" s="1852" t="str">
        <f t="shared" si="3"/>
        <v/>
      </c>
      <c r="Z872" s="1852" t="str">
        <f t="shared" si="4"/>
        <v/>
      </c>
      <c r="AA872" s="1852" t="str">
        <f t="shared" si="5"/>
        <v/>
      </c>
      <c r="AB872" s="1852" t="str">
        <f t="shared" si="6"/>
        <v/>
      </c>
      <c r="AC872" s="1852" t="str">
        <f t="shared" si="7"/>
        <v/>
      </c>
      <c r="AD872" s="1852" t="str">
        <f t="shared" si="8"/>
        <v/>
      </c>
      <c r="AE872" s="1852" t="str">
        <f t="shared" si="9"/>
        <v/>
      </c>
      <c r="AF872" s="1852" t="str">
        <f t="shared" si="10"/>
        <v/>
      </c>
      <c r="AG872" s="1852" t="str">
        <f t="shared" si="11"/>
        <v/>
      </c>
      <c r="AH872" s="1852" t="str">
        <f t="shared" si="12"/>
        <v/>
      </c>
      <c r="AI872" s="1852" t="str">
        <f t="shared" si="13"/>
        <v/>
      </c>
      <c r="AJ872" s="1852" t="str">
        <f t="shared" si="14"/>
        <v/>
      </c>
      <c r="AK872" s="1852" t="str">
        <f t="shared" si="15"/>
        <v/>
      </c>
      <c r="AL872" s="1852" t="str">
        <f t="shared" si="16"/>
        <v/>
      </c>
      <c r="AM872" s="1852" t="str">
        <f t="shared" si="17"/>
        <v/>
      </c>
      <c r="AN872" s="1852" t="str">
        <f t="shared" si="18"/>
        <v/>
      </c>
      <c r="AO872" s="1852" t="str">
        <f t="shared" si="19"/>
        <v/>
      </c>
      <c r="AP872" s="1852" t="str">
        <f t="shared" si="20"/>
        <v/>
      </c>
      <c r="AQ872" s="1852" t="str">
        <f t="shared" si="21"/>
        <v/>
      </c>
      <c r="AR872" s="1852" t="str">
        <f t="shared" si="22"/>
        <v/>
      </c>
      <c r="AS872" s="1852" t="str">
        <f t="shared" si="23"/>
        <v/>
      </c>
      <c r="AT872" s="1852" t="str">
        <f t="shared" si="24"/>
        <v/>
      </c>
      <c r="AU872" s="1852" t="str">
        <f t="shared" si="25"/>
        <v/>
      </c>
      <c r="AV872" s="1852" t="str">
        <f t="shared" si="26"/>
        <v/>
      </c>
      <c r="AW872" s="1852" t="str">
        <f t="shared" si="27"/>
        <v/>
      </c>
      <c r="AX872" s="1852" t="str">
        <f t="shared" si="28"/>
        <v/>
      </c>
      <c r="AY872" s="1852" t="str">
        <f t="shared" si="29"/>
        <v/>
      </c>
      <c r="AZ872" s="1852" t="str">
        <f t="shared" si="30"/>
        <v/>
      </c>
      <c r="BA872" s="1852" t="str">
        <f t="shared" si="31"/>
        <v/>
      </c>
      <c r="BB872" s="1852" t="str">
        <f t="shared" si="32"/>
        <v/>
      </c>
      <c r="BC872" s="1852" t="str">
        <f t="shared" si="33"/>
        <v/>
      </c>
      <c r="BD872" s="1852" t="str">
        <f t="shared" si="34"/>
        <v/>
      </c>
      <c r="BE872" s="1852" t="str">
        <f t="shared" si="35"/>
        <v/>
      </c>
      <c r="BF872" s="1852" t="str">
        <f t="shared" si="36"/>
        <v/>
      </c>
      <c r="BG872" s="1852" t="str">
        <f t="shared" si="37"/>
        <v/>
      </c>
      <c r="BH872" s="1852" t="str">
        <f t="shared" si="38"/>
        <v/>
      </c>
      <c r="BI872" s="1852" t="str">
        <f t="shared" si="39"/>
        <v/>
      </c>
      <c r="BJ872" s="1852" t="str">
        <f t="shared" si="40"/>
        <v/>
      </c>
      <c r="BK872" s="1852" t="str">
        <f t="shared" si="41"/>
        <v/>
      </c>
      <c r="BL872" s="1852" t="str">
        <f t="shared" si="42"/>
        <v/>
      </c>
      <c r="BM872" s="1852" t="str">
        <f t="shared" si="43"/>
        <v/>
      </c>
      <c r="BN872" s="1852" t="str">
        <f t="shared" si="44"/>
        <v/>
      </c>
      <c r="BO872" s="1852" t="str">
        <f t="shared" si="45"/>
        <v/>
      </c>
      <c r="BP872" s="1852" t="str">
        <f t="shared" si="46"/>
        <v/>
      </c>
      <c r="BQ872" s="1852" t="str">
        <f t="shared" si="47"/>
        <v/>
      </c>
      <c r="BR872" s="1852" t="str">
        <f t="shared" si="48"/>
        <v/>
      </c>
      <c r="BS872" s="1852" t="str">
        <f t="shared" si="49"/>
        <v/>
      </c>
      <c r="BT872" s="1852" t="str">
        <f t="shared" si="50"/>
        <v/>
      </c>
      <c r="BU872" s="1852" t="str">
        <f t="shared" si="51"/>
        <v/>
      </c>
      <c r="BV872" s="1852" t="str">
        <f t="shared" si="52"/>
        <v/>
      </c>
      <c r="BW872" s="1852" t="str">
        <f t="shared" si="53"/>
        <v/>
      </c>
      <c r="BX872" s="1852" t="str">
        <f t="shared" si="54"/>
        <v/>
      </c>
      <c r="BY872" s="1852" t="str">
        <f t="shared" si="55"/>
        <v/>
      </c>
      <c r="BZ872" s="1852" t="str">
        <f t="shared" si="56"/>
        <v/>
      </c>
      <c r="CA872" s="1852" t="str">
        <f t="shared" si="57"/>
        <v/>
      </c>
      <c r="CB872" s="1852" t="str">
        <f t="shared" si="58"/>
        <v/>
      </c>
      <c r="CC872" s="1852" t="str">
        <f t="shared" si="59"/>
        <v/>
      </c>
      <c r="CD872" s="1852" t="str">
        <f t="shared" si="60"/>
        <v/>
      </c>
      <c r="CE872" s="1852" t="str">
        <f t="shared" si="61"/>
        <v/>
      </c>
      <c r="CF872" s="1852" t="str">
        <f t="shared" si="62"/>
        <v/>
      </c>
      <c r="CG872" s="1852" t="str">
        <f t="shared" si="63"/>
        <v/>
      </c>
      <c r="CH872" s="1852" t="str">
        <f t="shared" si="64"/>
        <v/>
      </c>
      <c r="CI872" s="1852" t="str">
        <f t="shared" si="65"/>
        <v/>
      </c>
      <c r="CJ872" s="1852" t="str">
        <f t="shared" si="66"/>
        <v/>
      </c>
      <c r="CK872" s="1852" t="str">
        <f t="shared" si="67"/>
        <v/>
      </c>
      <c r="CL872" s="1852" t="str">
        <f t="shared" si="68"/>
        <v/>
      </c>
      <c r="CM872" s="1852" t="str">
        <f t="shared" si="69"/>
        <v/>
      </c>
      <c r="CN872" s="1852" t="str">
        <f t="shared" si="70"/>
        <v/>
      </c>
      <c r="CO872" s="1852" t="str">
        <f t="shared" si="71"/>
        <v/>
      </c>
      <c r="CP872" s="1852" t="str">
        <f t="shared" si="72"/>
        <v/>
      </c>
      <c r="CQ872" s="1852" t="str">
        <f t="shared" si="73"/>
        <v/>
      </c>
      <c r="CR872" s="1852" t="str">
        <f t="shared" si="74"/>
        <v/>
      </c>
      <c r="CS872" s="1852" t="str">
        <f t="shared" si="75"/>
        <v/>
      </c>
      <c r="CT872" s="1852" t="str">
        <f t="shared" si="76"/>
        <v/>
      </c>
      <c r="CU872" s="1852" t="str">
        <f t="shared" si="77"/>
        <v/>
      </c>
      <c r="CV872" s="1852" t="str">
        <f t="shared" si="78"/>
        <v/>
      </c>
      <c r="CW872" s="1852" t="str">
        <f t="shared" si="79"/>
        <v/>
      </c>
      <c r="CX872" s="1852" t="str">
        <f t="shared" si="80"/>
        <v/>
      </c>
      <c r="CY872" s="1852" t="str">
        <f t="shared" si="81"/>
        <v/>
      </c>
      <c r="CZ872" s="1852" t="str">
        <f t="shared" si="82"/>
        <v/>
      </c>
      <c r="DA872" s="1852" t="str">
        <f t="shared" si="83"/>
        <v/>
      </c>
      <c r="DB872" s="1852" t="str">
        <f t="shared" si="84"/>
        <v/>
      </c>
      <c r="DC872" s="1852" t="str">
        <f t="shared" si="85"/>
        <v/>
      </c>
      <c r="DD872" s="1852" t="str">
        <f t="shared" si="86"/>
        <v/>
      </c>
      <c r="DE872" s="1852" t="str">
        <f t="shared" si="87"/>
        <v/>
      </c>
      <c r="DF872" s="1852" t="str">
        <f t="shared" si="88"/>
        <v/>
      </c>
      <c r="DG872" s="1852" t="str">
        <f t="shared" si="89"/>
        <v/>
      </c>
      <c r="DH872" s="1852" t="str">
        <f t="shared" si="90"/>
        <v/>
      </c>
      <c r="DI872" s="1852" t="str">
        <f t="shared" si="91"/>
        <v/>
      </c>
      <c r="DJ872" s="1852" t="str">
        <f t="shared" si="92"/>
        <v/>
      </c>
      <c r="DK872" s="1852" t="str">
        <f t="shared" si="93"/>
        <v/>
      </c>
      <c r="DL872" s="1852" t="str">
        <f t="shared" si="94"/>
        <v/>
      </c>
      <c r="DM872" s="1852" t="str">
        <f t="shared" si="95"/>
        <v/>
      </c>
      <c r="DN872" s="1852" t="str">
        <f t="shared" si="96"/>
        <v/>
      </c>
      <c r="DO872" s="1852" t="str">
        <f t="shared" si="97"/>
        <v/>
      </c>
      <c r="DP872" s="1852" t="str">
        <f t="shared" si="98"/>
        <v/>
      </c>
      <c r="DQ872" s="1852" t="str">
        <f t="shared" si="99"/>
        <v/>
      </c>
      <c r="DR872" s="1852" t="str">
        <f t="shared" si="100"/>
        <v/>
      </c>
      <c r="DS872" s="1852" t="str">
        <f t="shared" si="101"/>
        <v/>
      </c>
      <c r="DT872" s="1852" t="str">
        <f t="shared" si="102"/>
        <v/>
      </c>
      <c r="DU872" s="1852" t="str">
        <f t="shared" si="103"/>
        <v/>
      </c>
      <c r="DV872" s="1852" t="str">
        <f t="shared" si="104"/>
        <v/>
      </c>
      <c r="DW872" s="1852" t="str">
        <f t="shared" si="105"/>
        <v/>
      </c>
      <c r="DX872" s="1852" t="str">
        <f t="shared" si="106"/>
        <v/>
      </c>
      <c r="DY872" s="1852" t="str">
        <f t="shared" si="107"/>
        <v/>
      </c>
      <c r="DZ872" s="1852" t="str">
        <f t="shared" si="108"/>
        <v/>
      </c>
      <c r="EA872" s="1852" t="str">
        <f t="shared" si="109"/>
        <v/>
      </c>
      <c r="EB872" s="1852" t="str">
        <f t="shared" si="110"/>
        <v/>
      </c>
      <c r="EC872" s="1852" t="str">
        <f t="shared" si="111"/>
        <v/>
      </c>
      <c r="ED872" s="1852" t="str">
        <f t="shared" si="112"/>
        <v/>
      </c>
      <c r="EE872" s="1852" t="str">
        <f t="shared" si="113"/>
        <v/>
      </c>
      <c r="EF872" s="1852" t="str">
        <f t="shared" si="114"/>
        <v/>
      </c>
      <c r="EG872" s="1852" t="str">
        <f t="shared" si="115"/>
        <v/>
      </c>
      <c r="EH872" s="1852" t="str">
        <f t="shared" si="116"/>
        <v/>
      </c>
      <c r="EI872" s="1852" t="str">
        <f t="shared" si="117"/>
        <v/>
      </c>
      <c r="EJ872" s="1852" t="str">
        <f t="shared" si="118"/>
        <v/>
      </c>
      <c r="EK872" s="1852" t="str">
        <f t="shared" si="119"/>
        <v/>
      </c>
      <c r="EL872" s="1852" t="str">
        <f t="shared" si="120"/>
        <v/>
      </c>
      <c r="EM872" s="1852" t="str">
        <f t="shared" si="121"/>
        <v/>
      </c>
      <c r="EN872" s="1852" t="str">
        <f t="shared" si="122"/>
        <v/>
      </c>
      <c r="EO872" s="1852" t="str">
        <f t="shared" si="123"/>
        <v/>
      </c>
      <c r="EP872" s="1852" t="str">
        <f t="shared" si="124"/>
        <v/>
      </c>
      <c r="EQ872" s="1852" t="str">
        <f t="shared" si="125"/>
        <v/>
      </c>
      <c r="ER872" s="1852" t="str">
        <f t="shared" si="126"/>
        <v/>
      </c>
      <c r="ES872" s="1852" t="str">
        <f t="shared" si="127"/>
        <v/>
      </c>
      <c r="ET872" s="1852" t="str">
        <f t="shared" si="128"/>
        <v/>
      </c>
      <c r="EU872" s="1852" t="str">
        <f t="shared" si="129"/>
        <v/>
      </c>
      <c r="EV872" s="1852" t="str">
        <f t="shared" si="130"/>
        <v/>
      </c>
      <c r="EW872" s="1852" t="str">
        <f t="shared" si="131"/>
        <v/>
      </c>
      <c r="EX872" s="1852" t="str">
        <f t="shared" si="132"/>
        <v/>
      </c>
      <c r="EY872" s="1852" t="str">
        <f t="shared" si="133"/>
        <v/>
      </c>
      <c r="EZ872" s="1852" t="str">
        <f t="shared" si="134"/>
        <v/>
      </c>
      <c r="FA872" s="1852" t="str">
        <f t="shared" si="135"/>
        <v/>
      </c>
      <c r="FB872" s="1852" t="str">
        <f t="shared" si="136"/>
        <v/>
      </c>
      <c r="FC872" s="1852" t="str">
        <f t="shared" si="137"/>
        <v/>
      </c>
      <c r="FD872" s="1852" t="str">
        <f t="shared" si="138"/>
        <v/>
      </c>
      <c r="FE872" s="1852" t="str">
        <f t="shared" si="139"/>
        <v/>
      </c>
      <c r="FF872" s="1852" t="str">
        <f t="shared" si="140"/>
        <v/>
      </c>
      <c r="FG872" s="1852" t="str">
        <f t="shared" si="141"/>
        <v/>
      </c>
      <c r="FH872" s="1852" t="str">
        <f t="shared" si="142"/>
        <v/>
      </c>
      <c r="FI872" s="1852" t="str">
        <f t="shared" si="143"/>
        <v/>
      </c>
      <c r="FJ872" s="1852" t="str">
        <f t="shared" si="144"/>
        <v/>
      </c>
      <c r="FK872" s="1852" t="str">
        <f t="shared" si="145"/>
        <v/>
      </c>
      <c r="FL872" s="1852" t="str">
        <f t="shared" si="146"/>
        <v/>
      </c>
      <c r="FM872" s="1852" t="str">
        <f t="shared" si="147"/>
        <v/>
      </c>
      <c r="FN872" s="1852" t="str">
        <f t="shared" si="148"/>
        <v/>
      </c>
      <c r="FO872" s="1852" t="str">
        <f t="shared" si="149"/>
        <v/>
      </c>
      <c r="FP872" s="1852" t="str">
        <f t="shared" si="150"/>
        <v/>
      </c>
      <c r="FQ872" s="1852" t="str">
        <f t="shared" si="151"/>
        <v/>
      </c>
      <c r="FR872" s="1852" t="str">
        <f t="shared" si="152"/>
        <v/>
      </c>
      <c r="FS872" s="1852" t="str">
        <f t="shared" si="153"/>
        <v/>
      </c>
      <c r="FT872" s="1852" t="str">
        <f t="shared" si="154"/>
        <v/>
      </c>
      <c r="FU872" s="1852" t="str">
        <f t="shared" si="155"/>
        <v/>
      </c>
      <c r="FV872" s="1852" t="str">
        <f t="shared" si="156"/>
        <v/>
      </c>
      <c r="FW872" s="1852" t="str">
        <f t="shared" si="157"/>
        <v/>
      </c>
      <c r="FX872" s="1852" t="str">
        <f t="shared" si="158"/>
        <v/>
      </c>
      <c r="FY872" s="1852" t="str">
        <f t="shared" si="159"/>
        <v/>
      </c>
      <c r="FZ872" s="1852" t="str">
        <f t="shared" si="160"/>
        <v/>
      </c>
      <c r="GA872" s="1852" t="str">
        <f t="shared" si="161"/>
        <v/>
      </c>
      <c r="GB872" s="1852" t="str">
        <f t="shared" si="162"/>
        <v/>
      </c>
      <c r="GC872" s="1852" t="str">
        <f t="shared" si="163"/>
        <v/>
      </c>
      <c r="GD872" s="1852" t="str">
        <f t="shared" si="164"/>
        <v/>
      </c>
      <c r="GE872" s="1852" t="str">
        <f t="shared" si="165"/>
        <v/>
      </c>
      <c r="GF872" s="1852" t="str">
        <f t="shared" si="166"/>
        <v/>
      </c>
      <c r="GG872" s="1852" t="str">
        <f t="shared" si="167"/>
        <v/>
      </c>
      <c r="GH872" s="1852" t="str">
        <f t="shared" si="168"/>
        <v/>
      </c>
      <c r="GI872" s="1852" t="str">
        <f t="shared" si="169"/>
        <v/>
      </c>
      <c r="GJ872" s="1852" t="str">
        <f t="shared" si="170"/>
        <v/>
      </c>
      <c r="GK872" s="1852" t="str">
        <f t="shared" si="171"/>
        <v/>
      </c>
      <c r="GL872" s="1852" t="str">
        <f t="shared" si="172"/>
        <v/>
      </c>
      <c r="GM872" s="1852" t="str">
        <f t="shared" si="173"/>
        <v/>
      </c>
      <c r="GN872" s="1852" t="str">
        <f t="shared" si="174"/>
        <v/>
      </c>
      <c r="GO872" s="1852" t="str">
        <f t="shared" si="175"/>
        <v/>
      </c>
      <c r="GP872" s="1852" t="str">
        <f t="shared" si="176"/>
        <v/>
      </c>
      <c r="GQ872" s="1852" t="str">
        <f t="shared" si="177"/>
        <v/>
      </c>
      <c r="GR872" s="1852" t="str">
        <f t="shared" si="178"/>
        <v/>
      </c>
      <c r="GS872" s="1852" t="str">
        <f t="shared" si="179"/>
        <v/>
      </c>
      <c r="GT872" s="1852" t="str">
        <f t="shared" si="180"/>
        <v/>
      </c>
      <c r="GU872" s="1852" t="str">
        <f t="shared" si="181"/>
        <v/>
      </c>
      <c r="GV872" s="1852" t="str">
        <f t="shared" si="182"/>
        <v/>
      </c>
      <c r="GW872" s="1852" t="str">
        <f t="shared" si="183"/>
        <v/>
      </c>
      <c r="GX872" s="1852" t="str">
        <f t="shared" si="184"/>
        <v/>
      </c>
      <c r="GY872" s="1852" t="str">
        <f t="shared" si="185"/>
        <v/>
      </c>
      <c r="GZ872" s="1852" t="str">
        <f t="shared" si="186"/>
        <v/>
      </c>
      <c r="HA872" s="1852" t="str">
        <f t="shared" si="187"/>
        <v/>
      </c>
      <c r="HB872" s="1852" t="str">
        <f t="shared" si="188"/>
        <v/>
      </c>
      <c r="HC872" s="1852" t="str">
        <f t="shared" si="189"/>
        <v/>
      </c>
      <c r="HD872" s="1852" t="str">
        <f t="shared" si="190"/>
        <v/>
      </c>
      <c r="HE872" s="1852" t="str">
        <f t="shared" si="191"/>
        <v/>
      </c>
      <c r="HF872" s="1852" t="str">
        <f t="shared" si="192"/>
        <v/>
      </c>
      <c r="HG872" s="1852" t="str">
        <f t="shared" si="193"/>
        <v/>
      </c>
      <c r="HH872" s="1852" t="str">
        <f t="shared" si="194"/>
        <v/>
      </c>
      <c r="HI872" s="1852" t="str">
        <f t="shared" si="195"/>
        <v/>
      </c>
      <c r="HJ872" s="1852" t="str">
        <f t="shared" si="196"/>
        <v/>
      </c>
      <c r="HK872" s="1852" t="str">
        <f t="shared" si="197"/>
        <v/>
      </c>
      <c r="HL872" s="1852" t="str">
        <f t="shared" si="198"/>
        <v/>
      </c>
      <c r="HM872" s="1852" t="str">
        <f t="shared" si="199"/>
        <v/>
      </c>
      <c r="HN872" s="1852" t="str">
        <f t="shared" si="200"/>
        <v/>
      </c>
      <c r="HO872" s="1852" t="str">
        <f t="shared" si="201"/>
        <v/>
      </c>
      <c r="HP872" s="1852" t="str">
        <f t="shared" si="202"/>
        <v/>
      </c>
      <c r="HQ872" s="1852" t="str">
        <f t="shared" si="203"/>
        <v/>
      </c>
      <c r="HR872" s="1852" t="str">
        <f t="shared" si="204"/>
        <v/>
      </c>
      <c r="HS872" s="1852" t="str">
        <f t="shared" si="205"/>
        <v/>
      </c>
      <c r="HT872" s="1852" t="str">
        <f t="shared" si="206"/>
        <v/>
      </c>
      <c r="HU872" s="1852" t="str">
        <f t="shared" si="207"/>
        <v/>
      </c>
      <c r="HV872" s="1852" t="str">
        <f t="shared" si="208"/>
        <v/>
      </c>
      <c r="HW872" s="1852" t="str">
        <f t="shared" si="209"/>
        <v/>
      </c>
      <c r="HX872" s="1852" t="str">
        <f t="shared" si="210"/>
        <v/>
      </c>
      <c r="HY872" s="1852" t="str">
        <f t="shared" si="211"/>
        <v/>
      </c>
      <c r="HZ872" s="2140" t="str">
        <f t="shared" si="212"/>
        <v/>
      </c>
      <c r="IA872" s="2140" t="str">
        <f t="shared" si="213"/>
        <v/>
      </c>
      <c r="IB872" s="2140" t="str">
        <f t="shared" si="214"/>
        <v/>
      </c>
      <c r="IC872" s="2140" t="str">
        <f t="shared" si="215"/>
        <v/>
      </c>
      <c r="ID872" s="2140" t="str">
        <f t="shared" si="216"/>
        <v/>
      </c>
      <c r="IE872" s="2140" t="str">
        <f t="shared" si="217"/>
        <v/>
      </c>
      <c r="IF872" s="2140" t="str">
        <f t="shared" si="218"/>
        <v/>
      </c>
      <c r="IG872" s="2140" t="str">
        <f t="shared" si="219"/>
        <v/>
      </c>
      <c r="IH872" s="2140" t="str">
        <f t="shared" si="220"/>
        <v/>
      </c>
      <c r="II872" s="2140" t="str">
        <f t="shared" si="221"/>
        <v/>
      </c>
      <c r="IJ872" s="2140" t="str">
        <f t="shared" si="222"/>
        <v/>
      </c>
      <c r="IK872" s="2140" t="str">
        <f t="shared" si="223"/>
        <v/>
      </c>
      <c r="IL872" s="2140" t="str">
        <f t="shared" si="224"/>
        <v/>
      </c>
      <c r="IM872" s="2140" t="str">
        <f t="shared" si="225"/>
        <v/>
      </c>
      <c r="IN872" s="2140" t="str">
        <f t="shared" si="226"/>
        <v/>
      </c>
      <c r="IO872" s="2140" t="str">
        <f t="shared" si="227"/>
        <v/>
      </c>
      <c r="IP872" s="2140" t="str">
        <f t="shared" si="228"/>
        <v/>
      </c>
      <c r="IQ872" s="2140" t="str">
        <f t="shared" si="229"/>
        <v/>
      </c>
      <c r="IR872" s="2140" t="str">
        <f t="shared" si="230"/>
        <v/>
      </c>
      <c r="IS872" s="2140" t="str">
        <f t="shared" si="231"/>
        <v/>
      </c>
      <c r="IT872" s="2140" t="str">
        <f t="shared" si="232"/>
        <v/>
      </c>
      <c r="IU872" s="2140" t="str">
        <f t="shared" si="233"/>
        <v/>
      </c>
      <c r="IV872" s="2140" t="str">
        <f t="shared" si="234"/>
        <v/>
      </c>
      <c r="IW872" s="2140" t="str">
        <f t="shared" si="235"/>
        <v/>
      </c>
      <c r="IX872" s="2140" t="str">
        <f t="shared" si="236"/>
        <v/>
      </c>
      <c r="IY872" s="2140" t="str">
        <f t="shared" si="237"/>
        <v/>
      </c>
      <c r="IZ872" s="2140" t="str">
        <f t="shared" si="238"/>
        <v/>
      </c>
      <c r="JA872" s="2140" t="str">
        <f t="shared" si="239"/>
        <v/>
      </c>
      <c r="JB872" s="2140" t="str">
        <f t="shared" si="240"/>
        <v/>
      </c>
      <c r="JC872" s="2140" t="str">
        <f t="shared" si="241"/>
        <v/>
      </c>
      <c r="JD872" s="2140" t="str">
        <f t="shared" si="242"/>
        <v/>
      </c>
      <c r="JE872" s="2140" t="str">
        <f t="shared" si="243"/>
        <v/>
      </c>
      <c r="JF872" s="2140" t="str">
        <f t="shared" si="244"/>
        <v/>
      </c>
      <c r="JG872" s="2140" t="str">
        <f t="shared" si="245"/>
        <v/>
      </c>
      <c r="JH872" s="2140" t="str">
        <f t="shared" si="246"/>
        <v/>
      </c>
      <c r="JI872" s="2140" t="str">
        <f t="shared" si="247"/>
        <v/>
      </c>
      <c r="JJ872" s="2140" t="str">
        <f t="shared" si="248"/>
        <v/>
      </c>
      <c r="JK872" s="2140" t="str">
        <f t="shared" si="249"/>
        <v/>
      </c>
      <c r="JL872" s="2140" t="str">
        <f t="shared" si="250"/>
        <v/>
      </c>
      <c r="JM872" s="2140" t="str">
        <f t="shared" si="251"/>
        <v/>
      </c>
      <c r="JN872" s="2140" t="str">
        <f t="shared" si="252"/>
        <v/>
      </c>
      <c r="JO872" s="2140" t="str">
        <f t="shared" si="253"/>
        <v/>
      </c>
      <c r="JP872" s="2140" t="str">
        <f t="shared" si="254"/>
        <v/>
      </c>
      <c r="JQ872" s="2140" t="str">
        <f t="shared" si="255"/>
        <v/>
      </c>
      <c r="JR872" s="2140" t="str">
        <f t="shared" si="256"/>
        <v/>
      </c>
      <c r="JS872" s="2140" t="str">
        <f t="shared" si="257"/>
        <v/>
      </c>
      <c r="JT872" s="2140" t="str">
        <f t="shared" si="258"/>
        <v/>
      </c>
      <c r="JU872" s="2140" t="str">
        <f t="shared" si="259"/>
        <v/>
      </c>
      <c r="JV872" s="2140" t="str">
        <f t="shared" si="260"/>
        <v/>
      </c>
      <c r="JW872" s="2140" t="str">
        <f t="shared" si="261"/>
        <v/>
      </c>
      <c r="JX872" s="2140" t="str">
        <f t="shared" si="262"/>
        <v/>
      </c>
      <c r="JY872" s="2140" t="str">
        <f t="shared" si="263"/>
        <v/>
      </c>
      <c r="JZ872" s="2140" t="str">
        <f t="shared" si="264"/>
        <v/>
      </c>
      <c r="KA872" s="2140" t="str">
        <f t="shared" si="265"/>
        <v/>
      </c>
      <c r="KB872" s="2140" t="str">
        <f t="shared" si="266"/>
        <v/>
      </c>
      <c r="KC872" s="2140" t="str">
        <f t="shared" si="267"/>
        <v/>
      </c>
      <c r="KD872" s="2140" t="str">
        <f t="shared" si="268"/>
        <v/>
      </c>
      <c r="KE872" s="2140" t="str">
        <f t="shared" si="269"/>
        <v/>
      </c>
      <c r="KF872" s="2140" t="str">
        <f t="shared" si="270"/>
        <v/>
      </c>
      <c r="KG872" s="2140" t="str">
        <f t="shared" si="271"/>
        <v/>
      </c>
      <c r="KH872" s="2140" t="str">
        <f t="shared" si="272"/>
        <v/>
      </c>
      <c r="KI872" s="2140" t="str">
        <f t="shared" si="273"/>
        <v/>
      </c>
      <c r="KJ872" s="2140" t="str">
        <f t="shared" si="274"/>
        <v/>
      </c>
      <c r="KK872" s="2140" t="str">
        <f t="shared" si="275"/>
        <v/>
      </c>
      <c r="KL872" s="2140" t="str">
        <f t="shared" si="276"/>
        <v/>
      </c>
      <c r="KM872" s="2140" t="str">
        <f t="shared" si="277"/>
        <v/>
      </c>
      <c r="KN872" s="2140" t="str">
        <f t="shared" si="278"/>
        <v/>
      </c>
      <c r="KO872" s="2140" t="str">
        <f t="shared" si="279"/>
        <v/>
      </c>
      <c r="KP872" s="2140" t="str">
        <f t="shared" si="280"/>
        <v/>
      </c>
      <c r="KQ872" s="2140" t="str">
        <f t="shared" si="281"/>
        <v/>
      </c>
      <c r="KR872" s="2140" t="str">
        <f t="shared" si="282"/>
        <v/>
      </c>
      <c r="KS872" s="2140" t="str">
        <f t="shared" si="283"/>
        <v/>
      </c>
      <c r="KT872" s="2140" t="str">
        <f t="shared" si="284"/>
        <v/>
      </c>
      <c r="KU872" s="2140" t="str">
        <f t="shared" si="285"/>
        <v/>
      </c>
      <c r="KV872" s="2140" t="str">
        <f t="shared" si="286"/>
        <v/>
      </c>
      <c r="KW872" s="2140" t="str">
        <f t="shared" si="287"/>
        <v/>
      </c>
      <c r="KX872" s="2140" t="str">
        <f t="shared" si="288"/>
        <v/>
      </c>
      <c r="KY872" s="2140" t="str">
        <f t="shared" si="289"/>
        <v/>
      </c>
      <c r="KZ872" s="2140" t="str">
        <f t="shared" si="290"/>
        <v/>
      </c>
      <c r="LA872" s="2140" t="str">
        <f t="shared" si="291"/>
        <v/>
      </c>
      <c r="LB872" s="2140" t="str">
        <f t="shared" si="292"/>
        <v/>
      </c>
      <c r="LC872" s="2140" t="str">
        <f t="shared" si="293"/>
        <v/>
      </c>
      <c r="LD872" s="2140" t="str">
        <f t="shared" si="294"/>
        <v/>
      </c>
      <c r="LE872" s="2140" t="str">
        <f t="shared" si="295"/>
        <v/>
      </c>
      <c r="LF872" s="2140" t="str">
        <f t="shared" si="296"/>
        <v/>
      </c>
      <c r="LG872" s="2051" t="str">
        <f t="shared" si="297"/>
        <v/>
      </c>
      <c r="LH872" s="2051" t="str">
        <f t="shared" si="298"/>
        <v/>
      </c>
      <c r="LI872" s="2051" t="str">
        <f t="shared" si="299"/>
        <v/>
      </c>
      <c r="LJ872" s="2051" t="str">
        <f t="shared" si="300"/>
        <v/>
      </c>
      <c r="LK872" s="2051" t="str">
        <f t="shared" si="301"/>
        <v/>
      </c>
      <c r="LL872" s="1852" t="str">
        <f t="shared" si="302"/>
        <v/>
      </c>
      <c r="LM872" s="1852" t="str">
        <f t="shared" si="303"/>
        <v/>
      </c>
      <c r="LN872" s="1852" t="str">
        <f t="shared" si="304"/>
        <v/>
      </c>
      <c r="LO872" s="1852" t="str">
        <f t="shared" si="305"/>
        <v/>
      </c>
      <c r="LP872" s="1852" t="str">
        <f t="shared" si="306"/>
        <v/>
      </c>
      <c r="LQ872" s="1852" t="str">
        <f t="shared" si="307"/>
        <v/>
      </c>
      <c r="LR872" s="1852" t="str">
        <f t="shared" si="308"/>
        <v/>
      </c>
      <c r="LS872" s="1852" t="str">
        <f t="shared" si="309"/>
        <v/>
      </c>
      <c r="LT872" s="1852" t="str">
        <f t="shared" si="310"/>
        <v/>
      </c>
      <c r="LU872" s="1852" t="str">
        <f t="shared" si="311"/>
        <v/>
      </c>
      <c r="LV872" s="1852" t="str">
        <f t="shared" si="312"/>
        <v/>
      </c>
      <c r="LW872" s="1852" t="str">
        <f t="shared" si="313"/>
        <v/>
      </c>
      <c r="LX872" s="1852" t="str">
        <f t="shared" si="314"/>
        <v/>
      </c>
      <c r="LY872" s="1852" t="str">
        <f t="shared" si="315"/>
        <v/>
      </c>
      <c r="LZ872" s="1852" t="str">
        <f t="shared" si="316"/>
        <v/>
      </c>
      <c r="MA872" s="1852" t="str">
        <f t="shared" si="317"/>
        <v/>
      </c>
      <c r="MB872" s="1852" t="str">
        <f t="shared" si="318"/>
        <v/>
      </c>
      <c r="MC872" s="1852" t="str">
        <f t="shared" si="319"/>
        <v/>
      </c>
      <c r="MD872" s="1852" t="str">
        <f t="shared" si="320"/>
        <v/>
      </c>
      <c r="ME872" s="1852" t="str">
        <f t="shared" si="321"/>
        <v/>
      </c>
      <c r="MF872" s="2051">
        <f t="shared" si="328"/>
        <v>0</v>
      </c>
      <c r="MG872" s="2051">
        <f t="shared" si="329"/>
        <v>0</v>
      </c>
      <c r="MH872" s="2051">
        <f t="shared" si="330"/>
        <v>0</v>
      </c>
      <c r="MI872" s="2051">
        <f t="shared" si="331"/>
        <v>0</v>
      </c>
      <c r="MJ872" s="2051">
        <f t="shared" si="332"/>
        <v>0</v>
      </c>
      <c r="MK872" s="2051">
        <f t="shared" si="333"/>
        <v>0</v>
      </c>
      <c r="ML872" s="2051">
        <f t="shared" si="334"/>
        <v>0</v>
      </c>
      <c r="MM872" s="2051">
        <f t="shared" si="335"/>
        <v>0</v>
      </c>
      <c r="MN872" s="2051">
        <f t="shared" si="336"/>
        <v>0</v>
      </c>
      <c r="MO872" s="2051">
        <f t="shared" si="337"/>
        <v>0</v>
      </c>
      <c r="MP872" s="2051">
        <f t="shared" si="322"/>
        <v>0</v>
      </c>
      <c r="MQ872" s="2051">
        <f t="shared" si="323"/>
        <v>0</v>
      </c>
      <c r="MR872" s="2051">
        <f t="shared" si="324"/>
        <v>0</v>
      </c>
      <c r="MS872" s="2051">
        <f t="shared" si="325"/>
        <v>0</v>
      </c>
      <c r="MT872" s="2051">
        <f t="shared" si="326"/>
        <v>0</v>
      </c>
      <c r="NP872" s="1924" t="s">
        <v>6741</v>
      </c>
    </row>
    <row r="873" spans="1:380" s="1852" customFormat="1" ht="13.9" customHeight="1">
      <c r="A873" s="2108" t="str">
        <f t="shared" si="327"/>
        <v/>
      </c>
      <c r="B873" s="2130">
        <f>'Part VI-Revenues &amp; Expenses'!B33</f>
        <v>0</v>
      </c>
      <c r="C873" s="2131">
        <f>'Part VI-Revenues &amp; Expenses'!C33</f>
        <v>0</v>
      </c>
      <c r="D873" s="2132">
        <f>'Part VI-Revenues &amp; Expenses'!D33</f>
        <v>0</v>
      </c>
      <c r="E873" s="2133">
        <f>'Part VI-Revenues &amp; Expenses'!E33</f>
        <v>0</v>
      </c>
      <c r="F873" s="2133">
        <f>'Part VI-Revenues &amp; Expenses'!F33</f>
        <v>0</v>
      </c>
      <c r="G873" s="2133">
        <f>'Part VI-Revenues &amp; Expenses'!G33</f>
        <v>0</v>
      </c>
      <c r="H873" s="2133">
        <f>'Part VI-Revenues &amp; Expenses'!H33</f>
        <v>0</v>
      </c>
      <c r="I873" s="2133">
        <f>'Part VI-Revenues &amp; Expenses'!I33</f>
        <v>0</v>
      </c>
      <c r="J873" s="2133">
        <f>'Part VI-Revenues &amp; Expenses'!J33</f>
        <v>0</v>
      </c>
      <c r="K873" s="2134">
        <f>'Part VI-Revenues &amp; Expenses'!K33</f>
        <v>0</v>
      </c>
      <c r="L873" s="2135">
        <f t="shared" si="0"/>
        <v>0</v>
      </c>
      <c r="M873" s="2135">
        <f t="shared" si="1"/>
        <v>0</v>
      </c>
      <c r="N873" s="1916">
        <f>'Part VI-Revenues &amp; Expenses'!N33</f>
        <v>0</v>
      </c>
      <c r="O873" s="2136">
        <f>'Part VI-Revenues &amp; Expenses'!O33</f>
        <v>0</v>
      </c>
      <c r="P873" s="1916">
        <f>'Part VI-Revenues &amp; Expenses'!P33</f>
        <v>0</v>
      </c>
      <c r="Q873" s="2137">
        <f>'Part VI-Revenues &amp; Expenses'!Q33</f>
        <v>0</v>
      </c>
      <c r="R873" s="2138"/>
      <c r="S873" s="2139"/>
      <c r="T873" s="2043"/>
      <c r="U873" s="2043"/>
      <c r="V873" s="2043"/>
      <c r="W873" s="2043"/>
      <c r="X873" s="1852" t="str">
        <f t="shared" si="2"/>
        <v/>
      </c>
      <c r="Y873" s="1852" t="str">
        <f t="shared" si="3"/>
        <v/>
      </c>
      <c r="Z873" s="1852" t="str">
        <f t="shared" si="4"/>
        <v/>
      </c>
      <c r="AA873" s="1852" t="str">
        <f t="shared" si="5"/>
        <v/>
      </c>
      <c r="AB873" s="1852" t="str">
        <f t="shared" si="6"/>
        <v/>
      </c>
      <c r="AC873" s="1852" t="str">
        <f t="shared" si="7"/>
        <v/>
      </c>
      <c r="AD873" s="1852" t="str">
        <f t="shared" si="8"/>
        <v/>
      </c>
      <c r="AE873" s="1852" t="str">
        <f t="shared" si="9"/>
        <v/>
      </c>
      <c r="AF873" s="1852" t="str">
        <f t="shared" si="10"/>
        <v/>
      </c>
      <c r="AG873" s="1852" t="str">
        <f t="shared" si="11"/>
        <v/>
      </c>
      <c r="AH873" s="1852" t="str">
        <f t="shared" si="12"/>
        <v/>
      </c>
      <c r="AI873" s="1852" t="str">
        <f t="shared" si="13"/>
        <v/>
      </c>
      <c r="AJ873" s="1852" t="str">
        <f t="shared" si="14"/>
        <v/>
      </c>
      <c r="AK873" s="1852" t="str">
        <f t="shared" si="15"/>
        <v/>
      </c>
      <c r="AL873" s="1852" t="str">
        <f t="shared" si="16"/>
        <v/>
      </c>
      <c r="AM873" s="1852" t="str">
        <f t="shared" si="17"/>
        <v/>
      </c>
      <c r="AN873" s="1852" t="str">
        <f t="shared" si="18"/>
        <v/>
      </c>
      <c r="AO873" s="1852" t="str">
        <f t="shared" si="19"/>
        <v/>
      </c>
      <c r="AP873" s="1852" t="str">
        <f t="shared" si="20"/>
        <v/>
      </c>
      <c r="AQ873" s="1852" t="str">
        <f t="shared" si="21"/>
        <v/>
      </c>
      <c r="AR873" s="1852" t="str">
        <f t="shared" si="22"/>
        <v/>
      </c>
      <c r="AS873" s="1852" t="str">
        <f t="shared" si="23"/>
        <v/>
      </c>
      <c r="AT873" s="1852" t="str">
        <f t="shared" si="24"/>
        <v/>
      </c>
      <c r="AU873" s="1852" t="str">
        <f t="shared" si="25"/>
        <v/>
      </c>
      <c r="AV873" s="1852" t="str">
        <f t="shared" si="26"/>
        <v/>
      </c>
      <c r="AW873" s="1852" t="str">
        <f t="shared" si="27"/>
        <v/>
      </c>
      <c r="AX873" s="1852" t="str">
        <f t="shared" si="28"/>
        <v/>
      </c>
      <c r="AY873" s="1852" t="str">
        <f t="shared" si="29"/>
        <v/>
      </c>
      <c r="AZ873" s="1852" t="str">
        <f t="shared" si="30"/>
        <v/>
      </c>
      <c r="BA873" s="1852" t="str">
        <f t="shared" si="31"/>
        <v/>
      </c>
      <c r="BB873" s="1852" t="str">
        <f t="shared" si="32"/>
        <v/>
      </c>
      <c r="BC873" s="1852" t="str">
        <f t="shared" si="33"/>
        <v/>
      </c>
      <c r="BD873" s="1852" t="str">
        <f t="shared" si="34"/>
        <v/>
      </c>
      <c r="BE873" s="1852" t="str">
        <f t="shared" si="35"/>
        <v/>
      </c>
      <c r="BF873" s="1852" t="str">
        <f t="shared" si="36"/>
        <v/>
      </c>
      <c r="BG873" s="1852" t="str">
        <f t="shared" si="37"/>
        <v/>
      </c>
      <c r="BH873" s="1852" t="str">
        <f t="shared" si="38"/>
        <v/>
      </c>
      <c r="BI873" s="1852" t="str">
        <f t="shared" si="39"/>
        <v/>
      </c>
      <c r="BJ873" s="1852" t="str">
        <f t="shared" si="40"/>
        <v/>
      </c>
      <c r="BK873" s="1852" t="str">
        <f t="shared" si="41"/>
        <v/>
      </c>
      <c r="BL873" s="1852" t="str">
        <f t="shared" si="42"/>
        <v/>
      </c>
      <c r="BM873" s="1852" t="str">
        <f t="shared" si="43"/>
        <v/>
      </c>
      <c r="BN873" s="1852" t="str">
        <f t="shared" si="44"/>
        <v/>
      </c>
      <c r="BO873" s="1852" t="str">
        <f t="shared" si="45"/>
        <v/>
      </c>
      <c r="BP873" s="1852" t="str">
        <f t="shared" si="46"/>
        <v/>
      </c>
      <c r="BQ873" s="1852" t="str">
        <f t="shared" si="47"/>
        <v/>
      </c>
      <c r="BR873" s="1852" t="str">
        <f t="shared" si="48"/>
        <v/>
      </c>
      <c r="BS873" s="1852" t="str">
        <f t="shared" si="49"/>
        <v/>
      </c>
      <c r="BT873" s="1852" t="str">
        <f t="shared" si="50"/>
        <v/>
      </c>
      <c r="BU873" s="1852" t="str">
        <f t="shared" si="51"/>
        <v/>
      </c>
      <c r="BV873" s="1852" t="str">
        <f t="shared" si="52"/>
        <v/>
      </c>
      <c r="BW873" s="1852" t="str">
        <f t="shared" si="53"/>
        <v/>
      </c>
      <c r="BX873" s="1852" t="str">
        <f t="shared" si="54"/>
        <v/>
      </c>
      <c r="BY873" s="1852" t="str">
        <f t="shared" si="55"/>
        <v/>
      </c>
      <c r="BZ873" s="1852" t="str">
        <f t="shared" si="56"/>
        <v/>
      </c>
      <c r="CA873" s="1852" t="str">
        <f t="shared" si="57"/>
        <v/>
      </c>
      <c r="CB873" s="1852" t="str">
        <f t="shared" si="58"/>
        <v/>
      </c>
      <c r="CC873" s="1852" t="str">
        <f t="shared" si="59"/>
        <v/>
      </c>
      <c r="CD873" s="1852" t="str">
        <f t="shared" si="60"/>
        <v/>
      </c>
      <c r="CE873" s="1852" t="str">
        <f t="shared" si="61"/>
        <v/>
      </c>
      <c r="CF873" s="1852" t="str">
        <f t="shared" si="62"/>
        <v/>
      </c>
      <c r="CG873" s="1852" t="str">
        <f t="shared" si="63"/>
        <v/>
      </c>
      <c r="CH873" s="1852" t="str">
        <f t="shared" si="64"/>
        <v/>
      </c>
      <c r="CI873" s="1852" t="str">
        <f t="shared" si="65"/>
        <v/>
      </c>
      <c r="CJ873" s="1852" t="str">
        <f t="shared" si="66"/>
        <v/>
      </c>
      <c r="CK873" s="1852" t="str">
        <f t="shared" si="67"/>
        <v/>
      </c>
      <c r="CL873" s="1852" t="str">
        <f t="shared" si="68"/>
        <v/>
      </c>
      <c r="CM873" s="1852" t="str">
        <f t="shared" si="69"/>
        <v/>
      </c>
      <c r="CN873" s="1852" t="str">
        <f t="shared" si="70"/>
        <v/>
      </c>
      <c r="CO873" s="1852" t="str">
        <f t="shared" si="71"/>
        <v/>
      </c>
      <c r="CP873" s="1852" t="str">
        <f t="shared" si="72"/>
        <v/>
      </c>
      <c r="CQ873" s="1852" t="str">
        <f t="shared" si="73"/>
        <v/>
      </c>
      <c r="CR873" s="1852" t="str">
        <f t="shared" si="74"/>
        <v/>
      </c>
      <c r="CS873" s="1852" t="str">
        <f t="shared" si="75"/>
        <v/>
      </c>
      <c r="CT873" s="1852" t="str">
        <f t="shared" si="76"/>
        <v/>
      </c>
      <c r="CU873" s="1852" t="str">
        <f t="shared" si="77"/>
        <v/>
      </c>
      <c r="CV873" s="1852" t="str">
        <f t="shared" si="78"/>
        <v/>
      </c>
      <c r="CW873" s="1852" t="str">
        <f t="shared" si="79"/>
        <v/>
      </c>
      <c r="CX873" s="1852" t="str">
        <f t="shared" si="80"/>
        <v/>
      </c>
      <c r="CY873" s="1852" t="str">
        <f t="shared" si="81"/>
        <v/>
      </c>
      <c r="CZ873" s="1852" t="str">
        <f t="shared" si="82"/>
        <v/>
      </c>
      <c r="DA873" s="1852" t="str">
        <f t="shared" si="83"/>
        <v/>
      </c>
      <c r="DB873" s="1852" t="str">
        <f t="shared" si="84"/>
        <v/>
      </c>
      <c r="DC873" s="1852" t="str">
        <f t="shared" si="85"/>
        <v/>
      </c>
      <c r="DD873" s="1852" t="str">
        <f t="shared" si="86"/>
        <v/>
      </c>
      <c r="DE873" s="1852" t="str">
        <f t="shared" si="87"/>
        <v/>
      </c>
      <c r="DF873" s="1852" t="str">
        <f t="shared" si="88"/>
        <v/>
      </c>
      <c r="DG873" s="1852" t="str">
        <f t="shared" si="89"/>
        <v/>
      </c>
      <c r="DH873" s="1852" t="str">
        <f t="shared" si="90"/>
        <v/>
      </c>
      <c r="DI873" s="1852" t="str">
        <f t="shared" si="91"/>
        <v/>
      </c>
      <c r="DJ873" s="1852" t="str">
        <f t="shared" si="92"/>
        <v/>
      </c>
      <c r="DK873" s="1852" t="str">
        <f t="shared" si="93"/>
        <v/>
      </c>
      <c r="DL873" s="1852" t="str">
        <f t="shared" si="94"/>
        <v/>
      </c>
      <c r="DM873" s="1852" t="str">
        <f t="shared" si="95"/>
        <v/>
      </c>
      <c r="DN873" s="1852" t="str">
        <f t="shared" si="96"/>
        <v/>
      </c>
      <c r="DO873" s="1852" t="str">
        <f t="shared" si="97"/>
        <v/>
      </c>
      <c r="DP873" s="1852" t="str">
        <f t="shared" si="98"/>
        <v/>
      </c>
      <c r="DQ873" s="1852" t="str">
        <f t="shared" si="99"/>
        <v/>
      </c>
      <c r="DR873" s="1852" t="str">
        <f t="shared" si="100"/>
        <v/>
      </c>
      <c r="DS873" s="1852" t="str">
        <f t="shared" si="101"/>
        <v/>
      </c>
      <c r="DT873" s="1852" t="str">
        <f t="shared" si="102"/>
        <v/>
      </c>
      <c r="DU873" s="1852" t="str">
        <f t="shared" si="103"/>
        <v/>
      </c>
      <c r="DV873" s="1852" t="str">
        <f t="shared" si="104"/>
        <v/>
      </c>
      <c r="DW873" s="1852" t="str">
        <f t="shared" si="105"/>
        <v/>
      </c>
      <c r="DX873" s="1852" t="str">
        <f t="shared" si="106"/>
        <v/>
      </c>
      <c r="DY873" s="1852" t="str">
        <f t="shared" si="107"/>
        <v/>
      </c>
      <c r="DZ873" s="1852" t="str">
        <f t="shared" si="108"/>
        <v/>
      </c>
      <c r="EA873" s="1852" t="str">
        <f t="shared" si="109"/>
        <v/>
      </c>
      <c r="EB873" s="1852" t="str">
        <f t="shared" si="110"/>
        <v/>
      </c>
      <c r="EC873" s="1852" t="str">
        <f t="shared" si="111"/>
        <v/>
      </c>
      <c r="ED873" s="1852" t="str">
        <f t="shared" si="112"/>
        <v/>
      </c>
      <c r="EE873" s="1852" t="str">
        <f t="shared" si="113"/>
        <v/>
      </c>
      <c r="EF873" s="1852" t="str">
        <f t="shared" si="114"/>
        <v/>
      </c>
      <c r="EG873" s="1852" t="str">
        <f t="shared" si="115"/>
        <v/>
      </c>
      <c r="EH873" s="1852" t="str">
        <f t="shared" si="116"/>
        <v/>
      </c>
      <c r="EI873" s="1852" t="str">
        <f t="shared" si="117"/>
        <v/>
      </c>
      <c r="EJ873" s="1852" t="str">
        <f t="shared" si="118"/>
        <v/>
      </c>
      <c r="EK873" s="1852" t="str">
        <f t="shared" si="119"/>
        <v/>
      </c>
      <c r="EL873" s="1852" t="str">
        <f t="shared" si="120"/>
        <v/>
      </c>
      <c r="EM873" s="1852" t="str">
        <f t="shared" si="121"/>
        <v/>
      </c>
      <c r="EN873" s="1852" t="str">
        <f t="shared" si="122"/>
        <v/>
      </c>
      <c r="EO873" s="1852" t="str">
        <f t="shared" si="123"/>
        <v/>
      </c>
      <c r="EP873" s="1852" t="str">
        <f t="shared" si="124"/>
        <v/>
      </c>
      <c r="EQ873" s="1852" t="str">
        <f t="shared" si="125"/>
        <v/>
      </c>
      <c r="ER873" s="1852" t="str">
        <f t="shared" si="126"/>
        <v/>
      </c>
      <c r="ES873" s="1852" t="str">
        <f t="shared" si="127"/>
        <v/>
      </c>
      <c r="ET873" s="1852" t="str">
        <f t="shared" si="128"/>
        <v/>
      </c>
      <c r="EU873" s="1852" t="str">
        <f t="shared" si="129"/>
        <v/>
      </c>
      <c r="EV873" s="1852" t="str">
        <f t="shared" si="130"/>
        <v/>
      </c>
      <c r="EW873" s="1852" t="str">
        <f t="shared" si="131"/>
        <v/>
      </c>
      <c r="EX873" s="1852" t="str">
        <f t="shared" si="132"/>
        <v/>
      </c>
      <c r="EY873" s="1852" t="str">
        <f t="shared" si="133"/>
        <v/>
      </c>
      <c r="EZ873" s="1852" t="str">
        <f t="shared" si="134"/>
        <v/>
      </c>
      <c r="FA873" s="1852" t="str">
        <f t="shared" si="135"/>
        <v/>
      </c>
      <c r="FB873" s="1852" t="str">
        <f t="shared" si="136"/>
        <v/>
      </c>
      <c r="FC873" s="1852" t="str">
        <f t="shared" si="137"/>
        <v/>
      </c>
      <c r="FD873" s="1852" t="str">
        <f t="shared" si="138"/>
        <v/>
      </c>
      <c r="FE873" s="1852" t="str">
        <f t="shared" si="139"/>
        <v/>
      </c>
      <c r="FF873" s="1852" t="str">
        <f t="shared" si="140"/>
        <v/>
      </c>
      <c r="FG873" s="1852" t="str">
        <f t="shared" si="141"/>
        <v/>
      </c>
      <c r="FH873" s="1852" t="str">
        <f t="shared" si="142"/>
        <v/>
      </c>
      <c r="FI873" s="1852" t="str">
        <f t="shared" si="143"/>
        <v/>
      </c>
      <c r="FJ873" s="1852" t="str">
        <f t="shared" si="144"/>
        <v/>
      </c>
      <c r="FK873" s="1852" t="str">
        <f t="shared" si="145"/>
        <v/>
      </c>
      <c r="FL873" s="1852" t="str">
        <f t="shared" si="146"/>
        <v/>
      </c>
      <c r="FM873" s="1852" t="str">
        <f t="shared" si="147"/>
        <v/>
      </c>
      <c r="FN873" s="1852" t="str">
        <f t="shared" si="148"/>
        <v/>
      </c>
      <c r="FO873" s="1852" t="str">
        <f t="shared" si="149"/>
        <v/>
      </c>
      <c r="FP873" s="1852" t="str">
        <f t="shared" si="150"/>
        <v/>
      </c>
      <c r="FQ873" s="1852" t="str">
        <f t="shared" si="151"/>
        <v/>
      </c>
      <c r="FR873" s="1852" t="str">
        <f t="shared" si="152"/>
        <v/>
      </c>
      <c r="FS873" s="1852" t="str">
        <f t="shared" si="153"/>
        <v/>
      </c>
      <c r="FT873" s="1852" t="str">
        <f t="shared" si="154"/>
        <v/>
      </c>
      <c r="FU873" s="1852" t="str">
        <f t="shared" si="155"/>
        <v/>
      </c>
      <c r="FV873" s="1852" t="str">
        <f t="shared" si="156"/>
        <v/>
      </c>
      <c r="FW873" s="1852" t="str">
        <f t="shared" si="157"/>
        <v/>
      </c>
      <c r="FX873" s="1852" t="str">
        <f t="shared" si="158"/>
        <v/>
      </c>
      <c r="FY873" s="1852" t="str">
        <f t="shared" si="159"/>
        <v/>
      </c>
      <c r="FZ873" s="1852" t="str">
        <f t="shared" si="160"/>
        <v/>
      </c>
      <c r="GA873" s="1852" t="str">
        <f t="shared" si="161"/>
        <v/>
      </c>
      <c r="GB873" s="1852" t="str">
        <f t="shared" si="162"/>
        <v/>
      </c>
      <c r="GC873" s="1852" t="str">
        <f t="shared" si="163"/>
        <v/>
      </c>
      <c r="GD873" s="1852" t="str">
        <f t="shared" si="164"/>
        <v/>
      </c>
      <c r="GE873" s="1852" t="str">
        <f t="shared" si="165"/>
        <v/>
      </c>
      <c r="GF873" s="1852" t="str">
        <f t="shared" si="166"/>
        <v/>
      </c>
      <c r="GG873" s="1852" t="str">
        <f t="shared" si="167"/>
        <v/>
      </c>
      <c r="GH873" s="1852" t="str">
        <f t="shared" si="168"/>
        <v/>
      </c>
      <c r="GI873" s="1852" t="str">
        <f t="shared" si="169"/>
        <v/>
      </c>
      <c r="GJ873" s="1852" t="str">
        <f t="shared" si="170"/>
        <v/>
      </c>
      <c r="GK873" s="1852" t="str">
        <f t="shared" si="171"/>
        <v/>
      </c>
      <c r="GL873" s="1852" t="str">
        <f t="shared" si="172"/>
        <v/>
      </c>
      <c r="GM873" s="1852" t="str">
        <f t="shared" si="173"/>
        <v/>
      </c>
      <c r="GN873" s="1852" t="str">
        <f t="shared" si="174"/>
        <v/>
      </c>
      <c r="GO873" s="1852" t="str">
        <f t="shared" si="175"/>
        <v/>
      </c>
      <c r="GP873" s="1852" t="str">
        <f t="shared" si="176"/>
        <v/>
      </c>
      <c r="GQ873" s="1852" t="str">
        <f t="shared" si="177"/>
        <v/>
      </c>
      <c r="GR873" s="1852" t="str">
        <f t="shared" si="178"/>
        <v/>
      </c>
      <c r="GS873" s="1852" t="str">
        <f t="shared" si="179"/>
        <v/>
      </c>
      <c r="GT873" s="1852" t="str">
        <f t="shared" si="180"/>
        <v/>
      </c>
      <c r="GU873" s="1852" t="str">
        <f t="shared" si="181"/>
        <v/>
      </c>
      <c r="GV873" s="1852" t="str">
        <f t="shared" si="182"/>
        <v/>
      </c>
      <c r="GW873" s="1852" t="str">
        <f t="shared" si="183"/>
        <v/>
      </c>
      <c r="GX873" s="1852" t="str">
        <f t="shared" si="184"/>
        <v/>
      </c>
      <c r="GY873" s="1852" t="str">
        <f t="shared" si="185"/>
        <v/>
      </c>
      <c r="GZ873" s="1852" t="str">
        <f t="shared" si="186"/>
        <v/>
      </c>
      <c r="HA873" s="1852" t="str">
        <f t="shared" si="187"/>
        <v/>
      </c>
      <c r="HB873" s="1852" t="str">
        <f t="shared" si="188"/>
        <v/>
      </c>
      <c r="HC873" s="1852" t="str">
        <f t="shared" si="189"/>
        <v/>
      </c>
      <c r="HD873" s="1852" t="str">
        <f t="shared" si="190"/>
        <v/>
      </c>
      <c r="HE873" s="1852" t="str">
        <f t="shared" si="191"/>
        <v/>
      </c>
      <c r="HF873" s="1852" t="str">
        <f t="shared" si="192"/>
        <v/>
      </c>
      <c r="HG873" s="1852" t="str">
        <f t="shared" si="193"/>
        <v/>
      </c>
      <c r="HH873" s="1852" t="str">
        <f t="shared" si="194"/>
        <v/>
      </c>
      <c r="HI873" s="1852" t="str">
        <f t="shared" si="195"/>
        <v/>
      </c>
      <c r="HJ873" s="1852" t="str">
        <f t="shared" si="196"/>
        <v/>
      </c>
      <c r="HK873" s="1852" t="str">
        <f t="shared" si="197"/>
        <v/>
      </c>
      <c r="HL873" s="1852" t="str">
        <f t="shared" si="198"/>
        <v/>
      </c>
      <c r="HM873" s="1852" t="str">
        <f t="shared" si="199"/>
        <v/>
      </c>
      <c r="HN873" s="1852" t="str">
        <f t="shared" si="200"/>
        <v/>
      </c>
      <c r="HO873" s="1852" t="str">
        <f t="shared" si="201"/>
        <v/>
      </c>
      <c r="HP873" s="1852" t="str">
        <f t="shared" si="202"/>
        <v/>
      </c>
      <c r="HQ873" s="1852" t="str">
        <f t="shared" si="203"/>
        <v/>
      </c>
      <c r="HR873" s="1852" t="str">
        <f t="shared" si="204"/>
        <v/>
      </c>
      <c r="HS873" s="1852" t="str">
        <f t="shared" si="205"/>
        <v/>
      </c>
      <c r="HT873" s="1852" t="str">
        <f t="shared" si="206"/>
        <v/>
      </c>
      <c r="HU873" s="1852" t="str">
        <f t="shared" si="207"/>
        <v/>
      </c>
      <c r="HV873" s="1852" t="str">
        <f t="shared" si="208"/>
        <v/>
      </c>
      <c r="HW873" s="1852" t="str">
        <f t="shared" si="209"/>
        <v/>
      </c>
      <c r="HX873" s="1852" t="str">
        <f t="shared" si="210"/>
        <v/>
      </c>
      <c r="HY873" s="1852" t="str">
        <f t="shared" si="211"/>
        <v/>
      </c>
      <c r="HZ873" s="2140" t="str">
        <f t="shared" si="212"/>
        <v/>
      </c>
      <c r="IA873" s="2140" t="str">
        <f t="shared" si="213"/>
        <v/>
      </c>
      <c r="IB873" s="2140" t="str">
        <f t="shared" si="214"/>
        <v/>
      </c>
      <c r="IC873" s="2140" t="str">
        <f t="shared" si="215"/>
        <v/>
      </c>
      <c r="ID873" s="2140" t="str">
        <f t="shared" si="216"/>
        <v/>
      </c>
      <c r="IE873" s="2140" t="str">
        <f t="shared" si="217"/>
        <v/>
      </c>
      <c r="IF873" s="2140" t="str">
        <f t="shared" si="218"/>
        <v/>
      </c>
      <c r="IG873" s="2140" t="str">
        <f t="shared" si="219"/>
        <v/>
      </c>
      <c r="IH873" s="2140" t="str">
        <f t="shared" si="220"/>
        <v/>
      </c>
      <c r="II873" s="2140" t="str">
        <f t="shared" si="221"/>
        <v/>
      </c>
      <c r="IJ873" s="2140" t="str">
        <f t="shared" si="222"/>
        <v/>
      </c>
      <c r="IK873" s="2140" t="str">
        <f t="shared" si="223"/>
        <v/>
      </c>
      <c r="IL873" s="2140" t="str">
        <f t="shared" si="224"/>
        <v/>
      </c>
      <c r="IM873" s="2140" t="str">
        <f t="shared" si="225"/>
        <v/>
      </c>
      <c r="IN873" s="2140" t="str">
        <f t="shared" si="226"/>
        <v/>
      </c>
      <c r="IO873" s="2140" t="str">
        <f t="shared" si="227"/>
        <v/>
      </c>
      <c r="IP873" s="2140" t="str">
        <f t="shared" si="228"/>
        <v/>
      </c>
      <c r="IQ873" s="2140" t="str">
        <f t="shared" si="229"/>
        <v/>
      </c>
      <c r="IR873" s="2140" t="str">
        <f t="shared" si="230"/>
        <v/>
      </c>
      <c r="IS873" s="2140" t="str">
        <f t="shared" si="231"/>
        <v/>
      </c>
      <c r="IT873" s="2140" t="str">
        <f t="shared" si="232"/>
        <v/>
      </c>
      <c r="IU873" s="2140" t="str">
        <f t="shared" si="233"/>
        <v/>
      </c>
      <c r="IV873" s="2140" t="str">
        <f t="shared" si="234"/>
        <v/>
      </c>
      <c r="IW873" s="2140" t="str">
        <f t="shared" si="235"/>
        <v/>
      </c>
      <c r="IX873" s="2140" t="str">
        <f t="shared" si="236"/>
        <v/>
      </c>
      <c r="IY873" s="2140" t="str">
        <f t="shared" si="237"/>
        <v/>
      </c>
      <c r="IZ873" s="2140" t="str">
        <f t="shared" si="238"/>
        <v/>
      </c>
      <c r="JA873" s="2140" t="str">
        <f t="shared" si="239"/>
        <v/>
      </c>
      <c r="JB873" s="2140" t="str">
        <f t="shared" si="240"/>
        <v/>
      </c>
      <c r="JC873" s="2140" t="str">
        <f t="shared" si="241"/>
        <v/>
      </c>
      <c r="JD873" s="2140" t="str">
        <f t="shared" si="242"/>
        <v/>
      </c>
      <c r="JE873" s="2140" t="str">
        <f t="shared" si="243"/>
        <v/>
      </c>
      <c r="JF873" s="2140" t="str">
        <f t="shared" si="244"/>
        <v/>
      </c>
      <c r="JG873" s="2140" t="str">
        <f t="shared" si="245"/>
        <v/>
      </c>
      <c r="JH873" s="2140" t="str">
        <f t="shared" si="246"/>
        <v/>
      </c>
      <c r="JI873" s="2140" t="str">
        <f t="shared" si="247"/>
        <v/>
      </c>
      <c r="JJ873" s="2140" t="str">
        <f t="shared" si="248"/>
        <v/>
      </c>
      <c r="JK873" s="2140" t="str">
        <f t="shared" si="249"/>
        <v/>
      </c>
      <c r="JL873" s="2140" t="str">
        <f t="shared" si="250"/>
        <v/>
      </c>
      <c r="JM873" s="2140" t="str">
        <f t="shared" si="251"/>
        <v/>
      </c>
      <c r="JN873" s="2140" t="str">
        <f t="shared" si="252"/>
        <v/>
      </c>
      <c r="JO873" s="2140" t="str">
        <f t="shared" si="253"/>
        <v/>
      </c>
      <c r="JP873" s="2140" t="str">
        <f t="shared" si="254"/>
        <v/>
      </c>
      <c r="JQ873" s="2140" t="str">
        <f t="shared" si="255"/>
        <v/>
      </c>
      <c r="JR873" s="2140" t="str">
        <f t="shared" si="256"/>
        <v/>
      </c>
      <c r="JS873" s="2140" t="str">
        <f t="shared" si="257"/>
        <v/>
      </c>
      <c r="JT873" s="2140" t="str">
        <f t="shared" si="258"/>
        <v/>
      </c>
      <c r="JU873" s="2140" t="str">
        <f t="shared" si="259"/>
        <v/>
      </c>
      <c r="JV873" s="2140" t="str">
        <f t="shared" si="260"/>
        <v/>
      </c>
      <c r="JW873" s="2140" t="str">
        <f t="shared" si="261"/>
        <v/>
      </c>
      <c r="JX873" s="2140" t="str">
        <f t="shared" si="262"/>
        <v/>
      </c>
      <c r="JY873" s="2140" t="str">
        <f t="shared" si="263"/>
        <v/>
      </c>
      <c r="JZ873" s="2140" t="str">
        <f t="shared" si="264"/>
        <v/>
      </c>
      <c r="KA873" s="2140" t="str">
        <f t="shared" si="265"/>
        <v/>
      </c>
      <c r="KB873" s="2140" t="str">
        <f t="shared" si="266"/>
        <v/>
      </c>
      <c r="KC873" s="2140" t="str">
        <f t="shared" si="267"/>
        <v/>
      </c>
      <c r="KD873" s="2140" t="str">
        <f t="shared" si="268"/>
        <v/>
      </c>
      <c r="KE873" s="2140" t="str">
        <f t="shared" si="269"/>
        <v/>
      </c>
      <c r="KF873" s="2140" t="str">
        <f t="shared" si="270"/>
        <v/>
      </c>
      <c r="KG873" s="2140" t="str">
        <f t="shared" si="271"/>
        <v/>
      </c>
      <c r="KH873" s="2140" t="str">
        <f t="shared" si="272"/>
        <v/>
      </c>
      <c r="KI873" s="2140" t="str">
        <f t="shared" si="273"/>
        <v/>
      </c>
      <c r="KJ873" s="2140" t="str">
        <f t="shared" si="274"/>
        <v/>
      </c>
      <c r="KK873" s="2140" t="str">
        <f t="shared" si="275"/>
        <v/>
      </c>
      <c r="KL873" s="2140" t="str">
        <f t="shared" si="276"/>
        <v/>
      </c>
      <c r="KM873" s="2140" t="str">
        <f t="shared" si="277"/>
        <v/>
      </c>
      <c r="KN873" s="2140" t="str">
        <f t="shared" si="278"/>
        <v/>
      </c>
      <c r="KO873" s="2140" t="str">
        <f t="shared" si="279"/>
        <v/>
      </c>
      <c r="KP873" s="2140" t="str">
        <f t="shared" si="280"/>
        <v/>
      </c>
      <c r="KQ873" s="2140" t="str">
        <f t="shared" si="281"/>
        <v/>
      </c>
      <c r="KR873" s="2140" t="str">
        <f t="shared" si="282"/>
        <v/>
      </c>
      <c r="KS873" s="2140" t="str">
        <f t="shared" si="283"/>
        <v/>
      </c>
      <c r="KT873" s="2140" t="str">
        <f t="shared" si="284"/>
        <v/>
      </c>
      <c r="KU873" s="2140" t="str">
        <f t="shared" si="285"/>
        <v/>
      </c>
      <c r="KV873" s="2140" t="str">
        <f t="shared" si="286"/>
        <v/>
      </c>
      <c r="KW873" s="2140" t="str">
        <f t="shared" si="287"/>
        <v/>
      </c>
      <c r="KX873" s="2140" t="str">
        <f t="shared" si="288"/>
        <v/>
      </c>
      <c r="KY873" s="2140" t="str">
        <f t="shared" si="289"/>
        <v/>
      </c>
      <c r="KZ873" s="2140" t="str">
        <f t="shared" si="290"/>
        <v/>
      </c>
      <c r="LA873" s="2140" t="str">
        <f t="shared" si="291"/>
        <v/>
      </c>
      <c r="LB873" s="2140" t="str">
        <f t="shared" si="292"/>
        <v/>
      </c>
      <c r="LC873" s="2140" t="str">
        <f t="shared" si="293"/>
        <v/>
      </c>
      <c r="LD873" s="2140" t="str">
        <f t="shared" si="294"/>
        <v/>
      </c>
      <c r="LE873" s="2140" t="str">
        <f t="shared" si="295"/>
        <v/>
      </c>
      <c r="LF873" s="2140" t="str">
        <f t="shared" si="296"/>
        <v/>
      </c>
      <c r="LG873" s="2051" t="str">
        <f t="shared" si="297"/>
        <v/>
      </c>
      <c r="LH873" s="2051" t="str">
        <f t="shared" si="298"/>
        <v/>
      </c>
      <c r="LI873" s="2051" t="str">
        <f t="shared" si="299"/>
        <v/>
      </c>
      <c r="LJ873" s="2051" t="str">
        <f t="shared" si="300"/>
        <v/>
      </c>
      <c r="LK873" s="2051" t="str">
        <f t="shared" si="301"/>
        <v/>
      </c>
      <c r="LL873" s="1852" t="str">
        <f t="shared" si="302"/>
        <v/>
      </c>
      <c r="LM873" s="1852" t="str">
        <f t="shared" si="303"/>
        <v/>
      </c>
      <c r="LN873" s="1852" t="str">
        <f t="shared" si="304"/>
        <v/>
      </c>
      <c r="LO873" s="1852" t="str">
        <f t="shared" si="305"/>
        <v/>
      </c>
      <c r="LP873" s="1852" t="str">
        <f t="shared" si="306"/>
        <v/>
      </c>
      <c r="LQ873" s="1852" t="str">
        <f t="shared" si="307"/>
        <v/>
      </c>
      <c r="LR873" s="1852" t="str">
        <f t="shared" si="308"/>
        <v/>
      </c>
      <c r="LS873" s="1852" t="str">
        <f t="shared" si="309"/>
        <v/>
      </c>
      <c r="LT873" s="1852" t="str">
        <f t="shared" si="310"/>
        <v/>
      </c>
      <c r="LU873" s="1852" t="str">
        <f t="shared" si="311"/>
        <v/>
      </c>
      <c r="LV873" s="1852" t="str">
        <f t="shared" si="312"/>
        <v/>
      </c>
      <c r="LW873" s="1852" t="str">
        <f t="shared" si="313"/>
        <v/>
      </c>
      <c r="LX873" s="1852" t="str">
        <f t="shared" si="314"/>
        <v/>
      </c>
      <c r="LY873" s="1852" t="str">
        <f t="shared" si="315"/>
        <v/>
      </c>
      <c r="LZ873" s="1852" t="str">
        <f t="shared" si="316"/>
        <v/>
      </c>
      <c r="MA873" s="1852" t="str">
        <f t="shared" si="317"/>
        <v/>
      </c>
      <c r="MB873" s="1852" t="str">
        <f t="shared" si="318"/>
        <v/>
      </c>
      <c r="MC873" s="1852" t="str">
        <f t="shared" si="319"/>
        <v/>
      </c>
      <c r="MD873" s="1852" t="str">
        <f t="shared" si="320"/>
        <v/>
      </c>
      <c r="ME873" s="1852" t="str">
        <f t="shared" si="321"/>
        <v/>
      </c>
      <c r="MF873" s="2051">
        <f t="shared" si="328"/>
        <v>0</v>
      </c>
      <c r="MG873" s="2051">
        <f t="shared" si="329"/>
        <v>0</v>
      </c>
      <c r="MH873" s="2051">
        <f t="shared" si="330"/>
        <v>0</v>
      </c>
      <c r="MI873" s="2051">
        <f t="shared" si="331"/>
        <v>0</v>
      </c>
      <c r="MJ873" s="2051">
        <f t="shared" si="332"/>
        <v>0</v>
      </c>
      <c r="MK873" s="2051">
        <f t="shared" si="333"/>
        <v>0</v>
      </c>
      <c r="ML873" s="2051">
        <f t="shared" si="334"/>
        <v>0</v>
      </c>
      <c r="MM873" s="2051">
        <f t="shared" si="335"/>
        <v>0</v>
      </c>
      <c r="MN873" s="2051">
        <f t="shared" si="336"/>
        <v>0</v>
      </c>
      <c r="MO873" s="2051">
        <f t="shared" si="337"/>
        <v>0</v>
      </c>
      <c r="MP873" s="2051">
        <f t="shared" si="322"/>
        <v>0</v>
      </c>
      <c r="MQ873" s="2051">
        <f t="shared" si="323"/>
        <v>0</v>
      </c>
      <c r="MR873" s="2051">
        <f t="shared" si="324"/>
        <v>0</v>
      </c>
      <c r="MS873" s="2051">
        <f t="shared" si="325"/>
        <v>0</v>
      </c>
      <c r="MT873" s="2051">
        <f t="shared" si="326"/>
        <v>0</v>
      </c>
      <c r="NP873" s="1924" t="s">
        <v>6742</v>
      </c>
    </row>
    <row r="874" spans="1:380" s="1852" customFormat="1" ht="13.9" customHeight="1">
      <c r="A874" s="2108" t="str">
        <f t="shared" si="327"/>
        <v/>
      </c>
      <c r="B874" s="2130">
        <f>'Part VI-Revenues &amp; Expenses'!B34</f>
        <v>0</v>
      </c>
      <c r="C874" s="2131">
        <f>'Part VI-Revenues &amp; Expenses'!C34</f>
        <v>0</v>
      </c>
      <c r="D874" s="2132">
        <f>'Part VI-Revenues &amp; Expenses'!D34</f>
        <v>0</v>
      </c>
      <c r="E874" s="2133">
        <f>'Part VI-Revenues &amp; Expenses'!E34</f>
        <v>0</v>
      </c>
      <c r="F874" s="2133">
        <f>'Part VI-Revenues &amp; Expenses'!F34</f>
        <v>0</v>
      </c>
      <c r="G874" s="2133">
        <f>'Part VI-Revenues &amp; Expenses'!G34</f>
        <v>0</v>
      </c>
      <c r="H874" s="2133">
        <f>'Part VI-Revenues &amp; Expenses'!H34</f>
        <v>0</v>
      </c>
      <c r="I874" s="2133">
        <f>'Part VI-Revenues &amp; Expenses'!I34</f>
        <v>0</v>
      </c>
      <c r="J874" s="2133">
        <f>'Part VI-Revenues &amp; Expenses'!J34</f>
        <v>0</v>
      </c>
      <c r="K874" s="2134">
        <f>'Part VI-Revenues &amp; Expenses'!K34</f>
        <v>0</v>
      </c>
      <c r="L874" s="2135">
        <f t="shared" si="0"/>
        <v>0</v>
      </c>
      <c r="M874" s="2135">
        <f t="shared" si="1"/>
        <v>0</v>
      </c>
      <c r="N874" s="1916">
        <f>'Part VI-Revenues &amp; Expenses'!N34</f>
        <v>0</v>
      </c>
      <c r="O874" s="2136">
        <f>'Part VI-Revenues &amp; Expenses'!O34</f>
        <v>0</v>
      </c>
      <c r="P874" s="1916">
        <f>'Part VI-Revenues &amp; Expenses'!P34</f>
        <v>0</v>
      </c>
      <c r="Q874" s="2137">
        <f>'Part VI-Revenues &amp; Expenses'!Q34</f>
        <v>0</v>
      </c>
      <c r="R874" s="2138"/>
      <c r="S874" s="2139"/>
      <c r="T874" s="2043"/>
      <c r="U874" s="2043"/>
      <c r="V874" s="2043"/>
      <c r="W874" s="2043"/>
      <c r="X874" s="1852" t="str">
        <f t="shared" si="2"/>
        <v/>
      </c>
      <c r="Y874" s="1852" t="str">
        <f t="shared" si="3"/>
        <v/>
      </c>
      <c r="Z874" s="1852" t="str">
        <f t="shared" si="4"/>
        <v/>
      </c>
      <c r="AA874" s="1852" t="str">
        <f t="shared" si="5"/>
        <v/>
      </c>
      <c r="AB874" s="1852" t="str">
        <f t="shared" si="6"/>
        <v/>
      </c>
      <c r="AC874" s="1852" t="str">
        <f t="shared" si="7"/>
        <v/>
      </c>
      <c r="AD874" s="1852" t="str">
        <f t="shared" si="8"/>
        <v/>
      </c>
      <c r="AE874" s="1852" t="str">
        <f t="shared" si="9"/>
        <v/>
      </c>
      <c r="AF874" s="1852" t="str">
        <f t="shared" si="10"/>
        <v/>
      </c>
      <c r="AG874" s="1852" t="str">
        <f t="shared" si="11"/>
        <v/>
      </c>
      <c r="AH874" s="1852" t="str">
        <f t="shared" si="12"/>
        <v/>
      </c>
      <c r="AI874" s="1852" t="str">
        <f t="shared" si="13"/>
        <v/>
      </c>
      <c r="AJ874" s="1852" t="str">
        <f t="shared" si="14"/>
        <v/>
      </c>
      <c r="AK874" s="1852" t="str">
        <f t="shared" si="15"/>
        <v/>
      </c>
      <c r="AL874" s="1852" t="str">
        <f t="shared" si="16"/>
        <v/>
      </c>
      <c r="AM874" s="1852" t="str">
        <f t="shared" si="17"/>
        <v/>
      </c>
      <c r="AN874" s="1852" t="str">
        <f t="shared" si="18"/>
        <v/>
      </c>
      <c r="AO874" s="1852" t="str">
        <f t="shared" si="19"/>
        <v/>
      </c>
      <c r="AP874" s="1852" t="str">
        <f t="shared" si="20"/>
        <v/>
      </c>
      <c r="AQ874" s="1852" t="str">
        <f t="shared" si="21"/>
        <v/>
      </c>
      <c r="AR874" s="1852" t="str">
        <f t="shared" si="22"/>
        <v/>
      </c>
      <c r="AS874" s="1852" t="str">
        <f t="shared" si="23"/>
        <v/>
      </c>
      <c r="AT874" s="1852" t="str">
        <f t="shared" si="24"/>
        <v/>
      </c>
      <c r="AU874" s="1852" t="str">
        <f t="shared" si="25"/>
        <v/>
      </c>
      <c r="AV874" s="1852" t="str">
        <f t="shared" si="26"/>
        <v/>
      </c>
      <c r="AW874" s="1852" t="str">
        <f t="shared" si="27"/>
        <v/>
      </c>
      <c r="AX874" s="1852" t="str">
        <f t="shared" si="28"/>
        <v/>
      </c>
      <c r="AY874" s="1852" t="str">
        <f t="shared" si="29"/>
        <v/>
      </c>
      <c r="AZ874" s="1852" t="str">
        <f t="shared" si="30"/>
        <v/>
      </c>
      <c r="BA874" s="1852" t="str">
        <f t="shared" si="31"/>
        <v/>
      </c>
      <c r="BB874" s="1852" t="str">
        <f t="shared" si="32"/>
        <v/>
      </c>
      <c r="BC874" s="1852" t="str">
        <f t="shared" si="33"/>
        <v/>
      </c>
      <c r="BD874" s="1852" t="str">
        <f t="shared" si="34"/>
        <v/>
      </c>
      <c r="BE874" s="1852" t="str">
        <f t="shared" si="35"/>
        <v/>
      </c>
      <c r="BF874" s="1852" t="str">
        <f t="shared" si="36"/>
        <v/>
      </c>
      <c r="BG874" s="1852" t="str">
        <f t="shared" si="37"/>
        <v/>
      </c>
      <c r="BH874" s="1852" t="str">
        <f t="shared" si="38"/>
        <v/>
      </c>
      <c r="BI874" s="1852" t="str">
        <f t="shared" si="39"/>
        <v/>
      </c>
      <c r="BJ874" s="1852" t="str">
        <f t="shared" si="40"/>
        <v/>
      </c>
      <c r="BK874" s="1852" t="str">
        <f t="shared" si="41"/>
        <v/>
      </c>
      <c r="BL874" s="1852" t="str">
        <f t="shared" si="42"/>
        <v/>
      </c>
      <c r="BM874" s="1852" t="str">
        <f t="shared" si="43"/>
        <v/>
      </c>
      <c r="BN874" s="1852" t="str">
        <f t="shared" si="44"/>
        <v/>
      </c>
      <c r="BO874" s="1852" t="str">
        <f t="shared" si="45"/>
        <v/>
      </c>
      <c r="BP874" s="1852" t="str">
        <f t="shared" si="46"/>
        <v/>
      </c>
      <c r="BQ874" s="1852" t="str">
        <f t="shared" si="47"/>
        <v/>
      </c>
      <c r="BR874" s="1852" t="str">
        <f t="shared" si="48"/>
        <v/>
      </c>
      <c r="BS874" s="1852" t="str">
        <f t="shared" si="49"/>
        <v/>
      </c>
      <c r="BT874" s="1852" t="str">
        <f t="shared" si="50"/>
        <v/>
      </c>
      <c r="BU874" s="1852" t="str">
        <f t="shared" si="51"/>
        <v/>
      </c>
      <c r="BV874" s="1852" t="str">
        <f t="shared" si="52"/>
        <v/>
      </c>
      <c r="BW874" s="1852" t="str">
        <f t="shared" si="53"/>
        <v/>
      </c>
      <c r="BX874" s="1852" t="str">
        <f t="shared" si="54"/>
        <v/>
      </c>
      <c r="BY874" s="1852" t="str">
        <f t="shared" si="55"/>
        <v/>
      </c>
      <c r="BZ874" s="1852" t="str">
        <f t="shared" si="56"/>
        <v/>
      </c>
      <c r="CA874" s="1852" t="str">
        <f t="shared" si="57"/>
        <v/>
      </c>
      <c r="CB874" s="1852" t="str">
        <f t="shared" si="58"/>
        <v/>
      </c>
      <c r="CC874" s="1852" t="str">
        <f t="shared" si="59"/>
        <v/>
      </c>
      <c r="CD874" s="1852" t="str">
        <f t="shared" si="60"/>
        <v/>
      </c>
      <c r="CE874" s="1852" t="str">
        <f t="shared" si="61"/>
        <v/>
      </c>
      <c r="CF874" s="1852" t="str">
        <f t="shared" si="62"/>
        <v/>
      </c>
      <c r="CG874" s="1852" t="str">
        <f t="shared" si="63"/>
        <v/>
      </c>
      <c r="CH874" s="1852" t="str">
        <f t="shared" si="64"/>
        <v/>
      </c>
      <c r="CI874" s="1852" t="str">
        <f t="shared" si="65"/>
        <v/>
      </c>
      <c r="CJ874" s="1852" t="str">
        <f t="shared" si="66"/>
        <v/>
      </c>
      <c r="CK874" s="1852" t="str">
        <f t="shared" si="67"/>
        <v/>
      </c>
      <c r="CL874" s="1852" t="str">
        <f t="shared" si="68"/>
        <v/>
      </c>
      <c r="CM874" s="1852" t="str">
        <f t="shared" si="69"/>
        <v/>
      </c>
      <c r="CN874" s="1852" t="str">
        <f t="shared" si="70"/>
        <v/>
      </c>
      <c r="CO874" s="1852" t="str">
        <f t="shared" si="71"/>
        <v/>
      </c>
      <c r="CP874" s="1852" t="str">
        <f t="shared" si="72"/>
        <v/>
      </c>
      <c r="CQ874" s="1852" t="str">
        <f t="shared" si="73"/>
        <v/>
      </c>
      <c r="CR874" s="1852" t="str">
        <f t="shared" si="74"/>
        <v/>
      </c>
      <c r="CS874" s="1852" t="str">
        <f t="shared" si="75"/>
        <v/>
      </c>
      <c r="CT874" s="1852" t="str">
        <f t="shared" si="76"/>
        <v/>
      </c>
      <c r="CU874" s="1852" t="str">
        <f t="shared" si="77"/>
        <v/>
      </c>
      <c r="CV874" s="1852" t="str">
        <f t="shared" si="78"/>
        <v/>
      </c>
      <c r="CW874" s="1852" t="str">
        <f t="shared" si="79"/>
        <v/>
      </c>
      <c r="CX874" s="1852" t="str">
        <f t="shared" si="80"/>
        <v/>
      </c>
      <c r="CY874" s="1852" t="str">
        <f t="shared" si="81"/>
        <v/>
      </c>
      <c r="CZ874" s="1852" t="str">
        <f t="shared" si="82"/>
        <v/>
      </c>
      <c r="DA874" s="1852" t="str">
        <f t="shared" si="83"/>
        <v/>
      </c>
      <c r="DB874" s="1852" t="str">
        <f t="shared" si="84"/>
        <v/>
      </c>
      <c r="DC874" s="1852" t="str">
        <f t="shared" si="85"/>
        <v/>
      </c>
      <c r="DD874" s="1852" t="str">
        <f t="shared" si="86"/>
        <v/>
      </c>
      <c r="DE874" s="1852" t="str">
        <f t="shared" si="87"/>
        <v/>
      </c>
      <c r="DF874" s="1852" t="str">
        <f t="shared" si="88"/>
        <v/>
      </c>
      <c r="DG874" s="1852" t="str">
        <f t="shared" si="89"/>
        <v/>
      </c>
      <c r="DH874" s="1852" t="str">
        <f t="shared" si="90"/>
        <v/>
      </c>
      <c r="DI874" s="1852" t="str">
        <f t="shared" si="91"/>
        <v/>
      </c>
      <c r="DJ874" s="1852" t="str">
        <f t="shared" si="92"/>
        <v/>
      </c>
      <c r="DK874" s="1852" t="str">
        <f t="shared" si="93"/>
        <v/>
      </c>
      <c r="DL874" s="1852" t="str">
        <f t="shared" si="94"/>
        <v/>
      </c>
      <c r="DM874" s="1852" t="str">
        <f t="shared" si="95"/>
        <v/>
      </c>
      <c r="DN874" s="1852" t="str">
        <f t="shared" si="96"/>
        <v/>
      </c>
      <c r="DO874" s="1852" t="str">
        <f t="shared" si="97"/>
        <v/>
      </c>
      <c r="DP874" s="1852" t="str">
        <f t="shared" si="98"/>
        <v/>
      </c>
      <c r="DQ874" s="1852" t="str">
        <f t="shared" si="99"/>
        <v/>
      </c>
      <c r="DR874" s="1852" t="str">
        <f t="shared" si="100"/>
        <v/>
      </c>
      <c r="DS874" s="1852" t="str">
        <f t="shared" si="101"/>
        <v/>
      </c>
      <c r="DT874" s="1852" t="str">
        <f t="shared" si="102"/>
        <v/>
      </c>
      <c r="DU874" s="1852" t="str">
        <f t="shared" si="103"/>
        <v/>
      </c>
      <c r="DV874" s="1852" t="str">
        <f t="shared" si="104"/>
        <v/>
      </c>
      <c r="DW874" s="1852" t="str">
        <f t="shared" si="105"/>
        <v/>
      </c>
      <c r="DX874" s="1852" t="str">
        <f t="shared" si="106"/>
        <v/>
      </c>
      <c r="DY874" s="1852" t="str">
        <f t="shared" si="107"/>
        <v/>
      </c>
      <c r="DZ874" s="1852" t="str">
        <f t="shared" si="108"/>
        <v/>
      </c>
      <c r="EA874" s="1852" t="str">
        <f t="shared" si="109"/>
        <v/>
      </c>
      <c r="EB874" s="1852" t="str">
        <f t="shared" si="110"/>
        <v/>
      </c>
      <c r="EC874" s="1852" t="str">
        <f t="shared" si="111"/>
        <v/>
      </c>
      <c r="ED874" s="1852" t="str">
        <f t="shared" si="112"/>
        <v/>
      </c>
      <c r="EE874" s="1852" t="str">
        <f t="shared" si="113"/>
        <v/>
      </c>
      <c r="EF874" s="1852" t="str">
        <f t="shared" si="114"/>
        <v/>
      </c>
      <c r="EG874" s="1852" t="str">
        <f t="shared" si="115"/>
        <v/>
      </c>
      <c r="EH874" s="1852" t="str">
        <f t="shared" si="116"/>
        <v/>
      </c>
      <c r="EI874" s="1852" t="str">
        <f t="shared" si="117"/>
        <v/>
      </c>
      <c r="EJ874" s="1852" t="str">
        <f t="shared" si="118"/>
        <v/>
      </c>
      <c r="EK874" s="1852" t="str">
        <f t="shared" si="119"/>
        <v/>
      </c>
      <c r="EL874" s="1852" t="str">
        <f t="shared" si="120"/>
        <v/>
      </c>
      <c r="EM874" s="1852" t="str">
        <f t="shared" si="121"/>
        <v/>
      </c>
      <c r="EN874" s="1852" t="str">
        <f t="shared" si="122"/>
        <v/>
      </c>
      <c r="EO874" s="1852" t="str">
        <f t="shared" si="123"/>
        <v/>
      </c>
      <c r="EP874" s="1852" t="str">
        <f t="shared" si="124"/>
        <v/>
      </c>
      <c r="EQ874" s="1852" t="str">
        <f t="shared" si="125"/>
        <v/>
      </c>
      <c r="ER874" s="1852" t="str">
        <f t="shared" si="126"/>
        <v/>
      </c>
      <c r="ES874" s="1852" t="str">
        <f t="shared" si="127"/>
        <v/>
      </c>
      <c r="ET874" s="1852" t="str">
        <f t="shared" si="128"/>
        <v/>
      </c>
      <c r="EU874" s="1852" t="str">
        <f t="shared" si="129"/>
        <v/>
      </c>
      <c r="EV874" s="1852" t="str">
        <f t="shared" si="130"/>
        <v/>
      </c>
      <c r="EW874" s="1852" t="str">
        <f t="shared" si="131"/>
        <v/>
      </c>
      <c r="EX874" s="1852" t="str">
        <f t="shared" si="132"/>
        <v/>
      </c>
      <c r="EY874" s="1852" t="str">
        <f t="shared" si="133"/>
        <v/>
      </c>
      <c r="EZ874" s="1852" t="str">
        <f t="shared" si="134"/>
        <v/>
      </c>
      <c r="FA874" s="1852" t="str">
        <f t="shared" si="135"/>
        <v/>
      </c>
      <c r="FB874" s="1852" t="str">
        <f t="shared" si="136"/>
        <v/>
      </c>
      <c r="FC874" s="1852" t="str">
        <f t="shared" si="137"/>
        <v/>
      </c>
      <c r="FD874" s="1852" t="str">
        <f t="shared" si="138"/>
        <v/>
      </c>
      <c r="FE874" s="1852" t="str">
        <f t="shared" si="139"/>
        <v/>
      </c>
      <c r="FF874" s="1852" t="str">
        <f t="shared" si="140"/>
        <v/>
      </c>
      <c r="FG874" s="1852" t="str">
        <f t="shared" si="141"/>
        <v/>
      </c>
      <c r="FH874" s="1852" t="str">
        <f t="shared" si="142"/>
        <v/>
      </c>
      <c r="FI874" s="1852" t="str">
        <f t="shared" si="143"/>
        <v/>
      </c>
      <c r="FJ874" s="1852" t="str">
        <f t="shared" si="144"/>
        <v/>
      </c>
      <c r="FK874" s="1852" t="str">
        <f t="shared" si="145"/>
        <v/>
      </c>
      <c r="FL874" s="1852" t="str">
        <f t="shared" si="146"/>
        <v/>
      </c>
      <c r="FM874" s="1852" t="str">
        <f t="shared" si="147"/>
        <v/>
      </c>
      <c r="FN874" s="1852" t="str">
        <f t="shared" si="148"/>
        <v/>
      </c>
      <c r="FO874" s="1852" t="str">
        <f t="shared" si="149"/>
        <v/>
      </c>
      <c r="FP874" s="1852" t="str">
        <f t="shared" si="150"/>
        <v/>
      </c>
      <c r="FQ874" s="1852" t="str">
        <f t="shared" si="151"/>
        <v/>
      </c>
      <c r="FR874" s="1852" t="str">
        <f t="shared" si="152"/>
        <v/>
      </c>
      <c r="FS874" s="1852" t="str">
        <f t="shared" si="153"/>
        <v/>
      </c>
      <c r="FT874" s="1852" t="str">
        <f t="shared" si="154"/>
        <v/>
      </c>
      <c r="FU874" s="1852" t="str">
        <f t="shared" si="155"/>
        <v/>
      </c>
      <c r="FV874" s="1852" t="str">
        <f t="shared" si="156"/>
        <v/>
      </c>
      <c r="FW874" s="1852" t="str">
        <f t="shared" si="157"/>
        <v/>
      </c>
      <c r="FX874" s="1852" t="str">
        <f t="shared" si="158"/>
        <v/>
      </c>
      <c r="FY874" s="1852" t="str">
        <f t="shared" si="159"/>
        <v/>
      </c>
      <c r="FZ874" s="1852" t="str">
        <f t="shared" si="160"/>
        <v/>
      </c>
      <c r="GA874" s="1852" t="str">
        <f t="shared" si="161"/>
        <v/>
      </c>
      <c r="GB874" s="1852" t="str">
        <f t="shared" si="162"/>
        <v/>
      </c>
      <c r="GC874" s="1852" t="str">
        <f t="shared" si="163"/>
        <v/>
      </c>
      <c r="GD874" s="1852" t="str">
        <f t="shared" si="164"/>
        <v/>
      </c>
      <c r="GE874" s="1852" t="str">
        <f t="shared" si="165"/>
        <v/>
      </c>
      <c r="GF874" s="1852" t="str">
        <f t="shared" si="166"/>
        <v/>
      </c>
      <c r="GG874" s="1852" t="str">
        <f t="shared" si="167"/>
        <v/>
      </c>
      <c r="GH874" s="1852" t="str">
        <f t="shared" si="168"/>
        <v/>
      </c>
      <c r="GI874" s="1852" t="str">
        <f t="shared" si="169"/>
        <v/>
      </c>
      <c r="GJ874" s="1852" t="str">
        <f t="shared" si="170"/>
        <v/>
      </c>
      <c r="GK874" s="1852" t="str">
        <f t="shared" si="171"/>
        <v/>
      </c>
      <c r="GL874" s="1852" t="str">
        <f t="shared" si="172"/>
        <v/>
      </c>
      <c r="GM874" s="1852" t="str">
        <f t="shared" si="173"/>
        <v/>
      </c>
      <c r="GN874" s="1852" t="str">
        <f t="shared" si="174"/>
        <v/>
      </c>
      <c r="GO874" s="1852" t="str">
        <f t="shared" si="175"/>
        <v/>
      </c>
      <c r="GP874" s="1852" t="str">
        <f t="shared" si="176"/>
        <v/>
      </c>
      <c r="GQ874" s="1852" t="str">
        <f t="shared" si="177"/>
        <v/>
      </c>
      <c r="GR874" s="1852" t="str">
        <f t="shared" si="178"/>
        <v/>
      </c>
      <c r="GS874" s="1852" t="str">
        <f t="shared" si="179"/>
        <v/>
      </c>
      <c r="GT874" s="1852" t="str">
        <f t="shared" si="180"/>
        <v/>
      </c>
      <c r="GU874" s="1852" t="str">
        <f t="shared" si="181"/>
        <v/>
      </c>
      <c r="GV874" s="1852" t="str">
        <f t="shared" si="182"/>
        <v/>
      </c>
      <c r="GW874" s="1852" t="str">
        <f t="shared" si="183"/>
        <v/>
      </c>
      <c r="GX874" s="1852" t="str">
        <f t="shared" si="184"/>
        <v/>
      </c>
      <c r="GY874" s="1852" t="str">
        <f t="shared" si="185"/>
        <v/>
      </c>
      <c r="GZ874" s="1852" t="str">
        <f t="shared" si="186"/>
        <v/>
      </c>
      <c r="HA874" s="1852" t="str">
        <f t="shared" si="187"/>
        <v/>
      </c>
      <c r="HB874" s="1852" t="str">
        <f t="shared" si="188"/>
        <v/>
      </c>
      <c r="HC874" s="1852" t="str">
        <f t="shared" si="189"/>
        <v/>
      </c>
      <c r="HD874" s="1852" t="str">
        <f t="shared" si="190"/>
        <v/>
      </c>
      <c r="HE874" s="1852" t="str">
        <f t="shared" si="191"/>
        <v/>
      </c>
      <c r="HF874" s="1852" t="str">
        <f t="shared" si="192"/>
        <v/>
      </c>
      <c r="HG874" s="1852" t="str">
        <f t="shared" si="193"/>
        <v/>
      </c>
      <c r="HH874" s="1852" t="str">
        <f t="shared" si="194"/>
        <v/>
      </c>
      <c r="HI874" s="1852" t="str">
        <f t="shared" si="195"/>
        <v/>
      </c>
      <c r="HJ874" s="1852" t="str">
        <f t="shared" si="196"/>
        <v/>
      </c>
      <c r="HK874" s="1852" t="str">
        <f t="shared" si="197"/>
        <v/>
      </c>
      <c r="HL874" s="1852" t="str">
        <f t="shared" si="198"/>
        <v/>
      </c>
      <c r="HM874" s="1852" t="str">
        <f t="shared" si="199"/>
        <v/>
      </c>
      <c r="HN874" s="1852" t="str">
        <f t="shared" si="200"/>
        <v/>
      </c>
      <c r="HO874" s="1852" t="str">
        <f t="shared" si="201"/>
        <v/>
      </c>
      <c r="HP874" s="1852" t="str">
        <f t="shared" si="202"/>
        <v/>
      </c>
      <c r="HQ874" s="1852" t="str">
        <f t="shared" si="203"/>
        <v/>
      </c>
      <c r="HR874" s="1852" t="str">
        <f t="shared" si="204"/>
        <v/>
      </c>
      <c r="HS874" s="1852" t="str">
        <f t="shared" si="205"/>
        <v/>
      </c>
      <c r="HT874" s="1852" t="str">
        <f t="shared" si="206"/>
        <v/>
      </c>
      <c r="HU874" s="1852" t="str">
        <f t="shared" si="207"/>
        <v/>
      </c>
      <c r="HV874" s="1852" t="str">
        <f t="shared" si="208"/>
        <v/>
      </c>
      <c r="HW874" s="1852" t="str">
        <f t="shared" si="209"/>
        <v/>
      </c>
      <c r="HX874" s="1852" t="str">
        <f t="shared" si="210"/>
        <v/>
      </c>
      <c r="HY874" s="1852" t="str">
        <f t="shared" si="211"/>
        <v/>
      </c>
      <c r="HZ874" s="2140" t="str">
        <f t="shared" si="212"/>
        <v/>
      </c>
      <c r="IA874" s="2140" t="str">
        <f t="shared" si="213"/>
        <v/>
      </c>
      <c r="IB874" s="2140" t="str">
        <f t="shared" si="214"/>
        <v/>
      </c>
      <c r="IC874" s="2140" t="str">
        <f t="shared" si="215"/>
        <v/>
      </c>
      <c r="ID874" s="2140" t="str">
        <f t="shared" si="216"/>
        <v/>
      </c>
      <c r="IE874" s="2140" t="str">
        <f t="shared" si="217"/>
        <v/>
      </c>
      <c r="IF874" s="2140" t="str">
        <f t="shared" si="218"/>
        <v/>
      </c>
      <c r="IG874" s="2140" t="str">
        <f t="shared" si="219"/>
        <v/>
      </c>
      <c r="IH874" s="2140" t="str">
        <f t="shared" si="220"/>
        <v/>
      </c>
      <c r="II874" s="2140" t="str">
        <f t="shared" si="221"/>
        <v/>
      </c>
      <c r="IJ874" s="2140" t="str">
        <f t="shared" si="222"/>
        <v/>
      </c>
      <c r="IK874" s="2140" t="str">
        <f t="shared" si="223"/>
        <v/>
      </c>
      <c r="IL874" s="2140" t="str">
        <f t="shared" si="224"/>
        <v/>
      </c>
      <c r="IM874" s="2140" t="str">
        <f t="shared" si="225"/>
        <v/>
      </c>
      <c r="IN874" s="2140" t="str">
        <f t="shared" si="226"/>
        <v/>
      </c>
      <c r="IO874" s="2140" t="str">
        <f t="shared" si="227"/>
        <v/>
      </c>
      <c r="IP874" s="2140" t="str">
        <f t="shared" si="228"/>
        <v/>
      </c>
      <c r="IQ874" s="2140" t="str">
        <f t="shared" si="229"/>
        <v/>
      </c>
      <c r="IR874" s="2140" t="str">
        <f t="shared" si="230"/>
        <v/>
      </c>
      <c r="IS874" s="2140" t="str">
        <f t="shared" si="231"/>
        <v/>
      </c>
      <c r="IT874" s="2140" t="str">
        <f t="shared" si="232"/>
        <v/>
      </c>
      <c r="IU874" s="2140" t="str">
        <f t="shared" si="233"/>
        <v/>
      </c>
      <c r="IV874" s="2140" t="str">
        <f t="shared" si="234"/>
        <v/>
      </c>
      <c r="IW874" s="2140" t="str">
        <f t="shared" si="235"/>
        <v/>
      </c>
      <c r="IX874" s="2140" t="str">
        <f t="shared" si="236"/>
        <v/>
      </c>
      <c r="IY874" s="2140" t="str">
        <f t="shared" si="237"/>
        <v/>
      </c>
      <c r="IZ874" s="2140" t="str">
        <f t="shared" si="238"/>
        <v/>
      </c>
      <c r="JA874" s="2140" t="str">
        <f t="shared" si="239"/>
        <v/>
      </c>
      <c r="JB874" s="2140" t="str">
        <f t="shared" si="240"/>
        <v/>
      </c>
      <c r="JC874" s="2140" t="str">
        <f t="shared" si="241"/>
        <v/>
      </c>
      <c r="JD874" s="2140" t="str">
        <f t="shared" si="242"/>
        <v/>
      </c>
      <c r="JE874" s="2140" t="str">
        <f t="shared" si="243"/>
        <v/>
      </c>
      <c r="JF874" s="2140" t="str">
        <f t="shared" si="244"/>
        <v/>
      </c>
      <c r="JG874" s="2140" t="str">
        <f t="shared" si="245"/>
        <v/>
      </c>
      <c r="JH874" s="2140" t="str">
        <f t="shared" si="246"/>
        <v/>
      </c>
      <c r="JI874" s="2140" t="str">
        <f t="shared" si="247"/>
        <v/>
      </c>
      <c r="JJ874" s="2140" t="str">
        <f t="shared" si="248"/>
        <v/>
      </c>
      <c r="JK874" s="2140" t="str">
        <f t="shared" si="249"/>
        <v/>
      </c>
      <c r="JL874" s="2140" t="str">
        <f t="shared" si="250"/>
        <v/>
      </c>
      <c r="JM874" s="2140" t="str">
        <f t="shared" si="251"/>
        <v/>
      </c>
      <c r="JN874" s="2140" t="str">
        <f t="shared" si="252"/>
        <v/>
      </c>
      <c r="JO874" s="2140" t="str">
        <f t="shared" si="253"/>
        <v/>
      </c>
      <c r="JP874" s="2140" t="str">
        <f t="shared" si="254"/>
        <v/>
      </c>
      <c r="JQ874" s="2140" t="str">
        <f t="shared" si="255"/>
        <v/>
      </c>
      <c r="JR874" s="2140" t="str">
        <f t="shared" si="256"/>
        <v/>
      </c>
      <c r="JS874" s="2140" t="str">
        <f t="shared" si="257"/>
        <v/>
      </c>
      <c r="JT874" s="2140" t="str">
        <f t="shared" si="258"/>
        <v/>
      </c>
      <c r="JU874" s="2140" t="str">
        <f t="shared" si="259"/>
        <v/>
      </c>
      <c r="JV874" s="2140" t="str">
        <f t="shared" si="260"/>
        <v/>
      </c>
      <c r="JW874" s="2140" t="str">
        <f t="shared" si="261"/>
        <v/>
      </c>
      <c r="JX874" s="2140" t="str">
        <f t="shared" si="262"/>
        <v/>
      </c>
      <c r="JY874" s="2140" t="str">
        <f t="shared" si="263"/>
        <v/>
      </c>
      <c r="JZ874" s="2140" t="str">
        <f t="shared" si="264"/>
        <v/>
      </c>
      <c r="KA874" s="2140" t="str">
        <f t="shared" si="265"/>
        <v/>
      </c>
      <c r="KB874" s="2140" t="str">
        <f t="shared" si="266"/>
        <v/>
      </c>
      <c r="KC874" s="2140" t="str">
        <f t="shared" si="267"/>
        <v/>
      </c>
      <c r="KD874" s="2140" t="str">
        <f t="shared" si="268"/>
        <v/>
      </c>
      <c r="KE874" s="2140" t="str">
        <f t="shared" si="269"/>
        <v/>
      </c>
      <c r="KF874" s="2140" t="str">
        <f t="shared" si="270"/>
        <v/>
      </c>
      <c r="KG874" s="2140" t="str">
        <f t="shared" si="271"/>
        <v/>
      </c>
      <c r="KH874" s="2140" t="str">
        <f t="shared" si="272"/>
        <v/>
      </c>
      <c r="KI874" s="2140" t="str">
        <f t="shared" si="273"/>
        <v/>
      </c>
      <c r="KJ874" s="2140" t="str">
        <f t="shared" si="274"/>
        <v/>
      </c>
      <c r="KK874" s="2140" t="str">
        <f t="shared" si="275"/>
        <v/>
      </c>
      <c r="KL874" s="2140" t="str">
        <f t="shared" si="276"/>
        <v/>
      </c>
      <c r="KM874" s="2140" t="str">
        <f t="shared" si="277"/>
        <v/>
      </c>
      <c r="KN874" s="2140" t="str">
        <f t="shared" si="278"/>
        <v/>
      </c>
      <c r="KO874" s="2140" t="str">
        <f t="shared" si="279"/>
        <v/>
      </c>
      <c r="KP874" s="2140" t="str">
        <f t="shared" si="280"/>
        <v/>
      </c>
      <c r="KQ874" s="2140" t="str">
        <f t="shared" si="281"/>
        <v/>
      </c>
      <c r="KR874" s="2140" t="str">
        <f t="shared" si="282"/>
        <v/>
      </c>
      <c r="KS874" s="2140" t="str">
        <f t="shared" si="283"/>
        <v/>
      </c>
      <c r="KT874" s="2140" t="str">
        <f t="shared" si="284"/>
        <v/>
      </c>
      <c r="KU874" s="2140" t="str">
        <f t="shared" si="285"/>
        <v/>
      </c>
      <c r="KV874" s="2140" t="str">
        <f t="shared" si="286"/>
        <v/>
      </c>
      <c r="KW874" s="2140" t="str">
        <f t="shared" si="287"/>
        <v/>
      </c>
      <c r="KX874" s="2140" t="str">
        <f t="shared" si="288"/>
        <v/>
      </c>
      <c r="KY874" s="2140" t="str">
        <f t="shared" si="289"/>
        <v/>
      </c>
      <c r="KZ874" s="2140" t="str">
        <f t="shared" si="290"/>
        <v/>
      </c>
      <c r="LA874" s="2140" t="str">
        <f t="shared" si="291"/>
        <v/>
      </c>
      <c r="LB874" s="2140" t="str">
        <f t="shared" si="292"/>
        <v/>
      </c>
      <c r="LC874" s="2140" t="str">
        <f t="shared" si="293"/>
        <v/>
      </c>
      <c r="LD874" s="2140" t="str">
        <f t="shared" si="294"/>
        <v/>
      </c>
      <c r="LE874" s="2140" t="str">
        <f t="shared" si="295"/>
        <v/>
      </c>
      <c r="LF874" s="2140" t="str">
        <f t="shared" si="296"/>
        <v/>
      </c>
      <c r="LG874" s="2051" t="str">
        <f t="shared" si="297"/>
        <v/>
      </c>
      <c r="LH874" s="2051" t="str">
        <f t="shared" si="298"/>
        <v/>
      </c>
      <c r="LI874" s="2051" t="str">
        <f t="shared" si="299"/>
        <v/>
      </c>
      <c r="LJ874" s="2051" t="str">
        <f t="shared" si="300"/>
        <v/>
      </c>
      <c r="LK874" s="2051" t="str">
        <f t="shared" si="301"/>
        <v/>
      </c>
      <c r="LL874" s="1852" t="str">
        <f t="shared" si="302"/>
        <v/>
      </c>
      <c r="LM874" s="1852" t="str">
        <f t="shared" si="303"/>
        <v/>
      </c>
      <c r="LN874" s="1852" t="str">
        <f t="shared" si="304"/>
        <v/>
      </c>
      <c r="LO874" s="1852" t="str">
        <f t="shared" si="305"/>
        <v/>
      </c>
      <c r="LP874" s="1852" t="str">
        <f t="shared" si="306"/>
        <v/>
      </c>
      <c r="LQ874" s="1852" t="str">
        <f t="shared" si="307"/>
        <v/>
      </c>
      <c r="LR874" s="1852" t="str">
        <f t="shared" si="308"/>
        <v/>
      </c>
      <c r="LS874" s="1852" t="str">
        <f t="shared" si="309"/>
        <v/>
      </c>
      <c r="LT874" s="1852" t="str">
        <f t="shared" si="310"/>
        <v/>
      </c>
      <c r="LU874" s="1852" t="str">
        <f t="shared" si="311"/>
        <v/>
      </c>
      <c r="LV874" s="1852" t="str">
        <f t="shared" si="312"/>
        <v/>
      </c>
      <c r="LW874" s="1852" t="str">
        <f t="shared" si="313"/>
        <v/>
      </c>
      <c r="LX874" s="1852" t="str">
        <f t="shared" si="314"/>
        <v/>
      </c>
      <c r="LY874" s="1852" t="str">
        <f t="shared" si="315"/>
        <v/>
      </c>
      <c r="LZ874" s="1852" t="str">
        <f t="shared" si="316"/>
        <v/>
      </c>
      <c r="MA874" s="1852" t="str">
        <f t="shared" si="317"/>
        <v/>
      </c>
      <c r="MB874" s="1852" t="str">
        <f t="shared" si="318"/>
        <v/>
      </c>
      <c r="MC874" s="1852" t="str">
        <f t="shared" si="319"/>
        <v/>
      </c>
      <c r="MD874" s="1852" t="str">
        <f t="shared" si="320"/>
        <v/>
      </c>
      <c r="ME874" s="1852" t="str">
        <f t="shared" si="321"/>
        <v/>
      </c>
      <c r="MF874" s="2051">
        <f t="shared" si="328"/>
        <v>0</v>
      </c>
      <c r="MG874" s="2051">
        <f t="shared" si="329"/>
        <v>0</v>
      </c>
      <c r="MH874" s="2051">
        <f t="shared" si="330"/>
        <v>0</v>
      </c>
      <c r="MI874" s="2051">
        <f t="shared" si="331"/>
        <v>0</v>
      </c>
      <c r="MJ874" s="2051">
        <f t="shared" si="332"/>
        <v>0</v>
      </c>
      <c r="MK874" s="2051">
        <f t="shared" si="333"/>
        <v>0</v>
      </c>
      <c r="ML874" s="2051">
        <f t="shared" si="334"/>
        <v>0</v>
      </c>
      <c r="MM874" s="2051">
        <f t="shared" si="335"/>
        <v>0</v>
      </c>
      <c r="MN874" s="2051">
        <f t="shared" si="336"/>
        <v>0</v>
      </c>
      <c r="MO874" s="2051">
        <f t="shared" si="337"/>
        <v>0</v>
      </c>
      <c r="MP874" s="2051">
        <f t="shared" si="322"/>
        <v>0</v>
      </c>
      <c r="MQ874" s="2051">
        <f t="shared" si="323"/>
        <v>0</v>
      </c>
      <c r="MR874" s="2051">
        <f t="shared" si="324"/>
        <v>0</v>
      </c>
      <c r="MS874" s="2051">
        <f t="shared" si="325"/>
        <v>0</v>
      </c>
      <c r="MT874" s="2051">
        <f t="shared" si="326"/>
        <v>0</v>
      </c>
      <c r="NP874" s="1924" t="s">
        <v>6743</v>
      </c>
    </row>
    <row r="875" spans="1:380" s="1852" customFormat="1" ht="13.9" customHeight="1">
      <c r="A875" s="2108" t="str">
        <f t="shared" si="327"/>
        <v/>
      </c>
      <c r="B875" s="2130">
        <f>'Part VI-Revenues &amp; Expenses'!B35</f>
        <v>0</v>
      </c>
      <c r="C875" s="2131">
        <f>'Part VI-Revenues &amp; Expenses'!C35</f>
        <v>0</v>
      </c>
      <c r="D875" s="2132">
        <f>'Part VI-Revenues &amp; Expenses'!D35</f>
        <v>0</v>
      </c>
      <c r="E875" s="2133">
        <f>'Part VI-Revenues &amp; Expenses'!E35</f>
        <v>0</v>
      </c>
      <c r="F875" s="2133">
        <f>'Part VI-Revenues &amp; Expenses'!F35</f>
        <v>0</v>
      </c>
      <c r="G875" s="2133">
        <f>'Part VI-Revenues &amp; Expenses'!G35</f>
        <v>0</v>
      </c>
      <c r="H875" s="2133">
        <f>'Part VI-Revenues &amp; Expenses'!H35</f>
        <v>0</v>
      </c>
      <c r="I875" s="2133">
        <f>'Part VI-Revenues &amp; Expenses'!I35</f>
        <v>0</v>
      </c>
      <c r="J875" s="2133">
        <f>'Part VI-Revenues &amp; Expenses'!J35</f>
        <v>0</v>
      </c>
      <c r="K875" s="2134">
        <f>'Part VI-Revenues &amp; Expenses'!K35</f>
        <v>0</v>
      </c>
      <c r="L875" s="2135">
        <f t="shared" si="0"/>
        <v>0</v>
      </c>
      <c r="M875" s="2135">
        <f t="shared" si="1"/>
        <v>0</v>
      </c>
      <c r="N875" s="1916">
        <f>'Part VI-Revenues &amp; Expenses'!N35</f>
        <v>0</v>
      </c>
      <c r="O875" s="2136">
        <f>'Part VI-Revenues &amp; Expenses'!O35</f>
        <v>0</v>
      </c>
      <c r="P875" s="1916">
        <f>'Part VI-Revenues &amp; Expenses'!P35</f>
        <v>0</v>
      </c>
      <c r="Q875" s="2137">
        <f>'Part VI-Revenues &amp; Expenses'!Q35</f>
        <v>0</v>
      </c>
      <c r="R875" s="2138"/>
      <c r="S875" s="2139"/>
      <c r="T875" s="2043"/>
      <c r="U875" s="2043"/>
      <c r="V875" s="2043"/>
      <c r="W875" s="2043"/>
      <c r="X875" s="1852" t="str">
        <f t="shared" si="2"/>
        <v/>
      </c>
      <c r="Y875" s="1852" t="str">
        <f t="shared" si="3"/>
        <v/>
      </c>
      <c r="Z875" s="1852" t="str">
        <f t="shared" si="4"/>
        <v/>
      </c>
      <c r="AA875" s="1852" t="str">
        <f t="shared" si="5"/>
        <v/>
      </c>
      <c r="AB875" s="1852" t="str">
        <f t="shared" si="6"/>
        <v/>
      </c>
      <c r="AC875" s="1852" t="str">
        <f t="shared" si="7"/>
        <v/>
      </c>
      <c r="AD875" s="1852" t="str">
        <f t="shared" si="8"/>
        <v/>
      </c>
      <c r="AE875" s="1852" t="str">
        <f t="shared" si="9"/>
        <v/>
      </c>
      <c r="AF875" s="1852" t="str">
        <f t="shared" si="10"/>
        <v/>
      </c>
      <c r="AG875" s="1852" t="str">
        <f t="shared" si="11"/>
        <v/>
      </c>
      <c r="AH875" s="1852" t="str">
        <f t="shared" si="12"/>
        <v/>
      </c>
      <c r="AI875" s="1852" t="str">
        <f t="shared" si="13"/>
        <v/>
      </c>
      <c r="AJ875" s="1852" t="str">
        <f t="shared" si="14"/>
        <v/>
      </c>
      <c r="AK875" s="1852" t="str">
        <f t="shared" si="15"/>
        <v/>
      </c>
      <c r="AL875" s="1852" t="str">
        <f t="shared" si="16"/>
        <v/>
      </c>
      <c r="AM875" s="1852" t="str">
        <f t="shared" si="17"/>
        <v/>
      </c>
      <c r="AN875" s="1852" t="str">
        <f t="shared" si="18"/>
        <v/>
      </c>
      <c r="AO875" s="1852" t="str">
        <f t="shared" si="19"/>
        <v/>
      </c>
      <c r="AP875" s="1852" t="str">
        <f t="shared" si="20"/>
        <v/>
      </c>
      <c r="AQ875" s="1852" t="str">
        <f t="shared" si="21"/>
        <v/>
      </c>
      <c r="AR875" s="1852" t="str">
        <f t="shared" si="22"/>
        <v/>
      </c>
      <c r="AS875" s="1852" t="str">
        <f t="shared" si="23"/>
        <v/>
      </c>
      <c r="AT875" s="1852" t="str">
        <f t="shared" si="24"/>
        <v/>
      </c>
      <c r="AU875" s="1852" t="str">
        <f t="shared" si="25"/>
        <v/>
      </c>
      <c r="AV875" s="1852" t="str">
        <f t="shared" si="26"/>
        <v/>
      </c>
      <c r="AW875" s="1852" t="str">
        <f t="shared" si="27"/>
        <v/>
      </c>
      <c r="AX875" s="1852" t="str">
        <f t="shared" si="28"/>
        <v/>
      </c>
      <c r="AY875" s="1852" t="str">
        <f t="shared" si="29"/>
        <v/>
      </c>
      <c r="AZ875" s="1852" t="str">
        <f t="shared" si="30"/>
        <v/>
      </c>
      <c r="BA875" s="1852" t="str">
        <f t="shared" si="31"/>
        <v/>
      </c>
      <c r="BB875" s="1852" t="str">
        <f t="shared" si="32"/>
        <v/>
      </c>
      <c r="BC875" s="1852" t="str">
        <f t="shared" si="33"/>
        <v/>
      </c>
      <c r="BD875" s="1852" t="str">
        <f t="shared" si="34"/>
        <v/>
      </c>
      <c r="BE875" s="1852" t="str">
        <f t="shared" si="35"/>
        <v/>
      </c>
      <c r="BF875" s="1852" t="str">
        <f t="shared" si="36"/>
        <v/>
      </c>
      <c r="BG875" s="1852" t="str">
        <f t="shared" si="37"/>
        <v/>
      </c>
      <c r="BH875" s="1852" t="str">
        <f t="shared" si="38"/>
        <v/>
      </c>
      <c r="BI875" s="1852" t="str">
        <f t="shared" si="39"/>
        <v/>
      </c>
      <c r="BJ875" s="1852" t="str">
        <f t="shared" si="40"/>
        <v/>
      </c>
      <c r="BK875" s="1852" t="str">
        <f t="shared" si="41"/>
        <v/>
      </c>
      <c r="BL875" s="1852" t="str">
        <f t="shared" si="42"/>
        <v/>
      </c>
      <c r="BM875" s="1852" t="str">
        <f t="shared" si="43"/>
        <v/>
      </c>
      <c r="BN875" s="1852" t="str">
        <f t="shared" si="44"/>
        <v/>
      </c>
      <c r="BO875" s="1852" t="str">
        <f t="shared" si="45"/>
        <v/>
      </c>
      <c r="BP875" s="1852" t="str">
        <f t="shared" si="46"/>
        <v/>
      </c>
      <c r="BQ875" s="1852" t="str">
        <f t="shared" si="47"/>
        <v/>
      </c>
      <c r="BR875" s="1852" t="str">
        <f t="shared" si="48"/>
        <v/>
      </c>
      <c r="BS875" s="1852" t="str">
        <f t="shared" si="49"/>
        <v/>
      </c>
      <c r="BT875" s="1852" t="str">
        <f t="shared" si="50"/>
        <v/>
      </c>
      <c r="BU875" s="1852" t="str">
        <f t="shared" si="51"/>
        <v/>
      </c>
      <c r="BV875" s="1852" t="str">
        <f t="shared" si="52"/>
        <v/>
      </c>
      <c r="BW875" s="1852" t="str">
        <f t="shared" si="53"/>
        <v/>
      </c>
      <c r="BX875" s="1852" t="str">
        <f t="shared" si="54"/>
        <v/>
      </c>
      <c r="BY875" s="1852" t="str">
        <f t="shared" si="55"/>
        <v/>
      </c>
      <c r="BZ875" s="1852" t="str">
        <f t="shared" si="56"/>
        <v/>
      </c>
      <c r="CA875" s="1852" t="str">
        <f t="shared" si="57"/>
        <v/>
      </c>
      <c r="CB875" s="1852" t="str">
        <f t="shared" si="58"/>
        <v/>
      </c>
      <c r="CC875" s="1852" t="str">
        <f t="shared" si="59"/>
        <v/>
      </c>
      <c r="CD875" s="1852" t="str">
        <f t="shared" si="60"/>
        <v/>
      </c>
      <c r="CE875" s="1852" t="str">
        <f t="shared" si="61"/>
        <v/>
      </c>
      <c r="CF875" s="1852" t="str">
        <f t="shared" si="62"/>
        <v/>
      </c>
      <c r="CG875" s="1852" t="str">
        <f t="shared" si="63"/>
        <v/>
      </c>
      <c r="CH875" s="1852" t="str">
        <f t="shared" si="64"/>
        <v/>
      </c>
      <c r="CI875" s="1852" t="str">
        <f t="shared" si="65"/>
        <v/>
      </c>
      <c r="CJ875" s="1852" t="str">
        <f t="shared" si="66"/>
        <v/>
      </c>
      <c r="CK875" s="1852" t="str">
        <f t="shared" si="67"/>
        <v/>
      </c>
      <c r="CL875" s="1852" t="str">
        <f t="shared" si="68"/>
        <v/>
      </c>
      <c r="CM875" s="1852" t="str">
        <f t="shared" si="69"/>
        <v/>
      </c>
      <c r="CN875" s="1852" t="str">
        <f t="shared" si="70"/>
        <v/>
      </c>
      <c r="CO875" s="1852" t="str">
        <f t="shared" si="71"/>
        <v/>
      </c>
      <c r="CP875" s="1852" t="str">
        <f t="shared" si="72"/>
        <v/>
      </c>
      <c r="CQ875" s="1852" t="str">
        <f t="shared" si="73"/>
        <v/>
      </c>
      <c r="CR875" s="1852" t="str">
        <f t="shared" si="74"/>
        <v/>
      </c>
      <c r="CS875" s="1852" t="str">
        <f t="shared" si="75"/>
        <v/>
      </c>
      <c r="CT875" s="1852" t="str">
        <f t="shared" si="76"/>
        <v/>
      </c>
      <c r="CU875" s="1852" t="str">
        <f t="shared" si="77"/>
        <v/>
      </c>
      <c r="CV875" s="1852" t="str">
        <f t="shared" si="78"/>
        <v/>
      </c>
      <c r="CW875" s="1852" t="str">
        <f t="shared" si="79"/>
        <v/>
      </c>
      <c r="CX875" s="1852" t="str">
        <f t="shared" si="80"/>
        <v/>
      </c>
      <c r="CY875" s="1852" t="str">
        <f t="shared" si="81"/>
        <v/>
      </c>
      <c r="CZ875" s="1852" t="str">
        <f t="shared" si="82"/>
        <v/>
      </c>
      <c r="DA875" s="1852" t="str">
        <f t="shared" si="83"/>
        <v/>
      </c>
      <c r="DB875" s="1852" t="str">
        <f t="shared" si="84"/>
        <v/>
      </c>
      <c r="DC875" s="1852" t="str">
        <f t="shared" si="85"/>
        <v/>
      </c>
      <c r="DD875" s="1852" t="str">
        <f t="shared" si="86"/>
        <v/>
      </c>
      <c r="DE875" s="1852" t="str">
        <f t="shared" si="87"/>
        <v/>
      </c>
      <c r="DF875" s="1852" t="str">
        <f t="shared" si="88"/>
        <v/>
      </c>
      <c r="DG875" s="1852" t="str">
        <f t="shared" si="89"/>
        <v/>
      </c>
      <c r="DH875" s="1852" t="str">
        <f t="shared" si="90"/>
        <v/>
      </c>
      <c r="DI875" s="1852" t="str">
        <f t="shared" si="91"/>
        <v/>
      </c>
      <c r="DJ875" s="1852" t="str">
        <f t="shared" si="92"/>
        <v/>
      </c>
      <c r="DK875" s="1852" t="str">
        <f t="shared" si="93"/>
        <v/>
      </c>
      <c r="DL875" s="1852" t="str">
        <f t="shared" si="94"/>
        <v/>
      </c>
      <c r="DM875" s="1852" t="str">
        <f t="shared" si="95"/>
        <v/>
      </c>
      <c r="DN875" s="1852" t="str">
        <f t="shared" si="96"/>
        <v/>
      </c>
      <c r="DO875" s="1852" t="str">
        <f t="shared" si="97"/>
        <v/>
      </c>
      <c r="DP875" s="1852" t="str">
        <f t="shared" si="98"/>
        <v/>
      </c>
      <c r="DQ875" s="1852" t="str">
        <f t="shared" si="99"/>
        <v/>
      </c>
      <c r="DR875" s="1852" t="str">
        <f t="shared" si="100"/>
        <v/>
      </c>
      <c r="DS875" s="1852" t="str">
        <f t="shared" si="101"/>
        <v/>
      </c>
      <c r="DT875" s="1852" t="str">
        <f t="shared" si="102"/>
        <v/>
      </c>
      <c r="DU875" s="1852" t="str">
        <f t="shared" si="103"/>
        <v/>
      </c>
      <c r="DV875" s="1852" t="str">
        <f t="shared" si="104"/>
        <v/>
      </c>
      <c r="DW875" s="1852" t="str">
        <f t="shared" si="105"/>
        <v/>
      </c>
      <c r="DX875" s="1852" t="str">
        <f t="shared" si="106"/>
        <v/>
      </c>
      <c r="DY875" s="1852" t="str">
        <f t="shared" si="107"/>
        <v/>
      </c>
      <c r="DZ875" s="1852" t="str">
        <f t="shared" si="108"/>
        <v/>
      </c>
      <c r="EA875" s="1852" t="str">
        <f t="shared" si="109"/>
        <v/>
      </c>
      <c r="EB875" s="1852" t="str">
        <f t="shared" si="110"/>
        <v/>
      </c>
      <c r="EC875" s="1852" t="str">
        <f t="shared" si="111"/>
        <v/>
      </c>
      <c r="ED875" s="1852" t="str">
        <f t="shared" si="112"/>
        <v/>
      </c>
      <c r="EE875" s="1852" t="str">
        <f t="shared" si="113"/>
        <v/>
      </c>
      <c r="EF875" s="1852" t="str">
        <f t="shared" si="114"/>
        <v/>
      </c>
      <c r="EG875" s="1852" t="str">
        <f t="shared" si="115"/>
        <v/>
      </c>
      <c r="EH875" s="1852" t="str">
        <f t="shared" si="116"/>
        <v/>
      </c>
      <c r="EI875" s="1852" t="str">
        <f t="shared" si="117"/>
        <v/>
      </c>
      <c r="EJ875" s="1852" t="str">
        <f t="shared" si="118"/>
        <v/>
      </c>
      <c r="EK875" s="1852" t="str">
        <f t="shared" si="119"/>
        <v/>
      </c>
      <c r="EL875" s="1852" t="str">
        <f t="shared" si="120"/>
        <v/>
      </c>
      <c r="EM875" s="1852" t="str">
        <f t="shared" si="121"/>
        <v/>
      </c>
      <c r="EN875" s="1852" t="str">
        <f t="shared" si="122"/>
        <v/>
      </c>
      <c r="EO875" s="1852" t="str">
        <f t="shared" si="123"/>
        <v/>
      </c>
      <c r="EP875" s="1852" t="str">
        <f t="shared" si="124"/>
        <v/>
      </c>
      <c r="EQ875" s="1852" t="str">
        <f t="shared" si="125"/>
        <v/>
      </c>
      <c r="ER875" s="1852" t="str">
        <f t="shared" si="126"/>
        <v/>
      </c>
      <c r="ES875" s="1852" t="str">
        <f t="shared" si="127"/>
        <v/>
      </c>
      <c r="ET875" s="1852" t="str">
        <f t="shared" si="128"/>
        <v/>
      </c>
      <c r="EU875" s="1852" t="str">
        <f t="shared" si="129"/>
        <v/>
      </c>
      <c r="EV875" s="1852" t="str">
        <f t="shared" si="130"/>
        <v/>
      </c>
      <c r="EW875" s="1852" t="str">
        <f t="shared" si="131"/>
        <v/>
      </c>
      <c r="EX875" s="1852" t="str">
        <f t="shared" si="132"/>
        <v/>
      </c>
      <c r="EY875" s="1852" t="str">
        <f t="shared" si="133"/>
        <v/>
      </c>
      <c r="EZ875" s="1852" t="str">
        <f t="shared" si="134"/>
        <v/>
      </c>
      <c r="FA875" s="1852" t="str">
        <f t="shared" si="135"/>
        <v/>
      </c>
      <c r="FB875" s="1852" t="str">
        <f t="shared" si="136"/>
        <v/>
      </c>
      <c r="FC875" s="1852" t="str">
        <f t="shared" si="137"/>
        <v/>
      </c>
      <c r="FD875" s="1852" t="str">
        <f t="shared" si="138"/>
        <v/>
      </c>
      <c r="FE875" s="1852" t="str">
        <f t="shared" si="139"/>
        <v/>
      </c>
      <c r="FF875" s="1852" t="str">
        <f t="shared" si="140"/>
        <v/>
      </c>
      <c r="FG875" s="1852" t="str">
        <f t="shared" si="141"/>
        <v/>
      </c>
      <c r="FH875" s="1852" t="str">
        <f t="shared" si="142"/>
        <v/>
      </c>
      <c r="FI875" s="1852" t="str">
        <f t="shared" si="143"/>
        <v/>
      </c>
      <c r="FJ875" s="1852" t="str">
        <f t="shared" si="144"/>
        <v/>
      </c>
      <c r="FK875" s="1852" t="str">
        <f t="shared" si="145"/>
        <v/>
      </c>
      <c r="FL875" s="1852" t="str">
        <f t="shared" si="146"/>
        <v/>
      </c>
      <c r="FM875" s="1852" t="str">
        <f t="shared" si="147"/>
        <v/>
      </c>
      <c r="FN875" s="1852" t="str">
        <f t="shared" si="148"/>
        <v/>
      </c>
      <c r="FO875" s="1852" t="str">
        <f t="shared" si="149"/>
        <v/>
      </c>
      <c r="FP875" s="1852" t="str">
        <f t="shared" si="150"/>
        <v/>
      </c>
      <c r="FQ875" s="1852" t="str">
        <f t="shared" si="151"/>
        <v/>
      </c>
      <c r="FR875" s="1852" t="str">
        <f t="shared" si="152"/>
        <v/>
      </c>
      <c r="FS875" s="1852" t="str">
        <f t="shared" si="153"/>
        <v/>
      </c>
      <c r="FT875" s="1852" t="str">
        <f t="shared" si="154"/>
        <v/>
      </c>
      <c r="FU875" s="1852" t="str">
        <f t="shared" si="155"/>
        <v/>
      </c>
      <c r="FV875" s="1852" t="str">
        <f t="shared" si="156"/>
        <v/>
      </c>
      <c r="FW875" s="1852" t="str">
        <f t="shared" si="157"/>
        <v/>
      </c>
      <c r="FX875" s="1852" t="str">
        <f t="shared" si="158"/>
        <v/>
      </c>
      <c r="FY875" s="1852" t="str">
        <f t="shared" si="159"/>
        <v/>
      </c>
      <c r="FZ875" s="1852" t="str">
        <f t="shared" si="160"/>
        <v/>
      </c>
      <c r="GA875" s="1852" t="str">
        <f t="shared" si="161"/>
        <v/>
      </c>
      <c r="GB875" s="1852" t="str">
        <f t="shared" si="162"/>
        <v/>
      </c>
      <c r="GC875" s="1852" t="str">
        <f t="shared" si="163"/>
        <v/>
      </c>
      <c r="GD875" s="1852" t="str">
        <f t="shared" si="164"/>
        <v/>
      </c>
      <c r="GE875" s="1852" t="str">
        <f t="shared" si="165"/>
        <v/>
      </c>
      <c r="GF875" s="1852" t="str">
        <f t="shared" si="166"/>
        <v/>
      </c>
      <c r="GG875" s="1852" t="str">
        <f t="shared" si="167"/>
        <v/>
      </c>
      <c r="GH875" s="1852" t="str">
        <f t="shared" si="168"/>
        <v/>
      </c>
      <c r="GI875" s="1852" t="str">
        <f t="shared" si="169"/>
        <v/>
      </c>
      <c r="GJ875" s="1852" t="str">
        <f t="shared" si="170"/>
        <v/>
      </c>
      <c r="GK875" s="1852" t="str">
        <f t="shared" si="171"/>
        <v/>
      </c>
      <c r="GL875" s="1852" t="str">
        <f t="shared" si="172"/>
        <v/>
      </c>
      <c r="GM875" s="1852" t="str">
        <f t="shared" si="173"/>
        <v/>
      </c>
      <c r="GN875" s="1852" t="str">
        <f t="shared" si="174"/>
        <v/>
      </c>
      <c r="GO875" s="1852" t="str">
        <f t="shared" si="175"/>
        <v/>
      </c>
      <c r="GP875" s="1852" t="str">
        <f t="shared" si="176"/>
        <v/>
      </c>
      <c r="GQ875" s="1852" t="str">
        <f t="shared" si="177"/>
        <v/>
      </c>
      <c r="GR875" s="1852" t="str">
        <f t="shared" si="178"/>
        <v/>
      </c>
      <c r="GS875" s="1852" t="str">
        <f t="shared" si="179"/>
        <v/>
      </c>
      <c r="GT875" s="1852" t="str">
        <f t="shared" si="180"/>
        <v/>
      </c>
      <c r="GU875" s="1852" t="str">
        <f t="shared" si="181"/>
        <v/>
      </c>
      <c r="GV875" s="1852" t="str">
        <f t="shared" si="182"/>
        <v/>
      </c>
      <c r="GW875" s="1852" t="str">
        <f t="shared" si="183"/>
        <v/>
      </c>
      <c r="GX875" s="1852" t="str">
        <f t="shared" si="184"/>
        <v/>
      </c>
      <c r="GY875" s="1852" t="str">
        <f t="shared" si="185"/>
        <v/>
      </c>
      <c r="GZ875" s="1852" t="str">
        <f t="shared" si="186"/>
        <v/>
      </c>
      <c r="HA875" s="1852" t="str">
        <f t="shared" si="187"/>
        <v/>
      </c>
      <c r="HB875" s="1852" t="str">
        <f t="shared" si="188"/>
        <v/>
      </c>
      <c r="HC875" s="1852" t="str">
        <f t="shared" si="189"/>
        <v/>
      </c>
      <c r="HD875" s="1852" t="str">
        <f t="shared" si="190"/>
        <v/>
      </c>
      <c r="HE875" s="1852" t="str">
        <f t="shared" si="191"/>
        <v/>
      </c>
      <c r="HF875" s="1852" t="str">
        <f t="shared" si="192"/>
        <v/>
      </c>
      <c r="HG875" s="1852" t="str">
        <f t="shared" si="193"/>
        <v/>
      </c>
      <c r="HH875" s="1852" t="str">
        <f t="shared" si="194"/>
        <v/>
      </c>
      <c r="HI875" s="1852" t="str">
        <f t="shared" si="195"/>
        <v/>
      </c>
      <c r="HJ875" s="1852" t="str">
        <f t="shared" si="196"/>
        <v/>
      </c>
      <c r="HK875" s="1852" t="str">
        <f t="shared" si="197"/>
        <v/>
      </c>
      <c r="HL875" s="1852" t="str">
        <f t="shared" si="198"/>
        <v/>
      </c>
      <c r="HM875" s="1852" t="str">
        <f t="shared" si="199"/>
        <v/>
      </c>
      <c r="HN875" s="1852" t="str">
        <f t="shared" si="200"/>
        <v/>
      </c>
      <c r="HO875" s="1852" t="str">
        <f t="shared" si="201"/>
        <v/>
      </c>
      <c r="HP875" s="1852" t="str">
        <f t="shared" si="202"/>
        <v/>
      </c>
      <c r="HQ875" s="1852" t="str">
        <f t="shared" si="203"/>
        <v/>
      </c>
      <c r="HR875" s="1852" t="str">
        <f t="shared" si="204"/>
        <v/>
      </c>
      <c r="HS875" s="1852" t="str">
        <f t="shared" si="205"/>
        <v/>
      </c>
      <c r="HT875" s="1852" t="str">
        <f t="shared" si="206"/>
        <v/>
      </c>
      <c r="HU875" s="1852" t="str">
        <f t="shared" si="207"/>
        <v/>
      </c>
      <c r="HV875" s="1852" t="str">
        <f t="shared" si="208"/>
        <v/>
      </c>
      <c r="HW875" s="1852" t="str">
        <f t="shared" si="209"/>
        <v/>
      </c>
      <c r="HX875" s="1852" t="str">
        <f t="shared" si="210"/>
        <v/>
      </c>
      <c r="HY875" s="1852" t="str">
        <f t="shared" si="211"/>
        <v/>
      </c>
      <c r="HZ875" s="2140" t="str">
        <f t="shared" si="212"/>
        <v/>
      </c>
      <c r="IA875" s="2140" t="str">
        <f t="shared" si="213"/>
        <v/>
      </c>
      <c r="IB875" s="2140" t="str">
        <f t="shared" si="214"/>
        <v/>
      </c>
      <c r="IC875" s="2140" t="str">
        <f t="shared" si="215"/>
        <v/>
      </c>
      <c r="ID875" s="2140" t="str">
        <f t="shared" si="216"/>
        <v/>
      </c>
      <c r="IE875" s="2140" t="str">
        <f t="shared" si="217"/>
        <v/>
      </c>
      <c r="IF875" s="2140" t="str">
        <f t="shared" si="218"/>
        <v/>
      </c>
      <c r="IG875" s="2140" t="str">
        <f t="shared" si="219"/>
        <v/>
      </c>
      <c r="IH875" s="2140" t="str">
        <f t="shared" si="220"/>
        <v/>
      </c>
      <c r="II875" s="2140" t="str">
        <f t="shared" si="221"/>
        <v/>
      </c>
      <c r="IJ875" s="2140" t="str">
        <f t="shared" si="222"/>
        <v/>
      </c>
      <c r="IK875" s="2140" t="str">
        <f t="shared" si="223"/>
        <v/>
      </c>
      <c r="IL875" s="2140" t="str">
        <f t="shared" si="224"/>
        <v/>
      </c>
      <c r="IM875" s="2140" t="str">
        <f t="shared" si="225"/>
        <v/>
      </c>
      <c r="IN875" s="2140" t="str">
        <f t="shared" si="226"/>
        <v/>
      </c>
      <c r="IO875" s="2140" t="str">
        <f t="shared" si="227"/>
        <v/>
      </c>
      <c r="IP875" s="2140" t="str">
        <f t="shared" si="228"/>
        <v/>
      </c>
      <c r="IQ875" s="2140" t="str">
        <f t="shared" si="229"/>
        <v/>
      </c>
      <c r="IR875" s="2140" t="str">
        <f t="shared" si="230"/>
        <v/>
      </c>
      <c r="IS875" s="2140" t="str">
        <f t="shared" si="231"/>
        <v/>
      </c>
      <c r="IT875" s="2140" t="str">
        <f t="shared" si="232"/>
        <v/>
      </c>
      <c r="IU875" s="2140" t="str">
        <f t="shared" si="233"/>
        <v/>
      </c>
      <c r="IV875" s="2140" t="str">
        <f t="shared" si="234"/>
        <v/>
      </c>
      <c r="IW875" s="2140" t="str">
        <f t="shared" si="235"/>
        <v/>
      </c>
      <c r="IX875" s="2140" t="str">
        <f t="shared" si="236"/>
        <v/>
      </c>
      <c r="IY875" s="2140" t="str">
        <f t="shared" si="237"/>
        <v/>
      </c>
      <c r="IZ875" s="2140" t="str">
        <f t="shared" si="238"/>
        <v/>
      </c>
      <c r="JA875" s="2140" t="str">
        <f t="shared" si="239"/>
        <v/>
      </c>
      <c r="JB875" s="2140" t="str">
        <f t="shared" si="240"/>
        <v/>
      </c>
      <c r="JC875" s="2140" t="str">
        <f t="shared" si="241"/>
        <v/>
      </c>
      <c r="JD875" s="2140" t="str">
        <f t="shared" si="242"/>
        <v/>
      </c>
      <c r="JE875" s="2140" t="str">
        <f t="shared" si="243"/>
        <v/>
      </c>
      <c r="JF875" s="2140" t="str">
        <f t="shared" si="244"/>
        <v/>
      </c>
      <c r="JG875" s="2140" t="str">
        <f t="shared" si="245"/>
        <v/>
      </c>
      <c r="JH875" s="2140" t="str">
        <f t="shared" si="246"/>
        <v/>
      </c>
      <c r="JI875" s="2140" t="str">
        <f t="shared" si="247"/>
        <v/>
      </c>
      <c r="JJ875" s="2140" t="str">
        <f t="shared" si="248"/>
        <v/>
      </c>
      <c r="JK875" s="2140" t="str">
        <f t="shared" si="249"/>
        <v/>
      </c>
      <c r="JL875" s="2140" t="str">
        <f t="shared" si="250"/>
        <v/>
      </c>
      <c r="JM875" s="2140" t="str">
        <f t="shared" si="251"/>
        <v/>
      </c>
      <c r="JN875" s="2140" t="str">
        <f t="shared" si="252"/>
        <v/>
      </c>
      <c r="JO875" s="2140" t="str">
        <f t="shared" si="253"/>
        <v/>
      </c>
      <c r="JP875" s="2140" t="str">
        <f t="shared" si="254"/>
        <v/>
      </c>
      <c r="JQ875" s="2140" t="str">
        <f t="shared" si="255"/>
        <v/>
      </c>
      <c r="JR875" s="2140" t="str">
        <f t="shared" si="256"/>
        <v/>
      </c>
      <c r="JS875" s="2140" t="str">
        <f t="shared" si="257"/>
        <v/>
      </c>
      <c r="JT875" s="2140" t="str">
        <f t="shared" si="258"/>
        <v/>
      </c>
      <c r="JU875" s="2140" t="str">
        <f t="shared" si="259"/>
        <v/>
      </c>
      <c r="JV875" s="2140" t="str">
        <f t="shared" si="260"/>
        <v/>
      </c>
      <c r="JW875" s="2140" t="str">
        <f t="shared" si="261"/>
        <v/>
      </c>
      <c r="JX875" s="2140" t="str">
        <f t="shared" si="262"/>
        <v/>
      </c>
      <c r="JY875" s="2140" t="str">
        <f t="shared" si="263"/>
        <v/>
      </c>
      <c r="JZ875" s="2140" t="str">
        <f t="shared" si="264"/>
        <v/>
      </c>
      <c r="KA875" s="2140" t="str">
        <f t="shared" si="265"/>
        <v/>
      </c>
      <c r="KB875" s="2140" t="str">
        <f t="shared" si="266"/>
        <v/>
      </c>
      <c r="KC875" s="2140" t="str">
        <f t="shared" si="267"/>
        <v/>
      </c>
      <c r="KD875" s="2140" t="str">
        <f t="shared" si="268"/>
        <v/>
      </c>
      <c r="KE875" s="2140" t="str">
        <f t="shared" si="269"/>
        <v/>
      </c>
      <c r="KF875" s="2140" t="str">
        <f t="shared" si="270"/>
        <v/>
      </c>
      <c r="KG875" s="2140" t="str">
        <f t="shared" si="271"/>
        <v/>
      </c>
      <c r="KH875" s="2140" t="str">
        <f t="shared" si="272"/>
        <v/>
      </c>
      <c r="KI875" s="2140" t="str">
        <f t="shared" si="273"/>
        <v/>
      </c>
      <c r="KJ875" s="2140" t="str">
        <f t="shared" si="274"/>
        <v/>
      </c>
      <c r="KK875" s="2140" t="str">
        <f t="shared" si="275"/>
        <v/>
      </c>
      <c r="KL875" s="2140" t="str">
        <f t="shared" si="276"/>
        <v/>
      </c>
      <c r="KM875" s="2140" t="str">
        <f t="shared" si="277"/>
        <v/>
      </c>
      <c r="KN875" s="2140" t="str">
        <f t="shared" si="278"/>
        <v/>
      </c>
      <c r="KO875" s="2140" t="str">
        <f t="shared" si="279"/>
        <v/>
      </c>
      <c r="KP875" s="2140" t="str">
        <f t="shared" si="280"/>
        <v/>
      </c>
      <c r="KQ875" s="2140" t="str">
        <f t="shared" si="281"/>
        <v/>
      </c>
      <c r="KR875" s="2140" t="str">
        <f t="shared" si="282"/>
        <v/>
      </c>
      <c r="KS875" s="2140" t="str">
        <f t="shared" si="283"/>
        <v/>
      </c>
      <c r="KT875" s="2140" t="str">
        <f t="shared" si="284"/>
        <v/>
      </c>
      <c r="KU875" s="2140" t="str">
        <f t="shared" si="285"/>
        <v/>
      </c>
      <c r="KV875" s="2140" t="str">
        <f t="shared" si="286"/>
        <v/>
      </c>
      <c r="KW875" s="2140" t="str">
        <f t="shared" si="287"/>
        <v/>
      </c>
      <c r="KX875" s="2140" t="str">
        <f t="shared" si="288"/>
        <v/>
      </c>
      <c r="KY875" s="2140" t="str">
        <f t="shared" si="289"/>
        <v/>
      </c>
      <c r="KZ875" s="2140" t="str">
        <f t="shared" si="290"/>
        <v/>
      </c>
      <c r="LA875" s="2140" t="str">
        <f t="shared" si="291"/>
        <v/>
      </c>
      <c r="LB875" s="2140" t="str">
        <f t="shared" si="292"/>
        <v/>
      </c>
      <c r="LC875" s="2140" t="str">
        <f t="shared" si="293"/>
        <v/>
      </c>
      <c r="LD875" s="2140" t="str">
        <f t="shared" si="294"/>
        <v/>
      </c>
      <c r="LE875" s="2140" t="str">
        <f t="shared" si="295"/>
        <v/>
      </c>
      <c r="LF875" s="2140" t="str">
        <f t="shared" si="296"/>
        <v/>
      </c>
      <c r="LG875" s="2051" t="str">
        <f t="shared" si="297"/>
        <v/>
      </c>
      <c r="LH875" s="2051" t="str">
        <f t="shared" si="298"/>
        <v/>
      </c>
      <c r="LI875" s="2051" t="str">
        <f t="shared" si="299"/>
        <v/>
      </c>
      <c r="LJ875" s="2051" t="str">
        <f t="shared" si="300"/>
        <v/>
      </c>
      <c r="LK875" s="2051" t="str">
        <f t="shared" si="301"/>
        <v/>
      </c>
      <c r="LL875" s="1852" t="str">
        <f t="shared" si="302"/>
        <v/>
      </c>
      <c r="LM875" s="1852" t="str">
        <f t="shared" si="303"/>
        <v/>
      </c>
      <c r="LN875" s="1852" t="str">
        <f t="shared" si="304"/>
        <v/>
      </c>
      <c r="LO875" s="1852" t="str">
        <f t="shared" si="305"/>
        <v/>
      </c>
      <c r="LP875" s="1852" t="str">
        <f t="shared" si="306"/>
        <v/>
      </c>
      <c r="LQ875" s="1852" t="str">
        <f t="shared" si="307"/>
        <v/>
      </c>
      <c r="LR875" s="1852" t="str">
        <f t="shared" si="308"/>
        <v/>
      </c>
      <c r="LS875" s="1852" t="str">
        <f t="shared" si="309"/>
        <v/>
      </c>
      <c r="LT875" s="1852" t="str">
        <f t="shared" si="310"/>
        <v/>
      </c>
      <c r="LU875" s="1852" t="str">
        <f t="shared" si="311"/>
        <v/>
      </c>
      <c r="LV875" s="1852" t="str">
        <f t="shared" si="312"/>
        <v/>
      </c>
      <c r="LW875" s="1852" t="str">
        <f t="shared" si="313"/>
        <v/>
      </c>
      <c r="LX875" s="1852" t="str">
        <f t="shared" si="314"/>
        <v/>
      </c>
      <c r="LY875" s="1852" t="str">
        <f t="shared" si="315"/>
        <v/>
      </c>
      <c r="LZ875" s="1852" t="str">
        <f t="shared" si="316"/>
        <v/>
      </c>
      <c r="MA875" s="1852" t="str">
        <f t="shared" si="317"/>
        <v/>
      </c>
      <c r="MB875" s="1852" t="str">
        <f t="shared" si="318"/>
        <v/>
      </c>
      <c r="MC875" s="1852" t="str">
        <f t="shared" si="319"/>
        <v/>
      </c>
      <c r="MD875" s="1852" t="str">
        <f t="shared" si="320"/>
        <v/>
      </c>
      <c r="ME875" s="1852" t="str">
        <f t="shared" si="321"/>
        <v/>
      </c>
      <c r="MF875" s="2051">
        <f t="shared" si="328"/>
        <v>0</v>
      </c>
      <c r="MG875" s="2051">
        <f t="shared" si="329"/>
        <v>0</v>
      </c>
      <c r="MH875" s="2051">
        <f t="shared" si="330"/>
        <v>0</v>
      </c>
      <c r="MI875" s="2051">
        <f t="shared" si="331"/>
        <v>0</v>
      </c>
      <c r="MJ875" s="2051">
        <f t="shared" si="332"/>
        <v>0</v>
      </c>
      <c r="MK875" s="2051">
        <f t="shared" si="333"/>
        <v>0</v>
      </c>
      <c r="ML875" s="2051">
        <f t="shared" si="334"/>
        <v>0</v>
      </c>
      <c r="MM875" s="2051">
        <f t="shared" si="335"/>
        <v>0</v>
      </c>
      <c r="MN875" s="2051">
        <f t="shared" si="336"/>
        <v>0</v>
      </c>
      <c r="MO875" s="2051">
        <f t="shared" si="337"/>
        <v>0</v>
      </c>
      <c r="MP875" s="2051">
        <f t="shared" si="322"/>
        <v>0</v>
      </c>
      <c r="MQ875" s="2051">
        <f t="shared" si="323"/>
        <v>0</v>
      </c>
      <c r="MR875" s="2051">
        <f t="shared" si="324"/>
        <v>0</v>
      </c>
      <c r="MS875" s="2051">
        <f t="shared" si="325"/>
        <v>0</v>
      </c>
      <c r="MT875" s="2051">
        <f t="shared" si="326"/>
        <v>0</v>
      </c>
      <c r="NP875" s="1924" t="s">
        <v>6744</v>
      </c>
    </row>
    <row r="876" spans="1:380" s="1852" customFormat="1" ht="13.9" customHeight="1">
      <c r="A876" s="2108" t="str">
        <f t="shared" si="327"/>
        <v/>
      </c>
      <c r="B876" s="2130">
        <f>'Part VI-Revenues &amp; Expenses'!B36</f>
        <v>0</v>
      </c>
      <c r="C876" s="2131">
        <f>'Part VI-Revenues &amp; Expenses'!C36</f>
        <v>0</v>
      </c>
      <c r="D876" s="2132">
        <f>'Part VI-Revenues &amp; Expenses'!D36</f>
        <v>0</v>
      </c>
      <c r="E876" s="2133">
        <f>'Part VI-Revenues &amp; Expenses'!E36</f>
        <v>0</v>
      </c>
      <c r="F876" s="2133">
        <f>'Part VI-Revenues &amp; Expenses'!F36</f>
        <v>0</v>
      </c>
      <c r="G876" s="2133">
        <f>'Part VI-Revenues &amp; Expenses'!G36</f>
        <v>0</v>
      </c>
      <c r="H876" s="2133">
        <f>'Part VI-Revenues &amp; Expenses'!H36</f>
        <v>0</v>
      </c>
      <c r="I876" s="2133">
        <f>'Part VI-Revenues &amp; Expenses'!I36</f>
        <v>0</v>
      </c>
      <c r="J876" s="2133">
        <f>'Part VI-Revenues &amp; Expenses'!J36</f>
        <v>0</v>
      </c>
      <c r="K876" s="2134">
        <f>'Part VI-Revenues &amp; Expenses'!K36</f>
        <v>0</v>
      </c>
      <c r="L876" s="2135">
        <f t="shared" si="0"/>
        <v>0</v>
      </c>
      <c r="M876" s="2135">
        <f t="shared" si="1"/>
        <v>0</v>
      </c>
      <c r="N876" s="1916">
        <f>'Part VI-Revenues &amp; Expenses'!N36</f>
        <v>0</v>
      </c>
      <c r="O876" s="2136">
        <f>'Part VI-Revenues &amp; Expenses'!O36</f>
        <v>0</v>
      </c>
      <c r="P876" s="1916">
        <f>'Part VI-Revenues &amp; Expenses'!P36</f>
        <v>0</v>
      </c>
      <c r="Q876" s="2137">
        <f>'Part VI-Revenues &amp; Expenses'!Q36</f>
        <v>0</v>
      </c>
      <c r="R876" s="2138"/>
      <c r="S876" s="2139"/>
      <c r="T876" s="2043"/>
      <c r="U876" s="2043"/>
      <c r="V876" s="2043"/>
      <c r="W876" s="2043"/>
      <c r="X876" s="1852" t="str">
        <f t="shared" si="2"/>
        <v/>
      </c>
      <c r="Y876" s="1852" t="str">
        <f t="shared" si="3"/>
        <v/>
      </c>
      <c r="Z876" s="1852" t="str">
        <f t="shared" si="4"/>
        <v/>
      </c>
      <c r="AA876" s="1852" t="str">
        <f t="shared" si="5"/>
        <v/>
      </c>
      <c r="AB876" s="1852" t="str">
        <f t="shared" si="6"/>
        <v/>
      </c>
      <c r="AC876" s="1852" t="str">
        <f t="shared" si="7"/>
        <v/>
      </c>
      <c r="AD876" s="1852" t="str">
        <f t="shared" si="8"/>
        <v/>
      </c>
      <c r="AE876" s="1852" t="str">
        <f t="shared" si="9"/>
        <v/>
      </c>
      <c r="AF876" s="1852" t="str">
        <f t="shared" si="10"/>
        <v/>
      </c>
      <c r="AG876" s="1852" t="str">
        <f t="shared" si="11"/>
        <v/>
      </c>
      <c r="AH876" s="1852" t="str">
        <f t="shared" si="12"/>
        <v/>
      </c>
      <c r="AI876" s="1852" t="str">
        <f t="shared" si="13"/>
        <v/>
      </c>
      <c r="AJ876" s="1852" t="str">
        <f t="shared" si="14"/>
        <v/>
      </c>
      <c r="AK876" s="1852" t="str">
        <f t="shared" si="15"/>
        <v/>
      </c>
      <c r="AL876" s="1852" t="str">
        <f t="shared" si="16"/>
        <v/>
      </c>
      <c r="AM876" s="1852" t="str">
        <f t="shared" si="17"/>
        <v/>
      </c>
      <c r="AN876" s="1852" t="str">
        <f t="shared" si="18"/>
        <v/>
      </c>
      <c r="AO876" s="1852" t="str">
        <f t="shared" si="19"/>
        <v/>
      </c>
      <c r="AP876" s="1852" t="str">
        <f t="shared" si="20"/>
        <v/>
      </c>
      <c r="AQ876" s="1852" t="str">
        <f t="shared" si="21"/>
        <v/>
      </c>
      <c r="AR876" s="1852" t="str">
        <f t="shared" si="22"/>
        <v/>
      </c>
      <c r="AS876" s="1852" t="str">
        <f t="shared" si="23"/>
        <v/>
      </c>
      <c r="AT876" s="1852" t="str">
        <f t="shared" si="24"/>
        <v/>
      </c>
      <c r="AU876" s="1852" t="str">
        <f t="shared" si="25"/>
        <v/>
      </c>
      <c r="AV876" s="1852" t="str">
        <f t="shared" si="26"/>
        <v/>
      </c>
      <c r="AW876" s="1852" t="str">
        <f t="shared" si="27"/>
        <v/>
      </c>
      <c r="AX876" s="1852" t="str">
        <f t="shared" si="28"/>
        <v/>
      </c>
      <c r="AY876" s="1852" t="str">
        <f t="shared" si="29"/>
        <v/>
      </c>
      <c r="AZ876" s="1852" t="str">
        <f t="shared" si="30"/>
        <v/>
      </c>
      <c r="BA876" s="1852" t="str">
        <f t="shared" si="31"/>
        <v/>
      </c>
      <c r="BB876" s="1852" t="str">
        <f t="shared" si="32"/>
        <v/>
      </c>
      <c r="BC876" s="1852" t="str">
        <f t="shared" si="33"/>
        <v/>
      </c>
      <c r="BD876" s="1852" t="str">
        <f t="shared" si="34"/>
        <v/>
      </c>
      <c r="BE876" s="1852" t="str">
        <f t="shared" si="35"/>
        <v/>
      </c>
      <c r="BF876" s="1852" t="str">
        <f t="shared" si="36"/>
        <v/>
      </c>
      <c r="BG876" s="1852" t="str">
        <f t="shared" si="37"/>
        <v/>
      </c>
      <c r="BH876" s="1852" t="str">
        <f t="shared" si="38"/>
        <v/>
      </c>
      <c r="BI876" s="1852" t="str">
        <f t="shared" si="39"/>
        <v/>
      </c>
      <c r="BJ876" s="1852" t="str">
        <f t="shared" si="40"/>
        <v/>
      </c>
      <c r="BK876" s="1852" t="str">
        <f t="shared" si="41"/>
        <v/>
      </c>
      <c r="BL876" s="1852" t="str">
        <f t="shared" si="42"/>
        <v/>
      </c>
      <c r="BM876" s="1852" t="str">
        <f t="shared" si="43"/>
        <v/>
      </c>
      <c r="BN876" s="1852" t="str">
        <f t="shared" si="44"/>
        <v/>
      </c>
      <c r="BO876" s="1852" t="str">
        <f t="shared" si="45"/>
        <v/>
      </c>
      <c r="BP876" s="1852" t="str">
        <f t="shared" si="46"/>
        <v/>
      </c>
      <c r="BQ876" s="1852" t="str">
        <f t="shared" si="47"/>
        <v/>
      </c>
      <c r="BR876" s="1852" t="str">
        <f t="shared" si="48"/>
        <v/>
      </c>
      <c r="BS876" s="1852" t="str">
        <f t="shared" si="49"/>
        <v/>
      </c>
      <c r="BT876" s="1852" t="str">
        <f t="shared" si="50"/>
        <v/>
      </c>
      <c r="BU876" s="1852" t="str">
        <f t="shared" si="51"/>
        <v/>
      </c>
      <c r="BV876" s="1852" t="str">
        <f t="shared" si="52"/>
        <v/>
      </c>
      <c r="BW876" s="1852" t="str">
        <f t="shared" si="53"/>
        <v/>
      </c>
      <c r="BX876" s="1852" t="str">
        <f t="shared" si="54"/>
        <v/>
      </c>
      <c r="BY876" s="1852" t="str">
        <f t="shared" si="55"/>
        <v/>
      </c>
      <c r="BZ876" s="1852" t="str">
        <f t="shared" si="56"/>
        <v/>
      </c>
      <c r="CA876" s="1852" t="str">
        <f t="shared" si="57"/>
        <v/>
      </c>
      <c r="CB876" s="1852" t="str">
        <f t="shared" si="58"/>
        <v/>
      </c>
      <c r="CC876" s="1852" t="str">
        <f t="shared" si="59"/>
        <v/>
      </c>
      <c r="CD876" s="1852" t="str">
        <f t="shared" si="60"/>
        <v/>
      </c>
      <c r="CE876" s="1852" t="str">
        <f t="shared" si="61"/>
        <v/>
      </c>
      <c r="CF876" s="1852" t="str">
        <f t="shared" si="62"/>
        <v/>
      </c>
      <c r="CG876" s="1852" t="str">
        <f t="shared" si="63"/>
        <v/>
      </c>
      <c r="CH876" s="1852" t="str">
        <f t="shared" si="64"/>
        <v/>
      </c>
      <c r="CI876" s="1852" t="str">
        <f t="shared" si="65"/>
        <v/>
      </c>
      <c r="CJ876" s="1852" t="str">
        <f t="shared" si="66"/>
        <v/>
      </c>
      <c r="CK876" s="1852" t="str">
        <f t="shared" si="67"/>
        <v/>
      </c>
      <c r="CL876" s="1852" t="str">
        <f t="shared" si="68"/>
        <v/>
      </c>
      <c r="CM876" s="1852" t="str">
        <f t="shared" si="69"/>
        <v/>
      </c>
      <c r="CN876" s="1852" t="str">
        <f t="shared" si="70"/>
        <v/>
      </c>
      <c r="CO876" s="1852" t="str">
        <f t="shared" si="71"/>
        <v/>
      </c>
      <c r="CP876" s="1852" t="str">
        <f t="shared" si="72"/>
        <v/>
      </c>
      <c r="CQ876" s="1852" t="str">
        <f t="shared" si="73"/>
        <v/>
      </c>
      <c r="CR876" s="1852" t="str">
        <f t="shared" si="74"/>
        <v/>
      </c>
      <c r="CS876" s="1852" t="str">
        <f t="shared" si="75"/>
        <v/>
      </c>
      <c r="CT876" s="1852" t="str">
        <f t="shared" si="76"/>
        <v/>
      </c>
      <c r="CU876" s="1852" t="str">
        <f t="shared" si="77"/>
        <v/>
      </c>
      <c r="CV876" s="1852" t="str">
        <f t="shared" si="78"/>
        <v/>
      </c>
      <c r="CW876" s="1852" t="str">
        <f t="shared" si="79"/>
        <v/>
      </c>
      <c r="CX876" s="1852" t="str">
        <f t="shared" si="80"/>
        <v/>
      </c>
      <c r="CY876" s="1852" t="str">
        <f t="shared" si="81"/>
        <v/>
      </c>
      <c r="CZ876" s="1852" t="str">
        <f t="shared" si="82"/>
        <v/>
      </c>
      <c r="DA876" s="1852" t="str">
        <f t="shared" si="83"/>
        <v/>
      </c>
      <c r="DB876" s="1852" t="str">
        <f t="shared" si="84"/>
        <v/>
      </c>
      <c r="DC876" s="1852" t="str">
        <f t="shared" si="85"/>
        <v/>
      </c>
      <c r="DD876" s="1852" t="str">
        <f t="shared" si="86"/>
        <v/>
      </c>
      <c r="DE876" s="1852" t="str">
        <f t="shared" si="87"/>
        <v/>
      </c>
      <c r="DF876" s="1852" t="str">
        <f t="shared" si="88"/>
        <v/>
      </c>
      <c r="DG876" s="1852" t="str">
        <f t="shared" si="89"/>
        <v/>
      </c>
      <c r="DH876" s="1852" t="str">
        <f t="shared" si="90"/>
        <v/>
      </c>
      <c r="DI876" s="1852" t="str">
        <f t="shared" si="91"/>
        <v/>
      </c>
      <c r="DJ876" s="1852" t="str">
        <f t="shared" si="92"/>
        <v/>
      </c>
      <c r="DK876" s="1852" t="str">
        <f t="shared" si="93"/>
        <v/>
      </c>
      <c r="DL876" s="1852" t="str">
        <f t="shared" si="94"/>
        <v/>
      </c>
      <c r="DM876" s="1852" t="str">
        <f t="shared" si="95"/>
        <v/>
      </c>
      <c r="DN876" s="1852" t="str">
        <f t="shared" si="96"/>
        <v/>
      </c>
      <c r="DO876" s="1852" t="str">
        <f t="shared" si="97"/>
        <v/>
      </c>
      <c r="DP876" s="1852" t="str">
        <f t="shared" si="98"/>
        <v/>
      </c>
      <c r="DQ876" s="1852" t="str">
        <f t="shared" si="99"/>
        <v/>
      </c>
      <c r="DR876" s="1852" t="str">
        <f t="shared" si="100"/>
        <v/>
      </c>
      <c r="DS876" s="1852" t="str">
        <f t="shared" si="101"/>
        <v/>
      </c>
      <c r="DT876" s="1852" t="str">
        <f t="shared" si="102"/>
        <v/>
      </c>
      <c r="DU876" s="1852" t="str">
        <f t="shared" si="103"/>
        <v/>
      </c>
      <c r="DV876" s="1852" t="str">
        <f t="shared" si="104"/>
        <v/>
      </c>
      <c r="DW876" s="1852" t="str">
        <f t="shared" si="105"/>
        <v/>
      </c>
      <c r="DX876" s="1852" t="str">
        <f t="shared" si="106"/>
        <v/>
      </c>
      <c r="DY876" s="1852" t="str">
        <f t="shared" si="107"/>
        <v/>
      </c>
      <c r="DZ876" s="1852" t="str">
        <f t="shared" si="108"/>
        <v/>
      </c>
      <c r="EA876" s="1852" t="str">
        <f t="shared" si="109"/>
        <v/>
      </c>
      <c r="EB876" s="1852" t="str">
        <f t="shared" si="110"/>
        <v/>
      </c>
      <c r="EC876" s="1852" t="str">
        <f t="shared" si="111"/>
        <v/>
      </c>
      <c r="ED876" s="1852" t="str">
        <f t="shared" si="112"/>
        <v/>
      </c>
      <c r="EE876" s="1852" t="str">
        <f t="shared" si="113"/>
        <v/>
      </c>
      <c r="EF876" s="1852" t="str">
        <f t="shared" si="114"/>
        <v/>
      </c>
      <c r="EG876" s="1852" t="str">
        <f t="shared" si="115"/>
        <v/>
      </c>
      <c r="EH876" s="1852" t="str">
        <f t="shared" si="116"/>
        <v/>
      </c>
      <c r="EI876" s="1852" t="str">
        <f t="shared" si="117"/>
        <v/>
      </c>
      <c r="EJ876" s="1852" t="str">
        <f t="shared" si="118"/>
        <v/>
      </c>
      <c r="EK876" s="1852" t="str">
        <f t="shared" si="119"/>
        <v/>
      </c>
      <c r="EL876" s="1852" t="str">
        <f t="shared" si="120"/>
        <v/>
      </c>
      <c r="EM876" s="1852" t="str">
        <f t="shared" si="121"/>
        <v/>
      </c>
      <c r="EN876" s="1852" t="str">
        <f t="shared" si="122"/>
        <v/>
      </c>
      <c r="EO876" s="1852" t="str">
        <f t="shared" si="123"/>
        <v/>
      </c>
      <c r="EP876" s="1852" t="str">
        <f t="shared" si="124"/>
        <v/>
      </c>
      <c r="EQ876" s="1852" t="str">
        <f t="shared" si="125"/>
        <v/>
      </c>
      <c r="ER876" s="1852" t="str">
        <f t="shared" si="126"/>
        <v/>
      </c>
      <c r="ES876" s="1852" t="str">
        <f t="shared" si="127"/>
        <v/>
      </c>
      <c r="ET876" s="1852" t="str">
        <f t="shared" si="128"/>
        <v/>
      </c>
      <c r="EU876" s="1852" t="str">
        <f t="shared" si="129"/>
        <v/>
      </c>
      <c r="EV876" s="1852" t="str">
        <f t="shared" si="130"/>
        <v/>
      </c>
      <c r="EW876" s="1852" t="str">
        <f t="shared" si="131"/>
        <v/>
      </c>
      <c r="EX876" s="1852" t="str">
        <f t="shared" si="132"/>
        <v/>
      </c>
      <c r="EY876" s="1852" t="str">
        <f t="shared" si="133"/>
        <v/>
      </c>
      <c r="EZ876" s="1852" t="str">
        <f t="shared" si="134"/>
        <v/>
      </c>
      <c r="FA876" s="1852" t="str">
        <f t="shared" si="135"/>
        <v/>
      </c>
      <c r="FB876" s="1852" t="str">
        <f t="shared" si="136"/>
        <v/>
      </c>
      <c r="FC876" s="1852" t="str">
        <f t="shared" si="137"/>
        <v/>
      </c>
      <c r="FD876" s="1852" t="str">
        <f t="shared" si="138"/>
        <v/>
      </c>
      <c r="FE876" s="1852" t="str">
        <f t="shared" si="139"/>
        <v/>
      </c>
      <c r="FF876" s="1852" t="str">
        <f t="shared" si="140"/>
        <v/>
      </c>
      <c r="FG876" s="1852" t="str">
        <f t="shared" si="141"/>
        <v/>
      </c>
      <c r="FH876" s="1852" t="str">
        <f t="shared" si="142"/>
        <v/>
      </c>
      <c r="FI876" s="1852" t="str">
        <f t="shared" si="143"/>
        <v/>
      </c>
      <c r="FJ876" s="1852" t="str">
        <f t="shared" si="144"/>
        <v/>
      </c>
      <c r="FK876" s="1852" t="str">
        <f t="shared" si="145"/>
        <v/>
      </c>
      <c r="FL876" s="1852" t="str">
        <f t="shared" si="146"/>
        <v/>
      </c>
      <c r="FM876" s="1852" t="str">
        <f t="shared" si="147"/>
        <v/>
      </c>
      <c r="FN876" s="1852" t="str">
        <f t="shared" si="148"/>
        <v/>
      </c>
      <c r="FO876" s="1852" t="str">
        <f t="shared" si="149"/>
        <v/>
      </c>
      <c r="FP876" s="1852" t="str">
        <f t="shared" si="150"/>
        <v/>
      </c>
      <c r="FQ876" s="1852" t="str">
        <f t="shared" si="151"/>
        <v/>
      </c>
      <c r="FR876" s="1852" t="str">
        <f t="shared" si="152"/>
        <v/>
      </c>
      <c r="FS876" s="1852" t="str">
        <f t="shared" si="153"/>
        <v/>
      </c>
      <c r="FT876" s="1852" t="str">
        <f t="shared" si="154"/>
        <v/>
      </c>
      <c r="FU876" s="1852" t="str">
        <f t="shared" si="155"/>
        <v/>
      </c>
      <c r="FV876" s="1852" t="str">
        <f t="shared" si="156"/>
        <v/>
      </c>
      <c r="FW876" s="1852" t="str">
        <f t="shared" si="157"/>
        <v/>
      </c>
      <c r="FX876" s="1852" t="str">
        <f t="shared" si="158"/>
        <v/>
      </c>
      <c r="FY876" s="1852" t="str">
        <f t="shared" si="159"/>
        <v/>
      </c>
      <c r="FZ876" s="1852" t="str">
        <f t="shared" si="160"/>
        <v/>
      </c>
      <c r="GA876" s="1852" t="str">
        <f t="shared" si="161"/>
        <v/>
      </c>
      <c r="GB876" s="1852" t="str">
        <f t="shared" si="162"/>
        <v/>
      </c>
      <c r="GC876" s="1852" t="str">
        <f t="shared" si="163"/>
        <v/>
      </c>
      <c r="GD876" s="1852" t="str">
        <f t="shared" si="164"/>
        <v/>
      </c>
      <c r="GE876" s="1852" t="str">
        <f t="shared" si="165"/>
        <v/>
      </c>
      <c r="GF876" s="1852" t="str">
        <f t="shared" si="166"/>
        <v/>
      </c>
      <c r="GG876" s="1852" t="str">
        <f t="shared" si="167"/>
        <v/>
      </c>
      <c r="GH876" s="1852" t="str">
        <f t="shared" si="168"/>
        <v/>
      </c>
      <c r="GI876" s="1852" t="str">
        <f t="shared" si="169"/>
        <v/>
      </c>
      <c r="GJ876" s="1852" t="str">
        <f t="shared" si="170"/>
        <v/>
      </c>
      <c r="GK876" s="1852" t="str">
        <f t="shared" si="171"/>
        <v/>
      </c>
      <c r="GL876" s="1852" t="str">
        <f t="shared" si="172"/>
        <v/>
      </c>
      <c r="GM876" s="1852" t="str">
        <f t="shared" si="173"/>
        <v/>
      </c>
      <c r="GN876" s="1852" t="str">
        <f t="shared" si="174"/>
        <v/>
      </c>
      <c r="GO876" s="1852" t="str">
        <f t="shared" si="175"/>
        <v/>
      </c>
      <c r="GP876" s="1852" t="str">
        <f t="shared" si="176"/>
        <v/>
      </c>
      <c r="GQ876" s="1852" t="str">
        <f t="shared" si="177"/>
        <v/>
      </c>
      <c r="GR876" s="1852" t="str">
        <f t="shared" si="178"/>
        <v/>
      </c>
      <c r="GS876" s="1852" t="str">
        <f t="shared" si="179"/>
        <v/>
      </c>
      <c r="GT876" s="1852" t="str">
        <f t="shared" si="180"/>
        <v/>
      </c>
      <c r="GU876" s="1852" t="str">
        <f t="shared" si="181"/>
        <v/>
      </c>
      <c r="GV876" s="1852" t="str">
        <f t="shared" si="182"/>
        <v/>
      </c>
      <c r="GW876" s="1852" t="str">
        <f t="shared" si="183"/>
        <v/>
      </c>
      <c r="GX876" s="1852" t="str">
        <f t="shared" si="184"/>
        <v/>
      </c>
      <c r="GY876" s="1852" t="str">
        <f t="shared" si="185"/>
        <v/>
      </c>
      <c r="GZ876" s="1852" t="str">
        <f t="shared" si="186"/>
        <v/>
      </c>
      <c r="HA876" s="1852" t="str">
        <f t="shared" si="187"/>
        <v/>
      </c>
      <c r="HB876" s="1852" t="str">
        <f t="shared" si="188"/>
        <v/>
      </c>
      <c r="HC876" s="1852" t="str">
        <f t="shared" si="189"/>
        <v/>
      </c>
      <c r="HD876" s="1852" t="str">
        <f t="shared" si="190"/>
        <v/>
      </c>
      <c r="HE876" s="1852" t="str">
        <f t="shared" si="191"/>
        <v/>
      </c>
      <c r="HF876" s="1852" t="str">
        <f t="shared" si="192"/>
        <v/>
      </c>
      <c r="HG876" s="1852" t="str">
        <f t="shared" si="193"/>
        <v/>
      </c>
      <c r="HH876" s="1852" t="str">
        <f t="shared" si="194"/>
        <v/>
      </c>
      <c r="HI876" s="1852" t="str">
        <f t="shared" si="195"/>
        <v/>
      </c>
      <c r="HJ876" s="1852" t="str">
        <f t="shared" si="196"/>
        <v/>
      </c>
      <c r="HK876" s="1852" t="str">
        <f t="shared" si="197"/>
        <v/>
      </c>
      <c r="HL876" s="1852" t="str">
        <f t="shared" si="198"/>
        <v/>
      </c>
      <c r="HM876" s="1852" t="str">
        <f t="shared" si="199"/>
        <v/>
      </c>
      <c r="HN876" s="1852" t="str">
        <f t="shared" si="200"/>
        <v/>
      </c>
      <c r="HO876" s="1852" t="str">
        <f t="shared" si="201"/>
        <v/>
      </c>
      <c r="HP876" s="1852" t="str">
        <f t="shared" si="202"/>
        <v/>
      </c>
      <c r="HQ876" s="1852" t="str">
        <f t="shared" si="203"/>
        <v/>
      </c>
      <c r="HR876" s="1852" t="str">
        <f t="shared" si="204"/>
        <v/>
      </c>
      <c r="HS876" s="1852" t="str">
        <f t="shared" si="205"/>
        <v/>
      </c>
      <c r="HT876" s="1852" t="str">
        <f t="shared" si="206"/>
        <v/>
      </c>
      <c r="HU876" s="1852" t="str">
        <f t="shared" si="207"/>
        <v/>
      </c>
      <c r="HV876" s="1852" t="str">
        <f t="shared" si="208"/>
        <v/>
      </c>
      <c r="HW876" s="1852" t="str">
        <f t="shared" si="209"/>
        <v/>
      </c>
      <c r="HX876" s="1852" t="str">
        <f t="shared" si="210"/>
        <v/>
      </c>
      <c r="HY876" s="1852" t="str">
        <f t="shared" si="211"/>
        <v/>
      </c>
      <c r="HZ876" s="2140" t="str">
        <f t="shared" si="212"/>
        <v/>
      </c>
      <c r="IA876" s="2140" t="str">
        <f t="shared" si="213"/>
        <v/>
      </c>
      <c r="IB876" s="2140" t="str">
        <f t="shared" si="214"/>
        <v/>
      </c>
      <c r="IC876" s="2140" t="str">
        <f t="shared" si="215"/>
        <v/>
      </c>
      <c r="ID876" s="2140" t="str">
        <f t="shared" si="216"/>
        <v/>
      </c>
      <c r="IE876" s="2140" t="str">
        <f t="shared" si="217"/>
        <v/>
      </c>
      <c r="IF876" s="2140" t="str">
        <f t="shared" si="218"/>
        <v/>
      </c>
      <c r="IG876" s="2140" t="str">
        <f t="shared" si="219"/>
        <v/>
      </c>
      <c r="IH876" s="2140" t="str">
        <f t="shared" si="220"/>
        <v/>
      </c>
      <c r="II876" s="2140" t="str">
        <f t="shared" si="221"/>
        <v/>
      </c>
      <c r="IJ876" s="2140" t="str">
        <f t="shared" si="222"/>
        <v/>
      </c>
      <c r="IK876" s="2140" t="str">
        <f t="shared" si="223"/>
        <v/>
      </c>
      <c r="IL876" s="2140" t="str">
        <f t="shared" si="224"/>
        <v/>
      </c>
      <c r="IM876" s="2140" t="str">
        <f t="shared" si="225"/>
        <v/>
      </c>
      <c r="IN876" s="2140" t="str">
        <f t="shared" si="226"/>
        <v/>
      </c>
      <c r="IO876" s="2140" t="str">
        <f t="shared" si="227"/>
        <v/>
      </c>
      <c r="IP876" s="2140" t="str">
        <f t="shared" si="228"/>
        <v/>
      </c>
      <c r="IQ876" s="2140" t="str">
        <f t="shared" si="229"/>
        <v/>
      </c>
      <c r="IR876" s="2140" t="str">
        <f t="shared" si="230"/>
        <v/>
      </c>
      <c r="IS876" s="2140" t="str">
        <f t="shared" si="231"/>
        <v/>
      </c>
      <c r="IT876" s="2140" t="str">
        <f t="shared" si="232"/>
        <v/>
      </c>
      <c r="IU876" s="2140" t="str">
        <f t="shared" si="233"/>
        <v/>
      </c>
      <c r="IV876" s="2140" t="str">
        <f t="shared" si="234"/>
        <v/>
      </c>
      <c r="IW876" s="2140" t="str">
        <f t="shared" si="235"/>
        <v/>
      </c>
      <c r="IX876" s="2140" t="str">
        <f t="shared" si="236"/>
        <v/>
      </c>
      <c r="IY876" s="2140" t="str">
        <f t="shared" si="237"/>
        <v/>
      </c>
      <c r="IZ876" s="2140" t="str">
        <f t="shared" si="238"/>
        <v/>
      </c>
      <c r="JA876" s="2140" t="str">
        <f t="shared" si="239"/>
        <v/>
      </c>
      <c r="JB876" s="2140" t="str">
        <f t="shared" si="240"/>
        <v/>
      </c>
      <c r="JC876" s="2140" t="str">
        <f t="shared" si="241"/>
        <v/>
      </c>
      <c r="JD876" s="2140" t="str">
        <f t="shared" si="242"/>
        <v/>
      </c>
      <c r="JE876" s="2140" t="str">
        <f t="shared" si="243"/>
        <v/>
      </c>
      <c r="JF876" s="2140" t="str">
        <f t="shared" si="244"/>
        <v/>
      </c>
      <c r="JG876" s="2140" t="str">
        <f t="shared" si="245"/>
        <v/>
      </c>
      <c r="JH876" s="2140" t="str">
        <f t="shared" si="246"/>
        <v/>
      </c>
      <c r="JI876" s="2140" t="str">
        <f t="shared" si="247"/>
        <v/>
      </c>
      <c r="JJ876" s="2140" t="str">
        <f t="shared" si="248"/>
        <v/>
      </c>
      <c r="JK876" s="2140" t="str">
        <f t="shared" si="249"/>
        <v/>
      </c>
      <c r="JL876" s="2140" t="str">
        <f t="shared" si="250"/>
        <v/>
      </c>
      <c r="JM876" s="2140" t="str">
        <f t="shared" si="251"/>
        <v/>
      </c>
      <c r="JN876" s="2140" t="str">
        <f t="shared" si="252"/>
        <v/>
      </c>
      <c r="JO876" s="2140" t="str">
        <f t="shared" si="253"/>
        <v/>
      </c>
      <c r="JP876" s="2140" t="str">
        <f t="shared" si="254"/>
        <v/>
      </c>
      <c r="JQ876" s="2140" t="str">
        <f t="shared" si="255"/>
        <v/>
      </c>
      <c r="JR876" s="2140" t="str">
        <f t="shared" si="256"/>
        <v/>
      </c>
      <c r="JS876" s="2140" t="str">
        <f t="shared" si="257"/>
        <v/>
      </c>
      <c r="JT876" s="2140" t="str">
        <f t="shared" si="258"/>
        <v/>
      </c>
      <c r="JU876" s="2140" t="str">
        <f t="shared" si="259"/>
        <v/>
      </c>
      <c r="JV876" s="2140" t="str">
        <f t="shared" si="260"/>
        <v/>
      </c>
      <c r="JW876" s="2140" t="str">
        <f t="shared" si="261"/>
        <v/>
      </c>
      <c r="JX876" s="2140" t="str">
        <f t="shared" si="262"/>
        <v/>
      </c>
      <c r="JY876" s="2140" t="str">
        <f t="shared" si="263"/>
        <v/>
      </c>
      <c r="JZ876" s="2140" t="str">
        <f t="shared" si="264"/>
        <v/>
      </c>
      <c r="KA876" s="2140" t="str">
        <f t="shared" si="265"/>
        <v/>
      </c>
      <c r="KB876" s="2140" t="str">
        <f t="shared" si="266"/>
        <v/>
      </c>
      <c r="KC876" s="2140" t="str">
        <f t="shared" si="267"/>
        <v/>
      </c>
      <c r="KD876" s="2140" t="str">
        <f t="shared" si="268"/>
        <v/>
      </c>
      <c r="KE876" s="2140" t="str">
        <f t="shared" si="269"/>
        <v/>
      </c>
      <c r="KF876" s="2140" t="str">
        <f t="shared" si="270"/>
        <v/>
      </c>
      <c r="KG876" s="2140" t="str">
        <f t="shared" si="271"/>
        <v/>
      </c>
      <c r="KH876" s="2140" t="str">
        <f t="shared" si="272"/>
        <v/>
      </c>
      <c r="KI876" s="2140" t="str">
        <f t="shared" si="273"/>
        <v/>
      </c>
      <c r="KJ876" s="2140" t="str">
        <f t="shared" si="274"/>
        <v/>
      </c>
      <c r="KK876" s="2140" t="str">
        <f t="shared" si="275"/>
        <v/>
      </c>
      <c r="KL876" s="2140" t="str">
        <f t="shared" si="276"/>
        <v/>
      </c>
      <c r="KM876" s="2140" t="str">
        <f t="shared" si="277"/>
        <v/>
      </c>
      <c r="KN876" s="2140" t="str">
        <f t="shared" si="278"/>
        <v/>
      </c>
      <c r="KO876" s="2140" t="str">
        <f t="shared" si="279"/>
        <v/>
      </c>
      <c r="KP876" s="2140" t="str">
        <f t="shared" si="280"/>
        <v/>
      </c>
      <c r="KQ876" s="2140" t="str">
        <f t="shared" si="281"/>
        <v/>
      </c>
      <c r="KR876" s="2140" t="str">
        <f t="shared" si="282"/>
        <v/>
      </c>
      <c r="KS876" s="2140" t="str">
        <f t="shared" si="283"/>
        <v/>
      </c>
      <c r="KT876" s="2140" t="str">
        <f t="shared" si="284"/>
        <v/>
      </c>
      <c r="KU876" s="2140" t="str">
        <f t="shared" si="285"/>
        <v/>
      </c>
      <c r="KV876" s="2140" t="str">
        <f t="shared" si="286"/>
        <v/>
      </c>
      <c r="KW876" s="2140" t="str">
        <f t="shared" si="287"/>
        <v/>
      </c>
      <c r="KX876" s="2140" t="str">
        <f t="shared" si="288"/>
        <v/>
      </c>
      <c r="KY876" s="2140" t="str">
        <f t="shared" si="289"/>
        <v/>
      </c>
      <c r="KZ876" s="2140" t="str">
        <f t="shared" si="290"/>
        <v/>
      </c>
      <c r="LA876" s="2140" t="str">
        <f t="shared" si="291"/>
        <v/>
      </c>
      <c r="LB876" s="2140" t="str">
        <f t="shared" si="292"/>
        <v/>
      </c>
      <c r="LC876" s="2140" t="str">
        <f t="shared" si="293"/>
        <v/>
      </c>
      <c r="LD876" s="2140" t="str">
        <f t="shared" si="294"/>
        <v/>
      </c>
      <c r="LE876" s="2140" t="str">
        <f t="shared" si="295"/>
        <v/>
      </c>
      <c r="LF876" s="2140" t="str">
        <f t="shared" si="296"/>
        <v/>
      </c>
      <c r="LG876" s="2051" t="str">
        <f t="shared" si="297"/>
        <v/>
      </c>
      <c r="LH876" s="2051" t="str">
        <f t="shared" si="298"/>
        <v/>
      </c>
      <c r="LI876" s="2051" t="str">
        <f t="shared" si="299"/>
        <v/>
      </c>
      <c r="LJ876" s="2051" t="str">
        <f t="shared" si="300"/>
        <v/>
      </c>
      <c r="LK876" s="2051" t="str">
        <f t="shared" si="301"/>
        <v/>
      </c>
      <c r="LL876" s="1852" t="str">
        <f t="shared" si="302"/>
        <v/>
      </c>
      <c r="LM876" s="1852" t="str">
        <f t="shared" si="303"/>
        <v/>
      </c>
      <c r="LN876" s="1852" t="str">
        <f t="shared" si="304"/>
        <v/>
      </c>
      <c r="LO876" s="1852" t="str">
        <f t="shared" si="305"/>
        <v/>
      </c>
      <c r="LP876" s="1852" t="str">
        <f t="shared" si="306"/>
        <v/>
      </c>
      <c r="LQ876" s="1852" t="str">
        <f t="shared" si="307"/>
        <v/>
      </c>
      <c r="LR876" s="1852" t="str">
        <f t="shared" si="308"/>
        <v/>
      </c>
      <c r="LS876" s="1852" t="str">
        <f t="shared" si="309"/>
        <v/>
      </c>
      <c r="LT876" s="1852" t="str">
        <f t="shared" si="310"/>
        <v/>
      </c>
      <c r="LU876" s="1852" t="str">
        <f t="shared" si="311"/>
        <v/>
      </c>
      <c r="LV876" s="1852" t="str">
        <f t="shared" si="312"/>
        <v/>
      </c>
      <c r="LW876" s="1852" t="str">
        <f t="shared" si="313"/>
        <v/>
      </c>
      <c r="LX876" s="1852" t="str">
        <f t="shared" si="314"/>
        <v/>
      </c>
      <c r="LY876" s="1852" t="str">
        <f t="shared" si="315"/>
        <v/>
      </c>
      <c r="LZ876" s="1852" t="str">
        <f t="shared" si="316"/>
        <v/>
      </c>
      <c r="MA876" s="1852" t="str">
        <f t="shared" si="317"/>
        <v/>
      </c>
      <c r="MB876" s="1852" t="str">
        <f t="shared" si="318"/>
        <v/>
      </c>
      <c r="MC876" s="1852" t="str">
        <f t="shared" si="319"/>
        <v/>
      </c>
      <c r="MD876" s="1852" t="str">
        <f t="shared" si="320"/>
        <v/>
      </c>
      <c r="ME876" s="1852" t="str">
        <f t="shared" si="321"/>
        <v/>
      </c>
      <c r="MF876" s="2051">
        <f t="shared" si="328"/>
        <v>0</v>
      </c>
      <c r="MG876" s="2051">
        <f t="shared" si="329"/>
        <v>0</v>
      </c>
      <c r="MH876" s="2051">
        <f t="shared" si="330"/>
        <v>0</v>
      </c>
      <c r="MI876" s="2051">
        <f t="shared" si="331"/>
        <v>0</v>
      </c>
      <c r="MJ876" s="2051">
        <f t="shared" si="332"/>
        <v>0</v>
      </c>
      <c r="MK876" s="2051">
        <f t="shared" si="333"/>
        <v>0</v>
      </c>
      <c r="ML876" s="2051">
        <f t="shared" si="334"/>
        <v>0</v>
      </c>
      <c r="MM876" s="2051">
        <f t="shared" si="335"/>
        <v>0</v>
      </c>
      <c r="MN876" s="2051">
        <f t="shared" si="336"/>
        <v>0</v>
      </c>
      <c r="MO876" s="2051">
        <f t="shared" si="337"/>
        <v>0</v>
      </c>
      <c r="MP876" s="2051">
        <f t="shared" si="322"/>
        <v>0</v>
      </c>
      <c r="MQ876" s="2051">
        <f t="shared" si="323"/>
        <v>0</v>
      </c>
      <c r="MR876" s="2051">
        <f t="shared" si="324"/>
        <v>0</v>
      </c>
      <c r="MS876" s="2051">
        <f t="shared" si="325"/>
        <v>0</v>
      </c>
      <c r="MT876" s="2051">
        <f t="shared" si="326"/>
        <v>0</v>
      </c>
      <c r="NP876" s="1924" t="s">
        <v>6745</v>
      </c>
    </row>
    <row r="877" spans="1:380" s="1852" customFormat="1" ht="13.9" customHeight="1">
      <c r="A877" s="2108" t="str">
        <f t="shared" si="327"/>
        <v/>
      </c>
      <c r="B877" s="2130">
        <f>'Part VI-Revenues &amp; Expenses'!B37</f>
        <v>0</v>
      </c>
      <c r="C877" s="2131">
        <f>'Part VI-Revenues &amp; Expenses'!C37</f>
        <v>0</v>
      </c>
      <c r="D877" s="2132">
        <f>'Part VI-Revenues &amp; Expenses'!D37</f>
        <v>0</v>
      </c>
      <c r="E877" s="2133">
        <f>'Part VI-Revenues &amp; Expenses'!E37</f>
        <v>0</v>
      </c>
      <c r="F877" s="2133">
        <f>'Part VI-Revenues &amp; Expenses'!F37</f>
        <v>0</v>
      </c>
      <c r="G877" s="2133">
        <f>'Part VI-Revenues &amp; Expenses'!G37</f>
        <v>0</v>
      </c>
      <c r="H877" s="2133">
        <f>'Part VI-Revenues &amp; Expenses'!H37</f>
        <v>0</v>
      </c>
      <c r="I877" s="2133">
        <f>'Part VI-Revenues &amp; Expenses'!I37</f>
        <v>0</v>
      </c>
      <c r="J877" s="2133">
        <f>'Part VI-Revenues &amp; Expenses'!J37</f>
        <v>0</v>
      </c>
      <c r="K877" s="2134">
        <f>'Part VI-Revenues &amp; Expenses'!K37</f>
        <v>0</v>
      </c>
      <c r="L877" s="2135">
        <f t="shared" si="0"/>
        <v>0</v>
      </c>
      <c r="M877" s="2135">
        <f t="shared" si="1"/>
        <v>0</v>
      </c>
      <c r="N877" s="1916">
        <f>'Part VI-Revenues &amp; Expenses'!N37</f>
        <v>0</v>
      </c>
      <c r="O877" s="2136">
        <f>'Part VI-Revenues &amp; Expenses'!O37</f>
        <v>0</v>
      </c>
      <c r="P877" s="1916">
        <f>'Part VI-Revenues &amp; Expenses'!P37</f>
        <v>0</v>
      </c>
      <c r="Q877" s="2137">
        <f>'Part VI-Revenues &amp; Expenses'!Q37</f>
        <v>0</v>
      </c>
      <c r="R877" s="2138"/>
      <c r="S877" s="2139"/>
      <c r="T877" s="2043"/>
      <c r="U877" s="2043"/>
      <c r="V877" s="2043"/>
      <c r="W877" s="2043"/>
      <c r="X877" s="1852" t="str">
        <f t="shared" si="2"/>
        <v/>
      </c>
      <c r="Y877" s="1852" t="str">
        <f t="shared" si="3"/>
        <v/>
      </c>
      <c r="Z877" s="1852" t="str">
        <f t="shared" si="4"/>
        <v/>
      </c>
      <c r="AA877" s="1852" t="str">
        <f t="shared" si="5"/>
        <v/>
      </c>
      <c r="AB877" s="1852" t="str">
        <f t="shared" si="6"/>
        <v/>
      </c>
      <c r="AC877" s="1852" t="str">
        <f t="shared" si="7"/>
        <v/>
      </c>
      <c r="AD877" s="1852" t="str">
        <f t="shared" si="8"/>
        <v/>
      </c>
      <c r="AE877" s="1852" t="str">
        <f t="shared" si="9"/>
        <v/>
      </c>
      <c r="AF877" s="1852" t="str">
        <f t="shared" si="10"/>
        <v/>
      </c>
      <c r="AG877" s="1852" t="str">
        <f t="shared" si="11"/>
        <v/>
      </c>
      <c r="AH877" s="1852" t="str">
        <f t="shared" si="12"/>
        <v/>
      </c>
      <c r="AI877" s="1852" t="str">
        <f t="shared" si="13"/>
        <v/>
      </c>
      <c r="AJ877" s="1852" t="str">
        <f t="shared" si="14"/>
        <v/>
      </c>
      <c r="AK877" s="1852" t="str">
        <f t="shared" si="15"/>
        <v/>
      </c>
      <c r="AL877" s="1852" t="str">
        <f t="shared" si="16"/>
        <v/>
      </c>
      <c r="AM877" s="1852" t="str">
        <f t="shared" si="17"/>
        <v/>
      </c>
      <c r="AN877" s="1852" t="str">
        <f t="shared" si="18"/>
        <v/>
      </c>
      <c r="AO877" s="1852" t="str">
        <f t="shared" si="19"/>
        <v/>
      </c>
      <c r="AP877" s="1852" t="str">
        <f t="shared" si="20"/>
        <v/>
      </c>
      <c r="AQ877" s="1852" t="str">
        <f t="shared" si="21"/>
        <v/>
      </c>
      <c r="AR877" s="1852" t="str">
        <f t="shared" si="22"/>
        <v/>
      </c>
      <c r="AS877" s="1852" t="str">
        <f t="shared" si="23"/>
        <v/>
      </c>
      <c r="AT877" s="1852" t="str">
        <f t="shared" si="24"/>
        <v/>
      </c>
      <c r="AU877" s="1852" t="str">
        <f t="shared" si="25"/>
        <v/>
      </c>
      <c r="AV877" s="1852" t="str">
        <f t="shared" si="26"/>
        <v/>
      </c>
      <c r="AW877" s="1852" t="str">
        <f t="shared" si="27"/>
        <v/>
      </c>
      <c r="AX877" s="1852" t="str">
        <f t="shared" si="28"/>
        <v/>
      </c>
      <c r="AY877" s="1852" t="str">
        <f t="shared" si="29"/>
        <v/>
      </c>
      <c r="AZ877" s="1852" t="str">
        <f t="shared" si="30"/>
        <v/>
      </c>
      <c r="BA877" s="1852" t="str">
        <f t="shared" si="31"/>
        <v/>
      </c>
      <c r="BB877" s="1852" t="str">
        <f t="shared" si="32"/>
        <v/>
      </c>
      <c r="BC877" s="1852" t="str">
        <f t="shared" si="33"/>
        <v/>
      </c>
      <c r="BD877" s="1852" t="str">
        <f t="shared" si="34"/>
        <v/>
      </c>
      <c r="BE877" s="1852" t="str">
        <f t="shared" si="35"/>
        <v/>
      </c>
      <c r="BF877" s="1852" t="str">
        <f t="shared" si="36"/>
        <v/>
      </c>
      <c r="BG877" s="1852" t="str">
        <f t="shared" si="37"/>
        <v/>
      </c>
      <c r="BH877" s="1852" t="str">
        <f t="shared" si="38"/>
        <v/>
      </c>
      <c r="BI877" s="1852" t="str">
        <f t="shared" si="39"/>
        <v/>
      </c>
      <c r="BJ877" s="1852" t="str">
        <f t="shared" si="40"/>
        <v/>
      </c>
      <c r="BK877" s="1852" t="str">
        <f t="shared" si="41"/>
        <v/>
      </c>
      <c r="BL877" s="1852" t="str">
        <f t="shared" si="42"/>
        <v/>
      </c>
      <c r="BM877" s="1852" t="str">
        <f t="shared" si="43"/>
        <v/>
      </c>
      <c r="BN877" s="1852" t="str">
        <f t="shared" si="44"/>
        <v/>
      </c>
      <c r="BO877" s="1852" t="str">
        <f t="shared" si="45"/>
        <v/>
      </c>
      <c r="BP877" s="1852" t="str">
        <f t="shared" si="46"/>
        <v/>
      </c>
      <c r="BQ877" s="1852" t="str">
        <f t="shared" si="47"/>
        <v/>
      </c>
      <c r="BR877" s="1852" t="str">
        <f t="shared" si="48"/>
        <v/>
      </c>
      <c r="BS877" s="1852" t="str">
        <f t="shared" si="49"/>
        <v/>
      </c>
      <c r="BT877" s="1852" t="str">
        <f t="shared" si="50"/>
        <v/>
      </c>
      <c r="BU877" s="1852" t="str">
        <f t="shared" si="51"/>
        <v/>
      </c>
      <c r="BV877" s="1852" t="str">
        <f t="shared" si="52"/>
        <v/>
      </c>
      <c r="BW877" s="1852" t="str">
        <f t="shared" si="53"/>
        <v/>
      </c>
      <c r="BX877" s="1852" t="str">
        <f t="shared" si="54"/>
        <v/>
      </c>
      <c r="BY877" s="1852" t="str">
        <f t="shared" si="55"/>
        <v/>
      </c>
      <c r="BZ877" s="1852" t="str">
        <f t="shared" si="56"/>
        <v/>
      </c>
      <c r="CA877" s="1852" t="str">
        <f t="shared" si="57"/>
        <v/>
      </c>
      <c r="CB877" s="1852" t="str">
        <f t="shared" si="58"/>
        <v/>
      </c>
      <c r="CC877" s="1852" t="str">
        <f t="shared" si="59"/>
        <v/>
      </c>
      <c r="CD877" s="1852" t="str">
        <f t="shared" si="60"/>
        <v/>
      </c>
      <c r="CE877" s="1852" t="str">
        <f t="shared" si="61"/>
        <v/>
      </c>
      <c r="CF877" s="1852" t="str">
        <f t="shared" si="62"/>
        <v/>
      </c>
      <c r="CG877" s="1852" t="str">
        <f t="shared" si="63"/>
        <v/>
      </c>
      <c r="CH877" s="1852" t="str">
        <f t="shared" si="64"/>
        <v/>
      </c>
      <c r="CI877" s="1852" t="str">
        <f t="shared" si="65"/>
        <v/>
      </c>
      <c r="CJ877" s="1852" t="str">
        <f t="shared" si="66"/>
        <v/>
      </c>
      <c r="CK877" s="1852" t="str">
        <f t="shared" si="67"/>
        <v/>
      </c>
      <c r="CL877" s="1852" t="str">
        <f t="shared" si="68"/>
        <v/>
      </c>
      <c r="CM877" s="1852" t="str">
        <f t="shared" si="69"/>
        <v/>
      </c>
      <c r="CN877" s="1852" t="str">
        <f t="shared" si="70"/>
        <v/>
      </c>
      <c r="CO877" s="1852" t="str">
        <f t="shared" si="71"/>
        <v/>
      </c>
      <c r="CP877" s="1852" t="str">
        <f t="shared" si="72"/>
        <v/>
      </c>
      <c r="CQ877" s="1852" t="str">
        <f t="shared" si="73"/>
        <v/>
      </c>
      <c r="CR877" s="1852" t="str">
        <f t="shared" si="74"/>
        <v/>
      </c>
      <c r="CS877" s="1852" t="str">
        <f t="shared" si="75"/>
        <v/>
      </c>
      <c r="CT877" s="1852" t="str">
        <f t="shared" si="76"/>
        <v/>
      </c>
      <c r="CU877" s="1852" t="str">
        <f t="shared" si="77"/>
        <v/>
      </c>
      <c r="CV877" s="1852" t="str">
        <f t="shared" si="78"/>
        <v/>
      </c>
      <c r="CW877" s="1852" t="str">
        <f t="shared" si="79"/>
        <v/>
      </c>
      <c r="CX877" s="1852" t="str">
        <f t="shared" si="80"/>
        <v/>
      </c>
      <c r="CY877" s="1852" t="str">
        <f t="shared" si="81"/>
        <v/>
      </c>
      <c r="CZ877" s="1852" t="str">
        <f t="shared" si="82"/>
        <v/>
      </c>
      <c r="DA877" s="1852" t="str">
        <f t="shared" si="83"/>
        <v/>
      </c>
      <c r="DB877" s="1852" t="str">
        <f t="shared" si="84"/>
        <v/>
      </c>
      <c r="DC877" s="1852" t="str">
        <f t="shared" si="85"/>
        <v/>
      </c>
      <c r="DD877" s="1852" t="str">
        <f t="shared" si="86"/>
        <v/>
      </c>
      <c r="DE877" s="1852" t="str">
        <f t="shared" si="87"/>
        <v/>
      </c>
      <c r="DF877" s="1852" t="str">
        <f t="shared" si="88"/>
        <v/>
      </c>
      <c r="DG877" s="1852" t="str">
        <f t="shared" si="89"/>
        <v/>
      </c>
      <c r="DH877" s="1852" t="str">
        <f t="shared" si="90"/>
        <v/>
      </c>
      <c r="DI877" s="1852" t="str">
        <f t="shared" si="91"/>
        <v/>
      </c>
      <c r="DJ877" s="1852" t="str">
        <f t="shared" si="92"/>
        <v/>
      </c>
      <c r="DK877" s="1852" t="str">
        <f t="shared" si="93"/>
        <v/>
      </c>
      <c r="DL877" s="1852" t="str">
        <f t="shared" si="94"/>
        <v/>
      </c>
      <c r="DM877" s="1852" t="str">
        <f t="shared" si="95"/>
        <v/>
      </c>
      <c r="DN877" s="1852" t="str">
        <f t="shared" si="96"/>
        <v/>
      </c>
      <c r="DO877" s="1852" t="str">
        <f t="shared" si="97"/>
        <v/>
      </c>
      <c r="DP877" s="1852" t="str">
        <f t="shared" si="98"/>
        <v/>
      </c>
      <c r="DQ877" s="1852" t="str">
        <f t="shared" si="99"/>
        <v/>
      </c>
      <c r="DR877" s="1852" t="str">
        <f t="shared" si="100"/>
        <v/>
      </c>
      <c r="DS877" s="1852" t="str">
        <f t="shared" si="101"/>
        <v/>
      </c>
      <c r="DT877" s="1852" t="str">
        <f t="shared" si="102"/>
        <v/>
      </c>
      <c r="DU877" s="1852" t="str">
        <f t="shared" si="103"/>
        <v/>
      </c>
      <c r="DV877" s="1852" t="str">
        <f t="shared" si="104"/>
        <v/>
      </c>
      <c r="DW877" s="1852" t="str">
        <f t="shared" si="105"/>
        <v/>
      </c>
      <c r="DX877" s="1852" t="str">
        <f t="shared" si="106"/>
        <v/>
      </c>
      <c r="DY877" s="1852" t="str">
        <f t="shared" si="107"/>
        <v/>
      </c>
      <c r="DZ877" s="1852" t="str">
        <f t="shared" si="108"/>
        <v/>
      </c>
      <c r="EA877" s="1852" t="str">
        <f t="shared" si="109"/>
        <v/>
      </c>
      <c r="EB877" s="1852" t="str">
        <f t="shared" si="110"/>
        <v/>
      </c>
      <c r="EC877" s="1852" t="str">
        <f t="shared" si="111"/>
        <v/>
      </c>
      <c r="ED877" s="1852" t="str">
        <f t="shared" si="112"/>
        <v/>
      </c>
      <c r="EE877" s="1852" t="str">
        <f t="shared" si="113"/>
        <v/>
      </c>
      <c r="EF877" s="1852" t="str">
        <f t="shared" si="114"/>
        <v/>
      </c>
      <c r="EG877" s="1852" t="str">
        <f t="shared" si="115"/>
        <v/>
      </c>
      <c r="EH877" s="1852" t="str">
        <f t="shared" si="116"/>
        <v/>
      </c>
      <c r="EI877" s="1852" t="str">
        <f t="shared" si="117"/>
        <v/>
      </c>
      <c r="EJ877" s="1852" t="str">
        <f t="shared" si="118"/>
        <v/>
      </c>
      <c r="EK877" s="1852" t="str">
        <f t="shared" si="119"/>
        <v/>
      </c>
      <c r="EL877" s="1852" t="str">
        <f t="shared" si="120"/>
        <v/>
      </c>
      <c r="EM877" s="1852" t="str">
        <f t="shared" si="121"/>
        <v/>
      </c>
      <c r="EN877" s="1852" t="str">
        <f t="shared" si="122"/>
        <v/>
      </c>
      <c r="EO877" s="1852" t="str">
        <f t="shared" si="123"/>
        <v/>
      </c>
      <c r="EP877" s="1852" t="str">
        <f t="shared" si="124"/>
        <v/>
      </c>
      <c r="EQ877" s="1852" t="str">
        <f t="shared" si="125"/>
        <v/>
      </c>
      <c r="ER877" s="1852" t="str">
        <f t="shared" si="126"/>
        <v/>
      </c>
      <c r="ES877" s="1852" t="str">
        <f t="shared" si="127"/>
        <v/>
      </c>
      <c r="ET877" s="1852" t="str">
        <f t="shared" si="128"/>
        <v/>
      </c>
      <c r="EU877" s="1852" t="str">
        <f t="shared" si="129"/>
        <v/>
      </c>
      <c r="EV877" s="1852" t="str">
        <f t="shared" si="130"/>
        <v/>
      </c>
      <c r="EW877" s="1852" t="str">
        <f t="shared" si="131"/>
        <v/>
      </c>
      <c r="EX877" s="1852" t="str">
        <f t="shared" si="132"/>
        <v/>
      </c>
      <c r="EY877" s="1852" t="str">
        <f t="shared" si="133"/>
        <v/>
      </c>
      <c r="EZ877" s="1852" t="str">
        <f t="shared" si="134"/>
        <v/>
      </c>
      <c r="FA877" s="1852" t="str">
        <f t="shared" si="135"/>
        <v/>
      </c>
      <c r="FB877" s="1852" t="str">
        <f t="shared" si="136"/>
        <v/>
      </c>
      <c r="FC877" s="1852" t="str">
        <f t="shared" si="137"/>
        <v/>
      </c>
      <c r="FD877" s="1852" t="str">
        <f t="shared" si="138"/>
        <v/>
      </c>
      <c r="FE877" s="1852" t="str">
        <f t="shared" si="139"/>
        <v/>
      </c>
      <c r="FF877" s="1852" t="str">
        <f t="shared" si="140"/>
        <v/>
      </c>
      <c r="FG877" s="1852" t="str">
        <f t="shared" si="141"/>
        <v/>
      </c>
      <c r="FH877" s="1852" t="str">
        <f t="shared" si="142"/>
        <v/>
      </c>
      <c r="FI877" s="1852" t="str">
        <f t="shared" si="143"/>
        <v/>
      </c>
      <c r="FJ877" s="1852" t="str">
        <f t="shared" si="144"/>
        <v/>
      </c>
      <c r="FK877" s="1852" t="str">
        <f t="shared" si="145"/>
        <v/>
      </c>
      <c r="FL877" s="1852" t="str">
        <f t="shared" si="146"/>
        <v/>
      </c>
      <c r="FM877" s="1852" t="str">
        <f t="shared" si="147"/>
        <v/>
      </c>
      <c r="FN877" s="1852" t="str">
        <f t="shared" si="148"/>
        <v/>
      </c>
      <c r="FO877" s="1852" t="str">
        <f t="shared" si="149"/>
        <v/>
      </c>
      <c r="FP877" s="1852" t="str">
        <f t="shared" si="150"/>
        <v/>
      </c>
      <c r="FQ877" s="1852" t="str">
        <f t="shared" si="151"/>
        <v/>
      </c>
      <c r="FR877" s="1852" t="str">
        <f t="shared" si="152"/>
        <v/>
      </c>
      <c r="FS877" s="1852" t="str">
        <f t="shared" si="153"/>
        <v/>
      </c>
      <c r="FT877" s="1852" t="str">
        <f t="shared" si="154"/>
        <v/>
      </c>
      <c r="FU877" s="1852" t="str">
        <f t="shared" si="155"/>
        <v/>
      </c>
      <c r="FV877" s="1852" t="str">
        <f t="shared" si="156"/>
        <v/>
      </c>
      <c r="FW877" s="1852" t="str">
        <f t="shared" si="157"/>
        <v/>
      </c>
      <c r="FX877" s="1852" t="str">
        <f t="shared" si="158"/>
        <v/>
      </c>
      <c r="FY877" s="1852" t="str">
        <f t="shared" si="159"/>
        <v/>
      </c>
      <c r="FZ877" s="1852" t="str">
        <f t="shared" si="160"/>
        <v/>
      </c>
      <c r="GA877" s="1852" t="str">
        <f t="shared" si="161"/>
        <v/>
      </c>
      <c r="GB877" s="1852" t="str">
        <f t="shared" si="162"/>
        <v/>
      </c>
      <c r="GC877" s="1852" t="str">
        <f t="shared" si="163"/>
        <v/>
      </c>
      <c r="GD877" s="1852" t="str">
        <f t="shared" si="164"/>
        <v/>
      </c>
      <c r="GE877" s="1852" t="str">
        <f t="shared" si="165"/>
        <v/>
      </c>
      <c r="GF877" s="1852" t="str">
        <f t="shared" si="166"/>
        <v/>
      </c>
      <c r="GG877" s="1852" t="str">
        <f t="shared" si="167"/>
        <v/>
      </c>
      <c r="GH877" s="1852" t="str">
        <f t="shared" si="168"/>
        <v/>
      </c>
      <c r="GI877" s="1852" t="str">
        <f t="shared" si="169"/>
        <v/>
      </c>
      <c r="GJ877" s="1852" t="str">
        <f t="shared" si="170"/>
        <v/>
      </c>
      <c r="GK877" s="1852" t="str">
        <f t="shared" si="171"/>
        <v/>
      </c>
      <c r="GL877" s="1852" t="str">
        <f t="shared" si="172"/>
        <v/>
      </c>
      <c r="GM877" s="1852" t="str">
        <f t="shared" si="173"/>
        <v/>
      </c>
      <c r="GN877" s="1852" t="str">
        <f t="shared" si="174"/>
        <v/>
      </c>
      <c r="GO877" s="1852" t="str">
        <f t="shared" si="175"/>
        <v/>
      </c>
      <c r="GP877" s="1852" t="str">
        <f t="shared" si="176"/>
        <v/>
      </c>
      <c r="GQ877" s="1852" t="str">
        <f t="shared" si="177"/>
        <v/>
      </c>
      <c r="GR877" s="1852" t="str">
        <f t="shared" si="178"/>
        <v/>
      </c>
      <c r="GS877" s="1852" t="str">
        <f t="shared" si="179"/>
        <v/>
      </c>
      <c r="GT877" s="1852" t="str">
        <f t="shared" si="180"/>
        <v/>
      </c>
      <c r="GU877" s="1852" t="str">
        <f t="shared" si="181"/>
        <v/>
      </c>
      <c r="GV877" s="1852" t="str">
        <f t="shared" si="182"/>
        <v/>
      </c>
      <c r="GW877" s="1852" t="str">
        <f t="shared" si="183"/>
        <v/>
      </c>
      <c r="GX877" s="1852" t="str">
        <f t="shared" si="184"/>
        <v/>
      </c>
      <c r="GY877" s="1852" t="str">
        <f t="shared" si="185"/>
        <v/>
      </c>
      <c r="GZ877" s="1852" t="str">
        <f t="shared" si="186"/>
        <v/>
      </c>
      <c r="HA877" s="1852" t="str">
        <f t="shared" si="187"/>
        <v/>
      </c>
      <c r="HB877" s="1852" t="str">
        <f t="shared" si="188"/>
        <v/>
      </c>
      <c r="HC877" s="1852" t="str">
        <f t="shared" si="189"/>
        <v/>
      </c>
      <c r="HD877" s="1852" t="str">
        <f t="shared" si="190"/>
        <v/>
      </c>
      <c r="HE877" s="1852" t="str">
        <f t="shared" si="191"/>
        <v/>
      </c>
      <c r="HF877" s="1852" t="str">
        <f t="shared" si="192"/>
        <v/>
      </c>
      <c r="HG877" s="1852" t="str">
        <f t="shared" si="193"/>
        <v/>
      </c>
      <c r="HH877" s="1852" t="str">
        <f t="shared" si="194"/>
        <v/>
      </c>
      <c r="HI877" s="1852" t="str">
        <f t="shared" si="195"/>
        <v/>
      </c>
      <c r="HJ877" s="1852" t="str">
        <f t="shared" si="196"/>
        <v/>
      </c>
      <c r="HK877" s="1852" t="str">
        <f t="shared" si="197"/>
        <v/>
      </c>
      <c r="HL877" s="1852" t="str">
        <f t="shared" si="198"/>
        <v/>
      </c>
      <c r="HM877" s="1852" t="str">
        <f t="shared" si="199"/>
        <v/>
      </c>
      <c r="HN877" s="1852" t="str">
        <f t="shared" si="200"/>
        <v/>
      </c>
      <c r="HO877" s="1852" t="str">
        <f t="shared" si="201"/>
        <v/>
      </c>
      <c r="HP877" s="1852" t="str">
        <f t="shared" si="202"/>
        <v/>
      </c>
      <c r="HQ877" s="1852" t="str">
        <f t="shared" si="203"/>
        <v/>
      </c>
      <c r="HR877" s="1852" t="str">
        <f t="shared" si="204"/>
        <v/>
      </c>
      <c r="HS877" s="1852" t="str">
        <f t="shared" si="205"/>
        <v/>
      </c>
      <c r="HT877" s="1852" t="str">
        <f t="shared" si="206"/>
        <v/>
      </c>
      <c r="HU877" s="1852" t="str">
        <f t="shared" si="207"/>
        <v/>
      </c>
      <c r="HV877" s="1852" t="str">
        <f t="shared" si="208"/>
        <v/>
      </c>
      <c r="HW877" s="1852" t="str">
        <f t="shared" si="209"/>
        <v/>
      </c>
      <c r="HX877" s="1852" t="str">
        <f t="shared" si="210"/>
        <v/>
      </c>
      <c r="HY877" s="1852" t="str">
        <f t="shared" si="211"/>
        <v/>
      </c>
      <c r="HZ877" s="2140" t="str">
        <f t="shared" si="212"/>
        <v/>
      </c>
      <c r="IA877" s="2140" t="str">
        <f t="shared" si="213"/>
        <v/>
      </c>
      <c r="IB877" s="2140" t="str">
        <f t="shared" si="214"/>
        <v/>
      </c>
      <c r="IC877" s="2140" t="str">
        <f t="shared" si="215"/>
        <v/>
      </c>
      <c r="ID877" s="2140" t="str">
        <f t="shared" si="216"/>
        <v/>
      </c>
      <c r="IE877" s="2140" t="str">
        <f t="shared" si="217"/>
        <v/>
      </c>
      <c r="IF877" s="2140" t="str">
        <f t="shared" si="218"/>
        <v/>
      </c>
      <c r="IG877" s="2140" t="str">
        <f t="shared" si="219"/>
        <v/>
      </c>
      <c r="IH877" s="2140" t="str">
        <f t="shared" si="220"/>
        <v/>
      </c>
      <c r="II877" s="2140" t="str">
        <f t="shared" si="221"/>
        <v/>
      </c>
      <c r="IJ877" s="2140" t="str">
        <f t="shared" si="222"/>
        <v/>
      </c>
      <c r="IK877" s="2140" t="str">
        <f t="shared" si="223"/>
        <v/>
      </c>
      <c r="IL877" s="2140" t="str">
        <f t="shared" si="224"/>
        <v/>
      </c>
      <c r="IM877" s="2140" t="str">
        <f t="shared" si="225"/>
        <v/>
      </c>
      <c r="IN877" s="2140" t="str">
        <f t="shared" si="226"/>
        <v/>
      </c>
      <c r="IO877" s="2140" t="str">
        <f t="shared" si="227"/>
        <v/>
      </c>
      <c r="IP877" s="2140" t="str">
        <f t="shared" si="228"/>
        <v/>
      </c>
      <c r="IQ877" s="2140" t="str">
        <f t="shared" si="229"/>
        <v/>
      </c>
      <c r="IR877" s="2140" t="str">
        <f t="shared" si="230"/>
        <v/>
      </c>
      <c r="IS877" s="2140" t="str">
        <f t="shared" si="231"/>
        <v/>
      </c>
      <c r="IT877" s="2140" t="str">
        <f t="shared" si="232"/>
        <v/>
      </c>
      <c r="IU877" s="2140" t="str">
        <f t="shared" si="233"/>
        <v/>
      </c>
      <c r="IV877" s="2140" t="str">
        <f t="shared" si="234"/>
        <v/>
      </c>
      <c r="IW877" s="2140" t="str">
        <f t="shared" si="235"/>
        <v/>
      </c>
      <c r="IX877" s="2140" t="str">
        <f t="shared" si="236"/>
        <v/>
      </c>
      <c r="IY877" s="2140" t="str">
        <f t="shared" si="237"/>
        <v/>
      </c>
      <c r="IZ877" s="2140" t="str">
        <f t="shared" si="238"/>
        <v/>
      </c>
      <c r="JA877" s="2140" t="str">
        <f t="shared" si="239"/>
        <v/>
      </c>
      <c r="JB877" s="2140" t="str">
        <f t="shared" si="240"/>
        <v/>
      </c>
      <c r="JC877" s="2140" t="str">
        <f t="shared" si="241"/>
        <v/>
      </c>
      <c r="JD877" s="2140" t="str">
        <f t="shared" si="242"/>
        <v/>
      </c>
      <c r="JE877" s="2140" t="str">
        <f t="shared" si="243"/>
        <v/>
      </c>
      <c r="JF877" s="2140" t="str">
        <f t="shared" si="244"/>
        <v/>
      </c>
      <c r="JG877" s="2140" t="str">
        <f t="shared" si="245"/>
        <v/>
      </c>
      <c r="JH877" s="2140" t="str">
        <f t="shared" si="246"/>
        <v/>
      </c>
      <c r="JI877" s="2140" t="str">
        <f t="shared" si="247"/>
        <v/>
      </c>
      <c r="JJ877" s="2140" t="str">
        <f t="shared" si="248"/>
        <v/>
      </c>
      <c r="JK877" s="2140" t="str">
        <f t="shared" si="249"/>
        <v/>
      </c>
      <c r="JL877" s="2140" t="str">
        <f t="shared" si="250"/>
        <v/>
      </c>
      <c r="JM877" s="2140" t="str">
        <f t="shared" si="251"/>
        <v/>
      </c>
      <c r="JN877" s="2140" t="str">
        <f t="shared" si="252"/>
        <v/>
      </c>
      <c r="JO877" s="2140" t="str">
        <f t="shared" si="253"/>
        <v/>
      </c>
      <c r="JP877" s="2140" t="str">
        <f t="shared" si="254"/>
        <v/>
      </c>
      <c r="JQ877" s="2140" t="str">
        <f t="shared" si="255"/>
        <v/>
      </c>
      <c r="JR877" s="2140" t="str">
        <f t="shared" si="256"/>
        <v/>
      </c>
      <c r="JS877" s="2140" t="str">
        <f t="shared" si="257"/>
        <v/>
      </c>
      <c r="JT877" s="2140" t="str">
        <f t="shared" si="258"/>
        <v/>
      </c>
      <c r="JU877" s="2140" t="str">
        <f t="shared" si="259"/>
        <v/>
      </c>
      <c r="JV877" s="2140" t="str">
        <f t="shared" si="260"/>
        <v/>
      </c>
      <c r="JW877" s="2140" t="str">
        <f t="shared" si="261"/>
        <v/>
      </c>
      <c r="JX877" s="2140" t="str">
        <f t="shared" si="262"/>
        <v/>
      </c>
      <c r="JY877" s="2140" t="str">
        <f t="shared" si="263"/>
        <v/>
      </c>
      <c r="JZ877" s="2140" t="str">
        <f t="shared" si="264"/>
        <v/>
      </c>
      <c r="KA877" s="2140" t="str">
        <f t="shared" si="265"/>
        <v/>
      </c>
      <c r="KB877" s="2140" t="str">
        <f t="shared" si="266"/>
        <v/>
      </c>
      <c r="KC877" s="2140" t="str">
        <f t="shared" si="267"/>
        <v/>
      </c>
      <c r="KD877" s="2140" t="str">
        <f t="shared" si="268"/>
        <v/>
      </c>
      <c r="KE877" s="2140" t="str">
        <f t="shared" si="269"/>
        <v/>
      </c>
      <c r="KF877" s="2140" t="str">
        <f t="shared" si="270"/>
        <v/>
      </c>
      <c r="KG877" s="2140" t="str">
        <f t="shared" si="271"/>
        <v/>
      </c>
      <c r="KH877" s="2140" t="str">
        <f t="shared" si="272"/>
        <v/>
      </c>
      <c r="KI877" s="2140" t="str">
        <f t="shared" si="273"/>
        <v/>
      </c>
      <c r="KJ877" s="2140" t="str">
        <f t="shared" si="274"/>
        <v/>
      </c>
      <c r="KK877" s="2140" t="str">
        <f t="shared" si="275"/>
        <v/>
      </c>
      <c r="KL877" s="2140" t="str">
        <f t="shared" si="276"/>
        <v/>
      </c>
      <c r="KM877" s="2140" t="str">
        <f t="shared" si="277"/>
        <v/>
      </c>
      <c r="KN877" s="2140" t="str">
        <f t="shared" si="278"/>
        <v/>
      </c>
      <c r="KO877" s="2140" t="str">
        <f t="shared" si="279"/>
        <v/>
      </c>
      <c r="KP877" s="2140" t="str">
        <f t="shared" si="280"/>
        <v/>
      </c>
      <c r="KQ877" s="2140" t="str">
        <f t="shared" si="281"/>
        <v/>
      </c>
      <c r="KR877" s="2140" t="str">
        <f t="shared" si="282"/>
        <v/>
      </c>
      <c r="KS877" s="2140" t="str">
        <f t="shared" si="283"/>
        <v/>
      </c>
      <c r="KT877" s="2140" t="str">
        <f t="shared" si="284"/>
        <v/>
      </c>
      <c r="KU877" s="2140" t="str">
        <f t="shared" si="285"/>
        <v/>
      </c>
      <c r="KV877" s="2140" t="str">
        <f t="shared" si="286"/>
        <v/>
      </c>
      <c r="KW877" s="2140" t="str">
        <f t="shared" si="287"/>
        <v/>
      </c>
      <c r="KX877" s="2140" t="str">
        <f t="shared" si="288"/>
        <v/>
      </c>
      <c r="KY877" s="2140" t="str">
        <f t="shared" si="289"/>
        <v/>
      </c>
      <c r="KZ877" s="2140" t="str">
        <f t="shared" si="290"/>
        <v/>
      </c>
      <c r="LA877" s="2140" t="str">
        <f t="shared" si="291"/>
        <v/>
      </c>
      <c r="LB877" s="2140" t="str">
        <f t="shared" si="292"/>
        <v/>
      </c>
      <c r="LC877" s="2140" t="str">
        <f t="shared" si="293"/>
        <v/>
      </c>
      <c r="LD877" s="2140" t="str">
        <f t="shared" si="294"/>
        <v/>
      </c>
      <c r="LE877" s="2140" t="str">
        <f t="shared" si="295"/>
        <v/>
      </c>
      <c r="LF877" s="2140" t="str">
        <f t="shared" si="296"/>
        <v/>
      </c>
      <c r="LG877" s="2051" t="str">
        <f t="shared" si="297"/>
        <v/>
      </c>
      <c r="LH877" s="2051" t="str">
        <f t="shared" si="298"/>
        <v/>
      </c>
      <c r="LI877" s="2051" t="str">
        <f t="shared" si="299"/>
        <v/>
      </c>
      <c r="LJ877" s="2051" t="str">
        <f t="shared" si="300"/>
        <v/>
      </c>
      <c r="LK877" s="2051" t="str">
        <f t="shared" si="301"/>
        <v/>
      </c>
      <c r="LL877" s="1852" t="str">
        <f t="shared" si="302"/>
        <v/>
      </c>
      <c r="LM877" s="1852" t="str">
        <f t="shared" si="303"/>
        <v/>
      </c>
      <c r="LN877" s="1852" t="str">
        <f t="shared" si="304"/>
        <v/>
      </c>
      <c r="LO877" s="1852" t="str">
        <f t="shared" si="305"/>
        <v/>
      </c>
      <c r="LP877" s="1852" t="str">
        <f t="shared" si="306"/>
        <v/>
      </c>
      <c r="LQ877" s="1852" t="str">
        <f t="shared" si="307"/>
        <v/>
      </c>
      <c r="LR877" s="1852" t="str">
        <f t="shared" si="308"/>
        <v/>
      </c>
      <c r="LS877" s="1852" t="str">
        <f t="shared" si="309"/>
        <v/>
      </c>
      <c r="LT877" s="1852" t="str">
        <f t="shared" si="310"/>
        <v/>
      </c>
      <c r="LU877" s="1852" t="str">
        <f t="shared" si="311"/>
        <v/>
      </c>
      <c r="LV877" s="1852" t="str">
        <f t="shared" si="312"/>
        <v/>
      </c>
      <c r="LW877" s="1852" t="str">
        <f t="shared" si="313"/>
        <v/>
      </c>
      <c r="LX877" s="1852" t="str">
        <f t="shared" si="314"/>
        <v/>
      </c>
      <c r="LY877" s="1852" t="str">
        <f t="shared" si="315"/>
        <v/>
      </c>
      <c r="LZ877" s="1852" t="str">
        <f t="shared" si="316"/>
        <v/>
      </c>
      <c r="MA877" s="1852" t="str">
        <f t="shared" si="317"/>
        <v/>
      </c>
      <c r="MB877" s="1852" t="str">
        <f t="shared" si="318"/>
        <v/>
      </c>
      <c r="MC877" s="1852" t="str">
        <f t="shared" si="319"/>
        <v/>
      </c>
      <c r="MD877" s="1852" t="str">
        <f t="shared" si="320"/>
        <v/>
      </c>
      <c r="ME877" s="1852" t="str">
        <f t="shared" si="321"/>
        <v/>
      </c>
      <c r="MF877" s="2051">
        <f t="shared" si="328"/>
        <v>0</v>
      </c>
      <c r="MG877" s="2051">
        <f t="shared" si="329"/>
        <v>0</v>
      </c>
      <c r="MH877" s="2051">
        <f t="shared" si="330"/>
        <v>0</v>
      </c>
      <c r="MI877" s="2051">
        <f t="shared" si="331"/>
        <v>0</v>
      </c>
      <c r="MJ877" s="2051">
        <f t="shared" si="332"/>
        <v>0</v>
      </c>
      <c r="MK877" s="2051">
        <f t="shared" si="333"/>
        <v>0</v>
      </c>
      <c r="ML877" s="2051">
        <f t="shared" si="334"/>
        <v>0</v>
      </c>
      <c r="MM877" s="2051">
        <f t="shared" si="335"/>
        <v>0</v>
      </c>
      <c r="MN877" s="2051">
        <f t="shared" si="336"/>
        <v>0</v>
      </c>
      <c r="MO877" s="2051">
        <f t="shared" si="337"/>
        <v>0</v>
      </c>
      <c r="MP877" s="2051">
        <f t="shared" si="322"/>
        <v>0</v>
      </c>
      <c r="MQ877" s="2051">
        <f t="shared" si="323"/>
        <v>0</v>
      </c>
      <c r="MR877" s="2051">
        <f t="shared" si="324"/>
        <v>0</v>
      </c>
      <c r="MS877" s="2051">
        <f t="shared" si="325"/>
        <v>0</v>
      </c>
      <c r="MT877" s="2051">
        <f t="shared" si="326"/>
        <v>0</v>
      </c>
      <c r="NP877" s="1924" t="s">
        <v>6746</v>
      </c>
    </row>
    <row r="878" spans="1:380" s="1852" customFormat="1" ht="13.9" customHeight="1">
      <c r="A878" s="2108" t="str">
        <f t="shared" si="327"/>
        <v/>
      </c>
      <c r="B878" s="2130">
        <f>'Part VI-Revenues &amp; Expenses'!B38</f>
        <v>0</v>
      </c>
      <c r="C878" s="2131">
        <f>'Part VI-Revenues &amp; Expenses'!C38</f>
        <v>0</v>
      </c>
      <c r="D878" s="2132">
        <f>'Part VI-Revenues &amp; Expenses'!D38</f>
        <v>0</v>
      </c>
      <c r="E878" s="2133">
        <f>'Part VI-Revenues &amp; Expenses'!E38</f>
        <v>0</v>
      </c>
      <c r="F878" s="2133">
        <f>'Part VI-Revenues &amp; Expenses'!F38</f>
        <v>0</v>
      </c>
      <c r="G878" s="2133">
        <f>'Part VI-Revenues &amp; Expenses'!G38</f>
        <v>0</v>
      </c>
      <c r="H878" s="2133">
        <f>'Part VI-Revenues &amp; Expenses'!H38</f>
        <v>0</v>
      </c>
      <c r="I878" s="2133">
        <f>'Part VI-Revenues &amp; Expenses'!I38</f>
        <v>0</v>
      </c>
      <c r="J878" s="2133">
        <f>'Part VI-Revenues &amp; Expenses'!J38</f>
        <v>0</v>
      </c>
      <c r="K878" s="2134">
        <f>'Part VI-Revenues &amp; Expenses'!K38</f>
        <v>0</v>
      </c>
      <c r="L878" s="2135">
        <f t="shared" si="0"/>
        <v>0</v>
      </c>
      <c r="M878" s="2135">
        <f t="shared" si="1"/>
        <v>0</v>
      </c>
      <c r="N878" s="1916">
        <f>'Part VI-Revenues &amp; Expenses'!N38</f>
        <v>0</v>
      </c>
      <c r="O878" s="2136">
        <f>'Part VI-Revenues &amp; Expenses'!O38</f>
        <v>0</v>
      </c>
      <c r="P878" s="1916">
        <f>'Part VI-Revenues &amp; Expenses'!P38</f>
        <v>0</v>
      </c>
      <c r="Q878" s="2137">
        <f>'Part VI-Revenues &amp; Expenses'!Q38</f>
        <v>0</v>
      </c>
      <c r="R878" s="2138"/>
      <c r="S878" s="2139"/>
      <c r="T878" s="2043"/>
      <c r="U878" s="2043"/>
      <c r="V878" s="2043"/>
      <c r="W878" s="2043"/>
      <c r="X878" s="1852" t="str">
        <f t="shared" si="2"/>
        <v/>
      </c>
      <c r="Y878" s="1852" t="str">
        <f t="shared" si="3"/>
        <v/>
      </c>
      <c r="Z878" s="1852" t="str">
        <f t="shared" si="4"/>
        <v/>
      </c>
      <c r="AA878" s="1852" t="str">
        <f t="shared" si="5"/>
        <v/>
      </c>
      <c r="AB878" s="1852" t="str">
        <f t="shared" si="6"/>
        <v/>
      </c>
      <c r="AC878" s="1852" t="str">
        <f t="shared" si="7"/>
        <v/>
      </c>
      <c r="AD878" s="1852" t="str">
        <f t="shared" si="8"/>
        <v/>
      </c>
      <c r="AE878" s="1852" t="str">
        <f t="shared" si="9"/>
        <v/>
      </c>
      <c r="AF878" s="1852" t="str">
        <f t="shared" si="10"/>
        <v/>
      </c>
      <c r="AG878" s="1852" t="str">
        <f t="shared" si="11"/>
        <v/>
      </c>
      <c r="AH878" s="1852" t="str">
        <f t="shared" si="12"/>
        <v/>
      </c>
      <c r="AI878" s="1852" t="str">
        <f t="shared" si="13"/>
        <v/>
      </c>
      <c r="AJ878" s="1852" t="str">
        <f t="shared" si="14"/>
        <v/>
      </c>
      <c r="AK878" s="1852" t="str">
        <f t="shared" si="15"/>
        <v/>
      </c>
      <c r="AL878" s="1852" t="str">
        <f t="shared" si="16"/>
        <v/>
      </c>
      <c r="AM878" s="1852" t="str">
        <f t="shared" si="17"/>
        <v/>
      </c>
      <c r="AN878" s="1852" t="str">
        <f t="shared" si="18"/>
        <v/>
      </c>
      <c r="AO878" s="1852" t="str">
        <f t="shared" si="19"/>
        <v/>
      </c>
      <c r="AP878" s="1852" t="str">
        <f t="shared" si="20"/>
        <v/>
      </c>
      <c r="AQ878" s="1852" t="str">
        <f t="shared" si="21"/>
        <v/>
      </c>
      <c r="AR878" s="1852" t="str">
        <f t="shared" si="22"/>
        <v/>
      </c>
      <c r="AS878" s="1852" t="str">
        <f t="shared" si="23"/>
        <v/>
      </c>
      <c r="AT878" s="1852" t="str">
        <f t="shared" si="24"/>
        <v/>
      </c>
      <c r="AU878" s="1852" t="str">
        <f t="shared" si="25"/>
        <v/>
      </c>
      <c r="AV878" s="1852" t="str">
        <f t="shared" si="26"/>
        <v/>
      </c>
      <c r="AW878" s="1852" t="str">
        <f t="shared" si="27"/>
        <v/>
      </c>
      <c r="AX878" s="1852" t="str">
        <f t="shared" si="28"/>
        <v/>
      </c>
      <c r="AY878" s="1852" t="str">
        <f t="shared" si="29"/>
        <v/>
      </c>
      <c r="AZ878" s="1852" t="str">
        <f t="shared" si="30"/>
        <v/>
      </c>
      <c r="BA878" s="1852" t="str">
        <f t="shared" si="31"/>
        <v/>
      </c>
      <c r="BB878" s="1852" t="str">
        <f t="shared" si="32"/>
        <v/>
      </c>
      <c r="BC878" s="1852" t="str">
        <f t="shared" si="33"/>
        <v/>
      </c>
      <c r="BD878" s="1852" t="str">
        <f t="shared" si="34"/>
        <v/>
      </c>
      <c r="BE878" s="1852" t="str">
        <f t="shared" si="35"/>
        <v/>
      </c>
      <c r="BF878" s="1852" t="str">
        <f t="shared" si="36"/>
        <v/>
      </c>
      <c r="BG878" s="1852" t="str">
        <f t="shared" si="37"/>
        <v/>
      </c>
      <c r="BH878" s="1852" t="str">
        <f t="shared" si="38"/>
        <v/>
      </c>
      <c r="BI878" s="1852" t="str">
        <f t="shared" si="39"/>
        <v/>
      </c>
      <c r="BJ878" s="1852" t="str">
        <f t="shared" si="40"/>
        <v/>
      </c>
      <c r="BK878" s="1852" t="str">
        <f t="shared" si="41"/>
        <v/>
      </c>
      <c r="BL878" s="1852" t="str">
        <f t="shared" si="42"/>
        <v/>
      </c>
      <c r="BM878" s="1852" t="str">
        <f t="shared" si="43"/>
        <v/>
      </c>
      <c r="BN878" s="1852" t="str">
        <f t="shared" si="44"/>
        <v/>
      </c>
      <c r="BO878" s="1852" t="str">
        <f t="shared" si="45"/>
        <v/>
      </c>
      <c r="BP878" s="1852" t="str">
        <f t="shared" si="46"/>
        <v/>
      </c>
      <c r="BQ878" s="1852" t="str">
        <f t="shared" si="47"/>
        <v/>
      </c>
      <c r="BR878" s="1852" t="str">
        <f t="shared" si="48"/>
        <v/>
      </c>
      <c r="BS878" s="1852" t="str">
        <f t="shared" si="49"/>
        <v/>
      </c>
      <c r="BT878" s="1852" t="str">
        <f t="shared" si="50"/>
        <v/>
      </c>
      <c r="BU878" s="1852" t="str">
        <f t="shared" si="51"/>
        <v/>
      </c>
      <c r="BV878" s="1852" t="str">
        <f t="shared" si="52"/>
        <v/>
      </c>
      <c r="BW878" s="1852" t="str">
        <f t="shared" si="53"/>
        <v/>
      </c>
      <c r="BX878" s="1852" t="str">
        <f t="shared" si="54"/>
        <v/>
      </c>
      <c r="BY878" s="1852" t="str">
        <f t="shared" si="55"/>
        <v/>
      </c>
      <c r="BZ878" s="1852" t="str">
        <f t="shared" si="56"/>
        <v/>
      </c>
      <c r="CA878" s="1852" t="str">
        <f t="shared" si="57"/>
        <v/>
      </c>
      <c r="CB878" s="1852" t="str">
        <f t="shared" si="58"/>
        <v/>
      </c>
      <c r="CC878" s="1852" t="str">
        <f t="shared" si="59"/>
        <v/>
      </c>
      <c r="CD878" s="1852" t="str">
        <f t="shared" si="60"/>
        <v/>
      </c>
      <c r="CE878" s="1852" t="str">
        <f t="shared" si="61"/>
        <v/>
      </c>
      <c r="CF878" s="1852" t="str">
        <f t="shared" si="62"/>
        <v/>
      </c>
      <c r="CG878" s="1852" t="str">
        <f t="shared" si="63"/>
        <v/>
      </c>
      <c r="CH878" s="1852" t="str">
        <f t="shared" si="64"/>
        <v/>
      </c>
      <c r="CI878" s="1852" t="str">
        <f t="shared" si="65"/>
        <v/>
      </c>
      <c r="CJ878" s="1852" t="str">
        <f t="shared" si="66"/>
        <v/>
      </c>
      <c r="CK878" s="1852" t="str">
        <f t="shared" si="67"/>
        <v/>
      </c>
      <c r="CL878" s="1852" t="str">
        <f t="shared" si="68"/>
        <v/>
      </c>
      <c r="CM878" s="1852" t="str">
        <f t="shared" si="69"/>
        <v/>
      </c>
      <c r="CN878" s="1852" t="str">
        <f t="shared" si="70"/>
        <v/>
      </c>
      <c r="CO878" s="1852" t="str">
        <f t="shared" si="71"/>
        <v/>
      </c>
      <c r="CP878" s="1852" t="str">
        <f t="shared" si="72"/>
        <v/>
      </c>
      <c r="CQ878" s="1852" t="str">
        <f t="shared" si="73"/>
        <v/>
      </c>
      <c r="CR878" s="1852" t="str">
        <f t="shared" si="74"/>
        <v/>
      </c>
      <c r="CS878" s="1852" t="str">
        <f t="shared" si="75"/>
        <v/>
      </c>
      <c r="CT878" s="1852" t="str">
        <f t="shared" si="76"/>
        <v/>
      </c>
      <c r="CU878" s="1852" t="str">
        <f t="shared" si="77"/>
        <v/>
      </c>
      <c r="CV878" s="1852" t="str">
        <f t="shared" si="78"/>
        <v/>
      </c>
      <c r="CW878" s="1852" t="str">
        <f t="shared" si="79"/>
        <v/>
      </c>
      <c r="CX878" s="1852" t="str">
        <f t="shared" si="80"/>
        <v/>
      </c>
      <c r="CY878" s="1852" t="str">
        <f t="shared" si="81"/>
        <v/>
      </c>
      <c r="CZ878" s="1852" t="str">
        <f t="shared" si="82"/>
        <v/>
      </c>
      <c r="DA878" s="1852" t="str">
        <f t="shared" si="83"/>
        <v/>
      </c>
      <c r="DB878" s="1852" t="str">
        <f t="shared" si="84"/>
        <v/>
      </c>
      <c r="DC878" s="1852" t="str">
        <f t="shared" si="85"/>
        <v/>
      </c>
      <c r="DD878" s="1852" t="str">
        <f t="shared" si="86"/>
        <v/>
      </c>
      <c r="DE878" s="1852" t="str">
        <f t="shared" si="87"/>
        <v/>
      </c>
      <c r="DF878" s="1852" t="str">
        <f t="shared" si="88"/>
        <v/>
      </c>
      <c r="DG878" s="1852" t="str">
        <f t="shared" si="89"/>
        <v/>
      </c>
      <c r="DH878" s="1852" t="str">
        <f t="shared" si="90"/>
        <v/>
      </c>
      <c r="DI878" s="1852" t="str">
        <f t="shared" si="91"/>
        <v/>
      </c>
      <c r="DJ878" s="1852" t="str">
        <f t="shared" si="92"/>
        <v/>
      </c>
      <c r="DK878" s="1852" t="str">
        <f t="shared" si="93"/>
        <v/>
      </c>
      <c r="DL878" s="1852" t="str">
        <f t="shared" si="94"/>
        <v/>
      </c>
      <c r="DM878" s="1852" t="str">
        <f t="shared" si="95"/>
        <v/>
      </c>
      <c r="DN878" s="1852" t="str">
        <f t="shared" si="96"/>
        <v/>
      </c>
      <c r="DO878" s="1852" t="str">
        <f t="shared" si="97"/>
        <v/>
      </c>
      <c r="DP878" s="1852" t="str">
        <f t="shared" si="98"/>
        <v/>
      </c>
      <c r="DQ878" s="1852" t="str">
        <f t="shared" si="99"/>
        <v/>
      </c>
      <c r="DR878" s="1852" t="str">
        <f t="shared" si="100"/>
        <v/>
      </c>
      <c r="DS878" s="1852" t="str">
        <f t="shared" si="101"/>
        <v/>
      </c>
      <c r="DT878" s="1852" t="str">
        <f t="shared" si="102"/>
        <v/>
      </c>
      <c r="DU878" s="1852" t="str">
        <f t="shared" si="103"/>
        <v/>
      </c>
      <c r="DV878" s="1852" t="str">
        <f t="shared" si="104"/>
        <v/>
      </c>
      <c r="DW878" s="1852" t="str">
        <f t="shared" si="105"/>
        <v/>
      </c>
      <c r="DX878" s="1852" t="str">
        <f t="shared" si="106"/>
        <v/>
      </c>
      <c r="DY878" s="1852" t="str">
        <f t="shared" si="107"/>
        <v/>
      </c>
      <c r="DZ878" s="1852" t="str">
        <f t="shared" si="108"/>
        <v/>
      </c>
      <c r="EA878" s="1852" t="str">
        <f t="shared" si="109"/>
        <v/>
      </c>
      <c r="EB878" s="1852" t="str">
        <f t="shared" si="110"/>
        <v/>
      </c>
      <c r="EC878" s="1852" t="str">
        <f t="shared" si="111"/>
        <v/>
      </c>
      <c r="ED878" s="1852" t="str">
        <f t="shared" si="112"/>
        <v/>
      </c>
      <c r="EE878" s="1852" t="str">
        <f t="shared" si="113"/>
        <v/>
      </c>
      <c r="EF878" s="1852" t="str">
        <f t="shared" si="114"/>
        <v/>
      </c>
      <c r="EG878" s="1852" t="str">
        <f t="shared" si="115"/>
        <v/>
      </c>
      <c r="EH878" s="1852" t="str">
        <f t="shared" si="116"/>
        <v/>
      </c>
      <c r="EI878" s="1852" t="str">
        <f t="shared" si="117"/>
        <v/>
      </c>
      <c r="EJ878" s="1852" t="str">
        <f t="shared" si="118"/>
        <v/>
      </c>
      <c r="EK878" s="1852" t="str">
        <f t="shared" si="119"/>
        <v/>
      </c>
      <c r="EL878" s="1852" t="str">
        <f t="shared" si="120"/>
        <v/>
      </c>
      <c r="EM878" s="1852" t="str">
        <f t="shared" si="121"/>
        <v/>
      </c>
      <c r="EN878" s="1852" t="str">
        <f t="shared" si="122"/>
        <v/>
      </c>
      <c r="EO878" s="1852" t="str">
        <f t="shared" si="123"/>
        <v/>
      </c>
      <c r="EP878" s="1852" t="str">
        <f t="shared" si="124"/>
        <v/>
      </c>
      <c r="EQ878" s="1852" t="str">
        <f t="shared" si="125"/>
        <v/>
      </c>
      <c r="ER878" s="1852" t="str">
        <f t="shared" si="126"/>
        <v/>
      </c>
      <c r="ES878" s="1852" t="str">
        <f t="shared" si="127"/>
        <v/>
      </c>
      <c r="ET878" s="1852" t="str">
        <f t="shared" si="128"/>
        <v/>
      </c>
      <c r="EU878" s="1852" t="str">
        <f t="shared" si="129"/>
        <v/>
      </c>
      <c r="EV878" s="1852" t="str">
        <f t="shared" si="130"/>
        <v/>
      </c>
      <c r="EW878" s="1852" t="str">
        <f t="shared" si="131"/>
        <v/>
      </c>
      <c r="EX878" s="1852" t="str">
        <f t="shared" si="132"/>
        <v/>
      </c>
      <c r="EY878" s="1852" t="str">
        <f t="shared" si="133"/>
        <v/>
      </c>
      <c r="EZ878" s="1852" t="str">
        <f t="shared" si="134"/>
        <v/>
      </c>
      <c r="FA878" s="1852" t="str">
        <f t="shared" si="135"/>
        <v/>
      </c>
      <c r="FB878" s="1852" t="str">
        <f t="shared" si="136"/>
        <v/>
      </c>
      <c r="FC878" s="1852" t="str">
        <f t="shared" si="137"/>
        <v/>
      </c>
      <c r="FD878" s="1852" t="str">
        <f t="shared" si="138"/>
        <v/>
      </c>
      <c r="FE878" s="1852" t="str">
        <f t="shared" si="139"/>
        <v/>
      </c>
      <c r="FF878" s="1852" t="str">
        <f t="shared" si="140"/>
        <v/>
      </c>
      <c r="FG878" s="1852" t="str">
        <f t="shared" si="141"/>
        <v/>
      </c>
      <c r="FH878" s="1852" t="str">
        <f t="shared" si="142"/>
        <v/>
      </c>
      <c r="FI878" s="1852" t="str">
        <f t="shared" si="143"/>
        <v/>
      </c>
      <c r="FJ878" s="1852" t="str">
        <f t="shared" si="144"/>
        <v/>
      </c>
      <c r="FK878" s="1852" t="str">
        <f t="shared" si="145"/>
        <v/>
      </c>
      <c r="FL878" s="1852" t="str">
        <f t="shared" si="146"/>
        <v/>
      </c>
      <c r="FM878" s="1852" t="str">
        <f t="shared" si="147"/>
        <v/>
      </c>
      <c r="FN878" s="1852" t="str">
        <f t="shared" si="148"/>
        <v/>
      </c>
      <c r="FO878" s="1852" t="str">
        <f t="shared" si="149"/>
        <v/>
      </c>
      <c r="FP878" s="1852" t="str">
        <f t="shared" si="150"/>
        <v/>
      </c>
      <c r="FQ878" s="1852" t="str">
        <f t="shared" si="151"/>
        <v/>
      </c>
      <c r="FR878" s="1852" t="str">
        <f t="shared" si="152"/>
        <v/>
      </c>
      <c r="FS878" s="1852" t="str">
        <f t="shared" si="153"/>
        <v/>
      </c>
      <c r="FT878" s="1852" t="str">
        <f t="shared" si="154"/>
        <v/>
      </c>
      <c r="FU878" s="1852" t="str">
        <f t="shared" si="155"/>
        <v/>
      </c>
      <c r="FV878" s="1852" t="str">
        <f t="shared" si="156"/>
        <v/>
      </c>
      <c r="FW878" s="1852" t="str">
        <f t="shared" si="157"/>
        <v/>
      </c>
      <c r="FX878" s="1852" t="str">
        <f t="shared" si="158"/>
        <v/>
      </c>
      <c r="FY878" s="1852" t="str">
        <f t="shared" si="159"/>
        <v/>
      </c>
      <c r="FZ878" s="1852" t="str">
        <f t="shared" si="160"/>
        <v/>
      </c>
      <c r="GA878" s="1852" t="str">
        <f t="shared" si="161"/>
        <v/>
      </c>
      <c r="GB878" s="1852" t="str">
        <f t="shared" si="162"/>
        <v/>
      </c>
      <c r="GC878" s="1852" t="str">
        <f t="shared" si="163"/>
        <v/>
      </c>
      <c r="GD878" s="1852" t="str">
        <f t="shared" si="164"/>
        <v/>
      </c>
      <c r="GE878" s="1852" t="str">
        <f t="shared" si="165"/>
        <v/>
      </c>
      <c r="GF878" s="1852" t="str">
        <f t="shared" si="166"/>
        <v/>
      </c>
      <c r="GG878" s="1852" t="str">
        <f t="shared" si="167"/>
        <v/>
      </c>
      <c r="GH878" s="1852" t="str">
        <f t="shared" si="168"/>
        <v/>
      </c>
      <c r="GI878" s="1852" t="str">
        <f t="shared" si="169"/>
        <v/>
      </c>
      <c r="GJ878" s="1852" t="str">
        <f t="shared" si="170"/>
        <v/>
      </c>
      <c r="GK878" s="1852" t="str">
        <f t="shared" si="171"/>
        <v/>
      </c>
      <c r="GL878" s="1852" t="str">
        <f t="shared" si="172"/>
        <v/>
      </c>
      <c r="GM878" s="1852" t="str">
        <f t="shared" si="173"/>
        <v/>
      </c>
      <c r="GN878" s="1852" t="str">
        <f t="shared" si="174"/>
        <v/>
      </c>
      <c r="GO878" s="1852" t="str">
        <f t="shared" si="175"/>
        <v/>
      </c>
      <c r="GP878" s="1852" t="str">
        <f t="shared" si="176"/>
        <v/>
      </c>
      <c r="GQ878" s="1852" t="str">
        <f t="shared" si="177"/>
        <v/>
      </c>
      <c r="GR878" s="1852" t="str">
        <f t="shared" si="178"/>
        <v/>
      </c>
      <c r="GS878" s="1852" t="str">
        <f t="shared" si="179"/>
        <v/>
      </c>
      <c r="GT878" s="1852" t="str">
        <f t="shared" si="180"/>
        <v/>
      </c>
      <c r="GU878" s="1852" t="str">
        <f t="shared" si="181"/>
        <v/>
      </c>
      <c r="GV878" s="1852" t="str">
        <f t="shared" si="182"/>
        <v/>
      </c>
      <c r="GW878" s="1852" t="str">
        <f t="shared" si="183"/>
        <v/>
      </c>
      <c r="GX878" s="1852" t="str">
        <f t="shared" si="184"/>
        <v/>
      </c>
      <c r="GY878" s="1852" t="str">
        <f t="shared" si="185"/>
        <v/>
      </c>
      <c r="GZ878" s="1852" t="str">
        <f t="shared" si="186"/>
        <v/>
      </c>
      <c r="HA878" s="1852" t="str">
        <f t="shared" si="187"/>
        <v/>
      </c>
      <c r="HB878" s="1852" t="str">
        <f t="shared" si="188"/>
        <v/>
      </c>
      <c r="HC878" s="1852" t="str">
        <f t="shared" si="189"/>
        <v/>
      </c>
      <c r="HD878" s="1852" t="str">
        <f t="shared" si="190"/>
        <v/>
      </c>
      <c r="HE878" s="1852" t="str">
        <f t="shared" si="191"/>
        <v/>
      </c>
      <c r="HF878" s="1852" t="str">
        <f t="shared" si="192"/>
        <v/>
      </c>
      <c r="HG878" s="1852" t="str">
        <f t="shared" si="193"/>
        <v/>
      </c>
      <c r="HH878" s="1852" t="str">
        <f t="shared" si="194"/>
        <v/>
      </c>
      <c r="HI878" s="1852" t="str">
        <f t="shared" si="195"/>
        <v/>
      </c>
      <c r="HJ878" s="1852" t="str">
        <f t="shared" si="196"/>
        <v/>
      </c>
      <c r="HK878" s="1852" t="str">
        <f t="shared" si="197"/>
        <v/>
      </c>
      <c r="HL878" s="1852" t="str">
        <f t="shared" si="198"/>
        <v/>
      </c>
      <c r="HM878" s="1852" t="str">
        <f t="shared" si="199"/>
        <v/>
      </c>
      <c r="HN878" s="1852" t="str">
        <f t="shared" si="200"/>
        <v/>
      </c>
      <c r="HO878" s="1852" t="str">
        <f t="shared" si="201"/>
        <v/>
      </c>
      <c r="HP878" s="1852" t="str">
        <f t="shared" si="202"/>
        <v/>
      </c>
      <c r="HQ878" s="1852" t="str">
        <f t="shared" si="203"/>
        <v/>
      </c>
      <c r="HR878" s="1852" t="str">
        <f t="shared" si="204"/>
        <v/>
      </c>
      <c r="HS878" s="1852" t="str">
        <f t="shared" si="205"/>
        <v/>
      </c>
      <c r="HT878" s="1852" t="str">
        <f t="shared" si="206"/>
        <v/>
      </c>
      <c r="HU878" s="1852" t="str">
        <f t="shared" si="207"/>
        <v/>
      </c>
      <c r="HV878" s="1852" t="str">
        <f t="shared" si="208"/>
        <v/>
      </c>
      <c r="HW878" s="1852" t="str">
        <f t="shared" si="209"/>
        <v/>
      </c>
      <c r="HX878" s="1852" t="str">
        <f t="shared" si="210"/>
        <v/>
      </c>
      <c r="HY878" s="1852" t="str">
        <f t="shared" si="211"/>
        <v/>
      </c>
      <c r="HZ878" s="2140" t="str">
        <f t="shared" si="212"/>
        <v/>
      </c>
      <c r="IA878" s="2140" t="str">
        <f t="shared" si="213"/>
        <v/>
      </c>
      <c r="IB878" s="2140" t="str">
        <f t="shared" si="214"/>
        <v/>
      </c>
      <c r="IC878" s="2140" t="str">
        <f t="shared" si="215"/>
        <v/>
      </c>
      <c r="ID878" s="2140" t="str">
        <f t="shared" si="216"/>
        <v/>
      </c>
      <c r="IE878" s="2140" t="str">
        <f t="shared" si="217"/>
        <v/>
      </c>
      <c r="IF878" s="2140" t="str">
        <f t="shared" si="218"/>
        <v/>
      </c>
      <c r="IG878" s="2140" t="str">
        <f t="shared" si="219"/>
        <v/>
      </c>
      <c r="IH878" s="2140" t="str">
        <f t="shared" si="220"/>
        <v/>
      </c>
      <c r="II878" s="2140" t="str">
        <f t="shared" si="221"/>
        <v/>
      </c>
      <c r="IJ878" s="2140" t="str">
        <f t="shared" si="222"/>
        <v/>
      </c>
      <c r="IK878" s="2140" t="str">
        <f t="shared" si="223"/>
        <v/>
      </c>
      <c r="IL878" s="2140" t="str">
        <f t="shared" si="224"/>
        <v/>
      </c>
      <c r="IM878" s="2140" t="str">
        <f t="shared" si="225"/>
        <v/>
      </c>
      <c r="IN878" s="2140" t="str">
        <f t="shared" si="226"/>
        <v/>
      </c>
      <c r="IO878" s="2140" t="str">
        <f t="shared" si="227"/>
        <v/>
      </c>
      <c r="IP878" s="2140" t="str">
        <f t="shared" si="228"/>
        <v/>
      </c>
      <c r="IQ878" s="2140" t="str">
        <f t="shared" si="229"/>
        <v/>
      </c>
      <c r="IR878" s="2140" t="str">
        <f t="shared" si="230"/>
        <v/>
      </c>
      <c r="IS878" s="2140" t="str">
        <f t="shared" si="231"/>
        <v/>
      </c>
      <c r="IT878" s="2140" t="str">
        <f t="shared" si="232"/>
        <v/>
      </c>
      <c r="IU878" s="2140" t="str">
        <f t="shared" si="233"/>
        <v/>
      </c>
      <c r="IV878" s="2140" t="str">
        <f t="shared" si="234"/>
        <v/>
      </c>
      <c r="IW878" s="2140" t="str">
        <f t="shared" si="235"/>
        <v/>
      </c>
      <c r="IX878" s="2140" t="str">
        <f t="shared" si="236"/>
        <v/>
      </c>
      <c r="IY878" s="2140" t="str">
        <f t="shared" si="237"/>
        <v/>
      </c>
      <c r="IZ878" s="2140" t="str">
        <f t="shared" si="238"/>
        <v/>
      </c>
      <c r="JA878" s="2140" t="str">
        <f t="shared" si="239"/>
        <v/>
      </c>
      <c r="JB878" s="2140" t="str">
        <f t="shared" si="240"/>
        <v/>
      </c>
      <c r="JC878" s="2140" t="str">
        <f t="shared" si="241"/>
        <v/>
      </c>
      <c r="JD878" s="2140" t="str">
        <f t="shared" si="242"/>
        <v/>
      </c>
      <c r="JE878" s="2140" t="str">
        <f t="shared" si="243"/>
        <v/>
      </c>
      <c r="JF878" s="2140" t="str">
        <f t="shared" si="244"/>
        <v/>
      </c>
      <c r="JG878" s="2140" t="str">
        <f t="shared" si="245"/>
        <v/>
      </c>
      <c r="JH878" s="2140" t="str">
        <f t="shared" si="246"/>
        <v/>
      </c>
      <c r="JI878" s="2140" t="str">
        <f t="shared" si="247"/>
        <v/>
      </c>
      <c r="JJ878" s="2140" t="str">
        <f t="shared" si="248"/>
        <v/>
      </c>
      <c r="JK878" s="2140" t="str">
        <f t="shared" si="249"/>
        <v/>
      </c>
      <c r="JL878" s="2140" t="str">
        <f t="shared" si="250"/>
        <v/>
      </c>
      <c r="JM878" s="2140" t="str">
        <f t="shared" si="251"/>
        <v/>
      </c>
      <c r="JN878" s="2140" t="str">
        <f t="shared" si="252"/>
        <v/>
      </c>
      <c r="JO878" s="2140" t="str">
        <f t="shared" si="253"/>
        <v/>
      </c>
      <c r="JP878" s="2140" t="str">
        <f t="shared" si="254"/>
        <v/>
      </c>
      <c r="JQ878" s="2140" t="str">
        <f t="shared" si="255"/>
        <v/>
      </c>
      <c r="JR878" s="2140" t="str">
        <f t="shared" si="256"/>
        <v/>
      </c>
      <c r="JS878" s="2140" t="str">
        <f t="shared" si="257"/>
        <v/>
      </c>
      <c r="JT878" s="2140" t="str">
        <f t="shared" si="258"/>
        <v/>
      </c>
      <c r="JU878" s="2140" t="str">
        <f t="shared" si="259"/>
        <v/>
      </c>
      <c r="JV878" s="2140" t="str">
        <f t="shared" si="260"/>
        <v/>
      </c>
      <c r="JW878" s="2140" t="str">
        <f t="shared" si="261"/>
        <v/>
      </c>
      <c r="JX878" s="2140" t="str">
        <f t="shared" si="262"/>
        <v/>
      </c>
      <c r="JY878" s="2140" t="str">
        <f t="shared" si="263"/>
        <v/>
      </c>
      <c r="JZ878" s="2140" t="str">
        <f t="shared" si="264"/>
        <v/>
      </c>
      <c r="KA878" s="2140" t="str">
        <f t="shared" si="265"/>
        <v/>
      </c>
      <c r="KB878" s="2140" t="str">
        <f t="shared" si="266"/>
        <v/>
      </c>
      <c r="KC878" s="2140" t="str">
        <f t="shared" si="267"/>
        <v/>
      </c>
      <c r="KD878" s="2140" t="str">
        <f t="shared" si="268"/>
        <v/>
      </c>
      <c r="KE878" s="2140" t="str">
        <f t="shared" si="269"/>
        <v/>
      </c>
      <c r="KF878" s="2140" t="str">
        <f t="shared" si="270"/>
        <v/>
      </c>
      <c r="KG878" s="2140" t="str">
        <f t="shared" si="271"/>
        <v/>
      </c>
      <c r="KH878" s="2140" t="str">
        <f t="shared" si="272"/>
        <v/>
      </c>
      <c r="KI878" s="2140" t="str">
        <f t="shared" si="273"/>
        <v/>
      </c>
      <c r="KJ878" s="2140" t="str">
        <f t="shared" si="274"/>
        <v/>
      </c>
      <c r="KK878" s="2140" t="str">
        <f t="shared" si="275"/>
        <v/>
      </c>
      <c r="KL878" s="2140" t="str">
        <f t="shared" si="276"/>
        <v/>
      </c>
      <c r="KM878" s="2140" t="str">
        <f t="shared" si="277"/>
        <v/>
      </c>
      <c r="KN878" s="2140" t="str">
        <f t="shared" si="278"/>
        <v/>
      </c>
      <c r="KO878" s="2140" t="str">
        <f t="shared" si="279"/>
        <v/>
      </c>
      <c r="KP878" s="2140" t="str">
        <f t="shared" si="280"/>
        <v/>
      </c>
      <c r="KQ878" s="2140" t="str">
        <f t="shared" si="281"/>
        <v/>
      </c>
      <c r="KR878" s="2140" t="str">
        <f t="shared" si="282"/>
        <v/>
      </c>
      <c r="KS878" s="2140" t="str">
        <f t="shared" si="283"/>
        <v/>
      </c>
      <c r="KT878" s="2140" t="str">
        <f t="shared" si="284"/>
        <v/>
      </c>
      <c r="KU878" s="2140" t="str">
        <f t="shared" si="285"/>
        <v/>
      </c>
      <c r="KV878" s="2140" t="str">
        <f t="shared" si="286"/>
        <v/>
      </c>
      <c r="KW878" s="2140" t="str">
        <f t="shared" si="287"/>
        <v/>
      </c>
      <c r="KX878" s="2140" t="str">
        <f t="shared" si="288"/>
        <v/>
      </c>
      <c r="KY878" s="2140" t="str">
        <f t="shared" si="289"/>
        <v/>
      </c>
      <c r="KZ878" s="2140" t="str">
        <f t="shared" si="290"/>
        <v/>
      </c>
      <c r="LA878" s="2140" t="str">
        <f t="shared" si="291"/>
        <v/>
      </c>
      <c r="LB878" s="2140" t="str">
        <f t="shared" si="292"/>
        <v/>
      </c>
      <c r="LC878" s="2140" t="str">
        <f t="shared" si="293"/>
        <v/>
      </c>
      <c r="LD878" s="2140" t="str">
        <f t="shared" si="294"/>
        <v/>
      </c>
      <c r="LE878" s="2140" t="str">
        <f t="shared" si="295"/>
        <v/>
      </c>
      <c r="LF878" s="2140" t="str">
        <f t="shared" si="296"/>
        <v/>
      </c>
      <c r="LG878" s="2051" t="str">
        <f t="shared" si="297"/>
        <v/>
      </c>
      <c r="LH878" s="2051" t="str">
        <f t="shared" si="298"/>
        <v/>
      </c>
      <c r="LI878" s="2051" t="str">
        <f t="shared" si="299"/>
        <v/>
      </c>
      <c r="LJ878" s="2051" t="str">
        <f t="shared" si="300"/>
        <v/>
      </c>
      <c r="LK878" s="2051" t="str">
        <f t="shared" si="301"/>
        <v/>
      </c>
      <c r="LL878" s="1852" t="str">
        <f t="shared" si="302"/>
        <v/>
      </c>
      <c r="LM878" s="1852" t="str">
        <f t="shared" si="303"/>
        <v/>
      </c>
      <c r="LN878" s="1852" t="str">
        <f t="shared" si="304"/>
        <v/>
      </c>
      <c r="LO878" s="1852" t="str">
        <f t="shared" si="305"/>
        <v/>
      </c>
      <c r="LP878" s="1852" t="str">
        <f t="shared" si="306"/>
        <v/>
      </c>
      <c r="LQ878" s="1852" t="str">
        <f t="shared" si="307"/>
        <v/>
      </c>
      <c r="LR878" s="1852" t="str">
        <f t="shared" si="308"/>
        <v/>
      </c>
      <c r="LS878" s="1852" t="str">
        <f t="shared" si="309"/>
        <v/>
      </c>
      <c r="LT878" s="1852" t="str">
        <f t="shared" si="310"/>
        <v/>
      </c>
      <c r="LU878" s="1852" t="str">
        <f t="shared" si="311"/>
        <v/>
      </c>
      <c r="LV878" s="1852" t="str">
        <f t="shared" si="312"/>
        <v/>
      </c>
      <c r="LW878" s="1852" t="str">
        <f t="shared" si="313"/>
        <v/>
      </c>
      <c r="LX878" s="1852" t="str">
        <f t="shared" si="314"/>
        <v/>
      </c>
      <c r="LY878" s="1852" t="str">
        <f t="shared" si="315"/>
        <v/>
      </c>
      <c r="LZ878" s="1852" t="str">
        <f t="shared" si="316"/>
        <v/>
      </c>
      <c r="MA878" s="1852" t="str">
        <f t="shared" si="317"/>
        <v/>
      </c>
      <c r="MB878" s="1852" t="str">
        <f t="shared" si="318"/>
        <v/>
      </c>
      <c r="MC878" s="1852" t="str">
        <f t="shared" si="319"/>
        <v/>
      </c>
      <c r="MD878" s="1852" t="str">
        <f t="shared" si="320"/>
        <v/>
      </c>
      <c r="ME878" s="1852" t="str">
        <f t="shared" si="321"/>
        <v/>
      </c>
      <c r="MF878" s="2051">
        <f t="shared" si="328"/>
        <v>0</v>
      </c>
      <c r="MG878" s="2051">
        <f t="shared" si="329"/>
        <v>0</v>
      </c>
      <c r="MH878" s="2051">
        <f t="shared" si="330"/>
        <v>0</v>
      </c>
      <c r="MI878" s="2051">
        <f t="shared" si="331"/>
        <v>0</v>
      </c>
      <c r="MJ878" s="2051">
        <f t="shared" si="332"/>
        <v>0</v>
      </c>
      <c r="MK878" s="2051">
        <f t="shared" si="333"/>
        <v>0</v>
      </c>
      <c r="ML878" s="2051">
        <f t="shared" si="334"/>
        <v>0</v>
      </c>
      <c r="MM878" s="2051">
        <f t="shared" si="335"/>
        <v>0</v>
      </c>
      <c r="MN878" s="2051">
        <f t="shared" si="336"/>
        <v>0</v>
      </c>
      <c r="MO878" s="2051">
        <f t="shared" si="337"/>
        <v>0</v>
      </c>
      <c r="MP878" s="2051">
        <f t="shared" si="322"/>
        <v>0</v>
      </c>
      <c r="MQ878" s="2051">
        <f t="shared" si="323"/>
        <v>0</v>
      </c>
      <c r="MR878" s="2051">
        <f t="shared" si="324"/>
        <v>0</v>
      </c>
      <c r="MS878" s="2051">
        <f t="shared" si="325"/>
        <v>0</v>
      </c>
      <c r="MT878" s="2051">
        <f t="shared" si="326"/>
        <v>0</v>
      </c>
      <c r="NP878" s="1924" t="s">
        <v>6747</v>
      </c>
    </row>
    <row r="879" spans="1:380" s="1852" customFormat="1" ht="13.9" customHeight="1">
      <c r="A879" s="2108" t="str">
        <f t="shared" si="327"/>
        <v/>
      </c>
      <c r="B879" s="2130">
        <f>'Part VI-Revenues &amp; Expenses'!B39</f>
        <v>0</v>
      </c>
      <c r="C879" s="2131">
        <f>'Part VI-Revenues &amp; Expenses'!C39</f>
        <v>0</v>
      </c>
      <c r="D879" s="2132">
        <f>'Part VI-Revenues &amp; Expenses'!D39</f>
        <v>0</v>
      </c>
      <c r="E879" s="2133">
        <f>'Part VI-Revenues &amp; Expenses'!E39</f>
        <v>0</v>
      </c>
      <c r="F879" s="2133">
        <f>'Part VI-Revenues &amp; Expenses'!F39</f>
        <v>0</v>
      </c>
      <c r="G879" s="2133">
        <f>'Part VI-Revenues &amp; Expenses'!G39</f>
        <v>0</v>
      </c>
      <c r="H879" s="2133">
        <f>'Part VI-Revenues &amp; Expenses'!H39</f>
        <v>0</v>
      </c>
      <c r="I879" s="2133">
        <f>'Part VI-Revenues &amp; Expenses'!I39</f>
        <v>0</v>
      </c>
      <c r="J879" s="2133">
        <f>'Part VI-Revenues &amp; Expenses'!J39</f>
        <v>0</v>
      </c>
      <c r="K879" s="2134">
        <f>'Part VI-Revenues &amp; Expenses'!K39</f>
        <v>0</v>
      </c>
      <c r="L879" s="2135">
        <f t="shared" si="0"/>
        <v>0</v>
      </c>
      <c r="M879" s="2135">
        <f t="shared" si="1"/>
        <v>0</v>
      </c>
      <c r="N879" s="1916">
        <f>'Part VI-Revenues &amp; Expenses'!N39</f>
        <v>0</v>
      </c>
      <c r="O879" s="2136">
        <f>'Part VI-Revenues &amp; Expenses'!O39</f>
        <v>0</v>
      </c>
      <c r="P879" s="1916">
        <f>'Part VI-Revenues &amp; Expenses'!P39</f>
        <v>0</v>
      </c>
      <c r="Q879" s="2137">
        <f>'Part VI-Revenues &amp; Expenses'!Q39</f>
        <v>0</v>
      </c>
      <c r="R879" s="2138"/>
      <c r="S879" s="2139"/>
      <c r="T879" s="2043"/>
      <c r="U879" s="2043"/>
      <c r="V879" s="2043"/>
      <c r="W879" s="2043"/>
      <c r="X879" s="1852" t="str">
        <f t="shared" si="2"/>
        <v/>
      </c>
      <c r="Y879" s="1852" t="str">
        <f t="shared" si="3"/>
        <v/>
      </c>
      <c r="Z879" s="1852" t="str">
        <f t="shared" si="4"/>
        <v/>
      </c>
      <c r="AA879" s="1852" t="str">
        <f t="shared" si="5"/>
        <v/>
      </c>
      <c r="AB879" s="1852" t="str">
        <f t="shared" si="6"/>
        <v/>
      </c>
      <c r="AC879" s="1852" t="str">
        <f t="shared" si="7"/>
        <v/>
      </c>
      <c r="AD879" s="1852" t="str">
        <f t="shared" si="8"/>
        <v/>
      </c>
      <c r="AE879" s="1852" t="str">
        <f t="shared" si="9"/>
        <v/>
      </c>
      <c r="AF879" s="1852" t="str">
        <f t="shared" si="10"/>
        <v/>
      </c>
      <c r="AG879" s="1852" t="str">
        <f t="shared" si="11"/>
        <v/>
      </c>
      <c r="AH879" s="1852" t="str">
        <f t="shared" si="12"/>
        <v/>
      </c>
      <c r="AI879" s="1852" t="str">
        <f t="shared" si="13"/>
        <v/>
      </c>
      <c r="AJ879" s="1852" t="str">
        <f t="shared" si="14"/>
        <v/>
      </c>
      <c r="AK879" s="1852" t="str">
        <f t="shared" si="15"/>
        <v/>
      </c>
      <c r="AL879" s="1852" t="str">
        <f t="shared" si="16"/>
        <v/>
      </c>
      <c r="AM879" s="1852" t="str">
        <f t="shared" si="17"/>
        <v/>
      </c>
      <c r="AN879" s="1852" t="str">
        <f t="shared" si="18"/>
        <v/>
      </c>
      <c r="AO879" s="1852" t="str">
        <f t="shared" si="19"/>
        <v/>
      </c>
      <c r="AP879" s="1852" t="str">
        <f t="shared" si="20"/>
        <v/>
      </c>
      <c r="AQ879" s="1852" t="str">
        <f t="shared" si="21"/>
        <v/>
      </c>
      <c r="AR879" s="1852" t="str">
        <f t="shared" si="22"/>
        <v/>
      </c>
      <c r="AS879" s="1852" t="str">
        <f t="shared" si="23"/>
        <v/>
      </c>
      <c r="AT879" s="1852" t="str">
        <f t="shared" si="24"/>
        <v/>
      </c>
      <c r="AU879" s="1852" t="str">
        <f t="shared" si="25"/>
        <v/>
      </c>
      <c r="AV879" s="1852" t="str">
        <f t="shared" si="26"/>
        <v/>
      </c>
      <c r="AW879" s="1852" t="str">
        <f t="shared" si="27"/>
        <v/>
      </c>
      <c r="AX879" s="1852" t="str">
        <f t="shared" si="28"/>
        <v/>
      </c>
      <c r="AY879" s="1852" t="str">
        <f t="shared" si="29"/>
        <v/>
      </c>
      <c r="AZ879" s="1852" t="str">
        <f t="shared" si="30"/>
        <v/>
      </c>
      <c r="BA879" s="1852" t="str">
        <f t="shared" si="31"/>
        <v/>
      </c>
      <c r="BB879" s="1852" t="str">
        <f t="shared" si="32"/>
        <v/>
      </c>
      <c r="BC879" s="1852" t="str">
        <f t="shared" si="33"/>
        <v/>
      </c>
      <c r="BD879" s="1852" t="str">
        <f t="shared" si="34"/>
        <v/>
      </c>
      <c r="BE879" s="1852" t="str">
        <f t="shared" si="35"/>
        <v/>
      </c>
      <c r="BF879" s="1852" t="str">
        <f t="shared" si="36"/>
        <v/>
      </c>
      <c r="BG879" s="1852" t="str">
        <f t="shared" si="37"/>
        <v/>
      </c>
      <c r="BH879" s="1852" t="str">
        <f t="shared" si="38"/>
        <v/>
      </c>
      <c r="BI879" s="1852" t="str">
        <f t="shared" si="39"/>
        <v/>
      </c>
      <c r="BJ879" s="1852" t="str">
        <f t="shared" si="40"/>
        <v/>
      </c>
      <c r="BK879" s="1852" t="str">
        <f t="shared" si="41"/>
        <v/>
      </c>
      <c r="BL879" s="1852" t="str">
        <f t="shared" si="42"/>
        <v/>
      </c>
      <c r="BM879" s="1852" t="str">
        <f t="shared" si="43"/>
        <v/>
      </c>
      <c r="BN879" s="1852" t="str">
        <f t="shared" si="44"/>
        <v/>
      </c>
      <c r="BO879" s="1852" t="str">
        <f t="shared" si="45"/>
        <v/>
      </c>
      <c r="BP879" s="1852" t="str">
        <f t="shared" si="46"/>
        <v/>
      </c>
      <c r="BQ879" s="1852" t="str">
        <f t="shared" si="47"/>
        <v/>
      </c>
      <c r="BR879" s="1852" t="str">
        <f t="shared" si="48"/>
        <v/>
      </c>
      <c r="BS879" s="1852" t="str">
        <f t="shared" si="49"/>
        <v/>
      </c>
      <c r="BT879" s="1852" t="str">
        <f t="shared" si="50"/>
        <v/>
      </c>
      <c r="BU879" s="1852" t="str">
        <f t="shared" si="51"/>
        <v/>
      </c>
      <c r="BV879" s="1852" t="str">
        <f t="shared" si="52"/>
        <v/>
      </c>
      <c r="BW879" s="1852" t="str">
        <f t="shared" si="53"/>
        <v/>
      </c>
      <c r="BX879" s="1852" t="str">
        <f t="shared" si="54"/>
        <v/>
      </c>
      <c r="BY879" s="1852" t="str">
        <f t="shared" si="55"/>
        <v/>
      </c>
      <c r="BZ879" s="1852" t="str">
        <f t="shared" si="56"/>
        <v/>
      </c>
      <c r="CA879" s="1852" t="str">
        <f t="shared" si="57"/>
        <v/>
      </c>
      <c r="CB879" s="1852" t="str">
        <f t="shared" si="58"/>
        <v/>
      </c>
      <c r="CC879" s="1852" t="str">
        <f t="shared" si="59"/>
        <v/>
      </c>
      <c r="CD879" s="1852" t="str">
        <f t="shared" si="60"/>
        <v/>
      </c>
      <c r="CE879" s="1852" t="str">
        <f t="shared" si="61"/>
        <v/>
      </c>
      <c r="CF879" s="1852" t="str">
        <f t="shared" si="62"/>
        <v/>
      </c>
      <c r="CG879" s="1852" t="str">
        <f t="shared" si="63"/>
        <v/>
      </c>
      <c r="CH879" s="1852" t="str">
        <f t="shared" si="64"/>
        <v/>
      </c>
      <c r="CI879" s="1852" t="str">
        <f t="shared" si="65"/>
        <v/>
      </c>
      <c r="CJ879" s="1852" t="str">
        <f t="shared" si="66"/>
        <v/>
      </c>
      <c r="CK879" s="1852" t="str">
        <f t="shared" si="67"/>
        <v/>
      </c>
      <c r="CL879" s="1852" t="str">
        <f t="shared" si="68"/>
        <v/>
      </c>
      <c r="CM879" s="1852" t="str">
        <f t="shared" si="69"/>
        <v/>
      </c>
      <c r="CN879" s="1852" t="str">
        <f t="shared" si="70"/>
        <v/>
      </c>
      <c r="CO879" s="1852" t="str">
        <f t="shared" si="71"/>
        <v/>
      </c>
      <c r="CP879" s="1852" t="str">
        <f t="shared" si="72"/>
        <v/>
      </c>
      <c r="CQ879" s="1852" t="str">
        <f t="shared" si="73"/>
        <v/>
      </c>
      <c r="CR879" s="1852" t="str">
        <f t="shared" si="74"/>
        <v/>
      </c>
      <c r="CS879" s="1852" t="str">
        <f t="shared" si="75"/>
        <v/>
      </c>
      <c r="CT879" s="1852" t="str">
        <f t="shared" si="76"/>
        <v/>
      </c>
      <c r="CU879" s="1852" t="str">
        <f t="shared" si="77"/>
        <v/>
      </c>
      <c r="CV879" s="1852" t="str">
        <f t="shared" si="78"/>
        <v/>
      </c>
      <c r="CW879" s="1852" t="str">
        <f t="shared" si="79"/>
        <v/>
      </c>
      <c r="CX879" s="1852" t="str">
        <f t="shared" si="80"/>
        <v/>
      </c>
      <c r="CY879" s="1852" t="str">
        <f t="shared" si="81"/>
        <v/>
      </c>
      <c r="CZ879" s="1852" t="str">
        <f t="shared" si="82"/>
        <v/>
      </c>
      <c r="DA879" s="1852" t="str">
        <f t="shared" si="83"/>
        <v/>
      </c>
      <c r="DB879" s="1852" t="str">
        <f t="shared" si="84"/>
        <v/>
      </c>
      <c r="DC879" s="1852" t="str">
        <f t="shared" si="85"/>
        <v/>
      </c>
      <c r="DD879" s="1852" t="str">
        <f t="shared" si="86"/>
        <v/>
      </c>
      <c r="DE879" s="1852" t="str">
        <f t="shared" si="87"/>
        <v/>
      </c>
      <c r="DF879" s="1852" t="str">
        <f t="shared" si="88"/>
        <v/>
      </c>
      <c r="DG879" s="1852" t="str">
        <f t="shared" si="89"/>
        <v/>
      </c>
      <c r="DH879" s="1852" t="str">
        <f t="shared" si="90"/>
        <v/>
      </c>
      <c r="DI879" s="1852" t="str">
        <f t="shared" si="91"/>
        <v/>
      </c>
      <c r="DJ879" s="1852" t="str">
        <f t="shared" si="92"/>
        <v/>
      </c>
      <c r="DK879" s="1852" t="str">
        <f t="shared" si="93"/>
        <v/>
      </c>
      <c r="DL879" s="1852" t="str">
        <f t="shared" si="94"/>
        <v/>
      </c>
      <c r="DM879" s="1852" t="str">
        <f t="shared" si="95"/>
        <v/>
      </c>
      <c r="DN879" s="1852" t="str">
        <f t="shared" si="96"/>
        <v/>
      </c>
      <c r="DO879" s="1852" t="str">
        <f t="shared" si="97"/>
        <v/>
      </c>
      <c r="DP879" s="1852" t="str">
        <f t="shared" si="98"/>
        <v/>
      </c>
      <c r="DQ879" s="1852" t="str">
        <f t="shared" si="99"/>
        <v/>
      </c>
      <c r="DR879" s="1852" t="str">
        <f t="shared" si="100"/>
        <v/>
      </c>
      <c r="DS879" s="1852" t="str">
        <f t="shared" si="101"/>
        <v/>
      </c>
      <c r="DT879" s="1852" t="str">
        <f t="shared" si="102"/>
        <v/>
      </c>
      <c r="DU879" s="1852" t="str">
        <f t="shared" si="103"/>
        <v/>
      </c>
      <c r="DV879" s="1852" t="str">
        <f t="shared" si="104"/>
        <v/>
      </c>
      <c r="DW879" s="1852" t="str">
        <f t="shared" si="105"/>
        <v/>
      </c>
      <c r="DX879" s="1852" t="str">
        <f t="shared" si="106"/>
        <v/>
      </c>
      <c r="DY879" s="1852" t="str">
        <f t="shared" si="107"/>
        <v/>
      </c>
      <c r="DZ879" s="1852" t="str">
        <f t="shared" si="108"/>
        <v/>
      </c>
      <c r="EA879" s="1852" t="str">
        <f t="shared" si="109"/>
        <v/>
      </c>
      <c r="EB879" s="1852" t="str">
        <f t="shared" si="110"/>
        <v/>
      </c>
      <c r="EC879" s="1852" t="str">
        <f t="shared" si="111"/>
        <v/>
      </c>
      <c r="ED879" s="1852" t="str">
        <f t="shared" si="112"/>
        <v/>
      </c>
      <c r="EE879" s="1852" t="str">
        <f t="shared" si="113"/>
        <v/>
      </c>
      <c r="EF879" s="1852" t="str">
        <f t="shared" si="114"/>
        <v/>
      </c>
      <c r="EG879" s="1852" t="str">
        <f t="shared" si="115"/>
        <v/>
      </c>
      <c r="EH879" s="1852" t="str">
        <f t="shared" si="116"/>
        <v/>
      </c>
      <c r="EI879" s="1852" t="str">
        <f t="shared" si="117"/>
        <v/>
      </c>
      <c r="EJ879" s="1852" t="str">
        <f t="shared" si="118"/>
        <v/>
      </c>
      <c r="EK879" s="1852" t="str">
        <f t="shared" si="119"/>
        <v/>
      </c>
      <c r="EL879" s="1852" t="str">
        <f t="shared" si="120"/>
        <v/>
      </c>
      <c r="EM879" s="1852" t="str">
        <f t="shared" si="121"/>
        <v/>
      </c>
      <c r="EN879" s="1852" t="str">
        <f t="shared" si="122"/>
        <v/>
      </c>
      <c r="EO879" s="1852" t="str">
        <f t="shared" si="123"/>
        <v/>
      </c>
      <c r="EP879" s="1852" t="str">
        <f t="shared" si="124"/>
        <v/>
      </c>
      <c r="EQ879" s="1852" t="str">
        <f t="shared" si="125"/>
        <v/>
      </c>
      <c r="ER879" s="1852" t="str">
        <f t="shared" si="126"/>
        <v/>
      </c>
      <c r="ES879" s="1852" t="str">
        <f t="shared" si="127"/>
        <v/>
      </c>
      <c r="ET879" s="1852" t="str">
        <f t="shared" si="128"/>
        <v/>
      </c>
      <c r="EU879" s="1852" t="str">
        <f t="shared" si="129"/>
        <v/>
      </c>
      <c r="EV879" s="1852" t="str">
        <f t="shared" si="130"/>
        <v/>
      </c>
      <c r="EW879" s="1852" t="str">
        <f t="shared" si="131"/>
        <v/>
      </c>
      <c r="EX879" s="1852" t="str">
        <f t="shared" si="132"/>
        <v/>
      </c>
      <c r="EY879" s="1852" t="str">
        <f t="shared" si="133"/>
        <v/>
      </c>
      <c r="EZ879" s="1852" t="str">
        <f t="shared" si="134"/>
        <v/>
      </c>
      <c r="FA879" s="1852" t="str">
        <f t="shared" si="135"/>
        <v/>
      </c>
      <c r="FB879" s="1852" t="str">
        <f t="shared" si="136"/>
        <v/>
      </c>
      <c r="FC879" s="1852" t="str">
        <f t="shared" si="137"/>
        <v/>
      </c>
      <c r="FD879" s="1852" t="str">
        <f t="shared" si="138"/>
        <v/>
      </c>
      <c r="FE879" s="1852" t="str">
        <f t="shared" si="139"/>
        <v/>
      </c>
      <c r="FF879" s="1852" t="str">
        <f t="shared" si="140"/>
        <v/>
      </c>
      <c r="FG879" s="1852" t="str">
        <f t="shared" si="141"/>
        <v/>
      </c>
      <c r="FH879" s="1852" t="str">
        <f t="shared" si="142"/>
        <v/>
      </c>
      <c r="FI879" s="1852" t="str">
        <f t="shared" si="143"/>
        <v/>
      </c>
      <c r="FJ879" s="1852" t="str">
        <f t="shared" si="144"/>
        <v/>
      </c>
      <c r="FK879" s="1852" t="str">
        <f t="shared" si="145"/>
        <v/>
      </c>
      <c r="FL879" s="1852" t="str">
        <f t="shared" si="146"/>
        <v/>
      </c>
      <c r="FM879" s="1852" t="str">
        <f t="shared" si="147"/>
        <v/>
      </c>
      <c r="FN879" s="1852" t="str">
        <f t="shared" si="148"/>
        <v/>
      </c>
      <c r="FO879" s="1852" t="str">
        <f t="shared" si="149"/>
        <v/>
      </c>
      <c r="FP879" s="1852" t="str">
        <f t="shared" si="150"/>
        <v/>
      </c>
      <c r="FQ879" s="1852" t="str">
        <f t="shared" si="151"/>
        <v/>
      </c>
      <c r="FR879" s="1852" t="str">
        <f t="shared" si="152"/>
        <v/>
      </c>
      <c r="FS879" s="1852" t="str">
        <f t="shared" si="153"/>
        <v/>
      </c>
      <c r="FT879" s="1852" t="str">
        <f t="shared" si="154"/>
        <v/>
      </c>
      <c r="FU879" s="1852" t="str">
        <f t="shared" si="155"/>
        <v/>
      </c>
      <c r="FV879" s="1852" t="str">
        <f t="shared" si="156"/>
        <v/>
      </c>
      <c r="FW879" s="1852" t="str">
        <f t="shared" si="157"/>
        <v/>
      </c>
      <c r="FX879" s="1852" t="str">
        <f t="shared" si="158"/>
        <v/>
      </c>
      <c r="FY879" s="1852" t="str">
        <f t="shared" si="159"/>
        <v/>
      </c>
      <c r="FZ879" s="1852" t="str">
        <f t="shared" si="160"/>
        <v/>
      </c>
      <c r="GA879" s="1852" t="str">
        <f t="shared" si="161"/>
        <v/>
      </c>
      <c r="GB879" s="1852" t="str">
        <f t="shared" si="162"/>
        <v/>
      </c>
      <c r="GC879" s="1852" t="str">
        <f t="shared" si="163"/>
        <v/>
      </c>
      <c r="GD879" s="1852" t="str">
        <f t="shared" si="164"/>
        <v/>
      </c>
      <c r="GE879" s="1852" t="str">
        <f t="shared" si="165"/>
        <v/>
      </c>
      <c r="GF879" s="1852" t="str">
        <f t="shared" si="166"/>
        <v/>
      </c>
      <c r="GG879" s="1852" t="str">
        <f t="shared" si="167"/>
        <v/>
      </c>
      <c r="GH879" s="1852" t="str">
        <f t="shared" si="168"/>
        <v/>
      </c>
      <c r="GI879" s="1852" t="str">
        <f t="shared" si="169"/>
        <v/>
      </c>
      <c r="GJ879" s="1852" t="str">
        <f t="shared" si="170"/>
        <v/>
      </c>
      <c r="GK879" s="1852" t="str">
        <f t="shared" si="171"/>
        <v/>
      </c>
      <c r="GL879" s="1852" t="str">
        <f t="shared" si="172"/>
        <v/>
      </c>
      <c r="GM879" s="1852" t="str">
        <f t="shared" si="173"/>
        <v/>
      </c>
      <c r="GN879" s="1852" t="str">
        <f t="shared" si="174"/>
        <v/>
      </c>
      <c r="GO879" s="1852" t="str">
        <f t="shared" si="175"/>
        <v/>
      </c>
      <c r="GP879" s="1852" t="str">
        <f t="shared" si="176"/>
        <v/>
      </c>
      <c r="GQ879" s="1852" t="str">
        <f t="shared" si="177"/>
        <v/>
      </c>
      <c r="GR879" s="1852" t="str">
        <f t="shared" si="178"/>
        <v/>
      </c>
      <c r="GS879" s="1852" t="str">
        <f t="shared" si="179"/>
        <v/>
      </c>
      <c r="GT879" s="1852" t="str">
        <f t="shared" si="180"/>
        <v/>
      </c>
      <c r="GU879" s="1852" t="str">
        <f t="shared" si="181"/>
        <v/>
      </c>
      <c r="GV879" s="1852" t="str">
        <f t="shared" si="182"/>
        <v/>
      </c>
      <c r="GW879" s="1852" t="str">
        <f t="shared" si="183"/>
        <v/>
      </c>
      <c r="GX879" s="1852" t="str">
        <f t="shared" si="184"/>
        <v/>
      </c>
      <c r="GY879" s="1852" t="str">
        <f t="shared" si="185"/>
        <v/>
      </c>
      <c r="GZ879" s="1852" t="str">
        <f t="shared" si="186"/>
        <v/>
      </c>
      <c r="HA879" s="1852" t="str">
        <f t="shared" si="187"/>
        <v/>
      </c>
      <c r="HB879" s="1852" t="str">
        <f t="shared" si="188"/>
        <v/>
      </c>
      <c r="HC879" s="1852" t="str">
        <f t="shared" si="189"/>
        <v/>
      </c>
      <c r="HD879" s="1852" t="str">
        <f t="shared" si="190"/>
        <v/>
      </c>
      <c r="HE879" s="1852" t="str">
        <f t="shared" si="191"/>
        <v/>
      </c>
      <c r="HF879" s="1852" t="str">
        <f t="shared" si="192"/>
        <v/>
      </c>
      <c r="HG879" s="1852" t="str">
        <f t="shared" si="193"/>
        <v/>
      </c>
      <c r="HH879" s="1852" t="str">
        <f t="shared" si="194"/>
        <v/>
      </c>
      <c r="HI879" s="1852" t="str">
        <f t="shared" si="195"/>
        <v/>
      </c>
      <c r="HJ879" s="1852" t="str">
        <f t="shared" si="196"/>
        <v/>
      </c>
      <c r="HK879" s="1852" t="str">
        <f t="shared" si="197"/>
        <v/>
      </c>
      <c r="HL879" s="1852" t="str">
        <f t="shared" si="198"/>
        <v/>
      </c>
      <c r="HM879" s="1852" t="str">
        <f t="shared" si="199"/>
        <v/>
      </c>
      <c r="HN879" s="1852" t="str">
        <f t="shared" si="200"/>
        <v/>
      </c>
      <c r="HO879" s="1852" t="str">
        <f t="shared" si="201"/>
        <v/>
      </c>
      <c r="HP879" s="1852" t="str">
        <f t="shared" si="202"/>
        <v/>
      </c>
      <c r="HQ879" s="1852" t="str">
        <f t="shared" si="203"/>
        <v/>
      </c>
      <c r="HR879" s="1852" t="str">
        <f t="shared" si="204"/>
        <v/>
      </c>
      <c r="HS879" s="1852" t="str">
        <f t="shared" si="205"/>
        <v/>
      </c>
      <c r="HT879" s="1852" t="str">
        <f t="shared" si="206"/>
        <v/>
      </c>
      <c r="HU879" s="1852" t="str">
        <f t="shared" si="207"/>
        <v/>
      </c>
      <c r="HV879" s="1852" t="str">
        <f t="shared" si="208"/>
        <v/>
      </c>
      <c r="HW879" s="1852" t="str">
        <f t="shared" si="209"/>
        <v/>
      </c>
      <c r="HX879" s="1852" t="str">
        <f t="shared" si="210"/>
        <v/>
      </c>
      <c r="HY879" s="1852" t="str">
        <f t="shared" si="211"/>
        <v/>
      </c>
      <c r="HZ879" s="2140" t="str">
        <f t="shared" si="212"/>
        <v/>
      </c>
      <c r="IA879" s="2140" t="str">
        <f t="shared" si="213"/>
        <v/>
      </c>
      <c r="IB879" s="2140" t="str">
        <f t="shared" si="214"/>
        <v/>
      </c>
      <c r="IC879" s="2140" t="str">
        <f t="shared" si="215"/>
        <v/>
      </c>
      <c r="ID879" s="2140" t="str">
        <f t="shared" si="216"/>
        <v/>
      </c>
      <c r="IE879" s="2140" t="str">
        <f t="shared" si="217"/>
        <v/>
      </c>
      <c r="IF879" s="2140" t="str">
        <f t="shared" si="218"/>
        <v/>
      </c>
      <c r="IG879" s="2140" t="str">
        <f t="shared" si="219"/>
        <v/>
      </c>
      <c r="IH879" s="2140" t="str">
        <f t="shared" si="220"/>
        <v/>
      </c>
      <c r="II879" s="2140" t="str">
        <f t="shared" si="221"/>
        <v/>
      </c>
      <c r="IJ879" s="2140" t="str">
        <f t="shared" si="222"/>
        <v/>
      </c>
      <c r="IK879" s="2140" t="str">
        <f t="shared" si="223"/>
        <v/>
      </c>
      <c r="IL879" s="2140" t="str">
        <f t="shared" si="224"/>
        <v/>
      </c>
      <c r="IM879" s="2140" t="str">
        <f t="shared" si="225"/>
        <v/>
      </c>
      <c r="IN879" s="2140" t="str">
        <f t="shared" si="226"/>
        <v/>
      </c>
      <c r="IO879" s="2140" t="str">
        <f t="shared" si="227"/>
        <v/>
      </c>
      <c r="IP879" s="2140" t="str">
        <f t="shared" si="228"/>
        <v/>
      </c>
      <c r="IQ879" s="2140" t="str">
        <f t="shared" si="229"/>
        <v/>
      </c>
      <c r="IR879" s="2140" t="str">
        <f t="shared" si="230"/>
        <v/>
      </c>
      <c r="IS879" s="2140" t="str">
        <f t="shared" si="231"/>
        <v/>
      </c>
      <c r="IT879" s="2140" t="str">
        <f t="shared" si="232"/>
        <v/>
      </c>
      <c r="IU879" s="2140" t="str">
        <f t="shared" si="233"/>
        <v/>
      </c>
      <c r="IV879" s="2140" t="str">
        <f t="shared" si="234"/>
        <v/>
      </c>
      <c r="IW879" s="2140" t="str">
        <f t="shared" si="235"/>
        <v/>
      </c>
      <c r="IX879" s="2140" t="str">
        <f t="shared" si="236"/>
        <v/>
      </c>
      <c r="IY879" s="2140" t="str">
        <f t="shared" si="237"/>
        <v/>
      </c>
      <c r="IZ879" s="2140" t="str">
        <f t="shared" si="238"/>
        <v/>
      </c>
      <c r="JA879" s="2140" t="str">
        <f t="shared" si="239"/>
        <v/>
      </c>
      <c r="JB879" s="2140" t="str">
        <f t="shared" si="240"/>
        <v/>
      </c>
      <c r="JC879" s="2140" t="str">
        <f t="shared" si="241"/>
        <v/>
      </c>
      <c r="JD879" s="2140" t="str">
        <f t="shared" si="242"/>
        <v/>
      </c>
      <c r="JE879" s="2140" t="str">
        <f t="shared" si="243"/>
        <v/>
      </c>
      <c r="JF879" s="2140" t="str">
        <f t="shared" si="244"/>
        <v/>
      </c>
      <c r="JG879" s="2140" t="str">
        <f t="shared" si="245"/>
        <v/>
      </c>
      <c r="JH879" s="2140" t="str">
        <f t="shared" si="246"/>
        <v/>
      </c>
      <c r="JI879" s="2140" t="str">
        <f t="shared" si="247"/>
        <v/>
      </c>
      <c r="JJ879" s="2140" t="str">
        <f t="shared" si="248"/>
        <v/>
      </c>
      <c r="JK879" s="2140" t="str">
        <f t="shared" si="249"/>
        <v/>
      </c>
      <c r="JL879" s="2140" t="str">
        <f t="shared" si="250"/>
        <v/>
      </c>
      <c r="JM879" s="2140" t="str">
        <f t="shared" si="251"/>
        <v/>
      </c>
      <c r="JN879" s="2140" t="str">
        <f t="shared" si="252"/>
        <v/>
      </c>
      <c r="JO879" s="2140" t="str">
        <f t="shared" si="253"/>
        <v/>
      </c>
      <c r="JP879" s="2140" t="str">
        <f t="shared" si="254"/>
        <v/>
      </c>
      <c r="JQ879" s="2140" t="str">
        <f t="shared" si="255"/>
        <v/>
      </c>
      <c r="JR879" s="2140" t="str">
        <f t="shared" si="256"/>
        <v/>
      </c>
      <c r="JS879" s="2140" t="str">
        <f t="shared" si="257"/>
        <v/>
      </c>
      <c r="JT879" s="2140" t="str">
        <f t="shared" si="258"/>
        <v/>
      </c>
      <c r="JU879" s="2140" t="str">
        <f t="shared" si="259"/>
        <v/>
      </c>
      <c r="JV879" s="2140" t="str">
        <f t="shared" si="260"/>
        <v/>
      </c>
      <c r="JW879" s="2140" t="str">
        <f t="shared" si="261"/>
        <v/>
      </c>
      <c r="JX879" s="2140" t="str">
        <f t="shared" si="262"/>
        <v/>
      </c>
      <c r="JY879" s="2140" t="str">
        <f t="shared" si="263"/>
        <v/>
      </c>
      <c r="JZ879" s="2140" t="str">
        <f t="shared" si="264"/>
        <v/>
      </c>
      <c r="KA879" s="2140" t="str">
        <f t="shared" si="265"/>
        <v/>
      </c>
      <c r="KB879" s="2140" t="str">
        <f t="shared" si="266"/>
        <v/>
      </c>
      <c r="KC879" s="2140" t="str">
        <f t="shared" si="267"/>
        <v/>
      </c>
      <c r="KD879" s="2140" t="str">
        <f t="shared" si="268"/>
        <v/>
      </c>
      <c r="KE879" s="2140" t="str">
        <f t="shared" si="269"/>
        <v/>
      </c>
      <c r="KF879" s="2140" t="str">
        <f t="shared" si="270"/>
        <v/>
      </c>
      <c r="KG879" s="2140" t="str">
        <f t="shared" si="271"/>
        <v/>
      </c>
      <c r="KH879" s="2140" t="str">
        <f t="shared" si="272"/>
        <v/>
      </c>
      <c r="KI879" s="2140" t="str">
        <f t="shared" si="273"/>
        <v/>
      </c>
      <c r="KJ879" s="2140" t="str">
        <f t="shared" si="274"/>
        <v/>
      </c>
      <c r="KK879" s="2140" t="str">
        <f t="shared" si="275"/>
        <v/>
      </c>
      <c r="KL879" s="2140" t="str">
        <f t="shared" si="276"/>
        <v/>
      </c>
      <c r="KM879" s="2140" t="str">
        <f t="shared" si="277"/>
        <v/>
      </c>
      <c r="KN879" s="2140" t="str">
        <f t="shared" si="278"/>
        <v/>
      </c>
      <c r="KO879" s="2140" t="str">
        <f t="shared" si="279"/>
        <v/>
      </c>
      <c r="KP879" s="2140" t="str">
        <f t="shared" si="280"/>
        <v/>
      </c>
      <c r="KQ879" s="2140" t="str">
        <f t="shared" si="281"/>
        <v/>
      </c>
      <c r="KR879" s="2140" t="str">
        <f t="shared" si="282"/>
        <v/>
      </c>
      <c r="KS879" s="2140" t="str">
        <f t="shared" si="283"/>
        <v/>
      </c>
      <c r="KT879" s="2140" t="str">
        <f t="shared" si="284"/>
        <v/>
      </c>
      <c r="KU879" s="2140" t="str">
        <f t="shared" si="285"/>
        <v/>
      </c>
      <c r="KV879" s="2140" t="str">
        <f t="shared" si="286"/>
        <v/>
      </c>
      <c r="KW879" s="2140" t="str">
        <f t="shared" si="287"/>
        <v/>
      </c>
      <c r="KX879" s="2140" t="str">
        <f t="shared" si="288"/>
        <v/>
      </c>
      <c r="KY879" s="2140" t="str">
        <f t="shared" si="289"/>
        <v/>
      </c>
      <c r="KZ879" s="2140" t="str">
        <f t="shared" si="290"/>
        <v/>
      </c>
      <c r="LA879" s="2140" t="str">
        <f t="shared" si="291"/>
        <v/>
      </c>
      <c r="LB879" s="2140" t="str">
        <f t="shared" si="292"/>
        <v/>
      </c>
      <c r="LC879" s="2140" t="str">
        <f t="shared" si="293"/>
        <v/>
      </c>
      <c r="LD879" s="2140" t="str">
        <f t="shared" si="294"/>
        <v/>
      </c>
      <c r="LE879" s="2140" t="str">
        <f t="shared" si="295"/>
        <v/>
      </c>
      <c r="LF879" s="2140" t="str">
        <f t="shared" si="296"/>
        <v/>
      </c>
      <c r="LG879" s="2051" t="str">
        <f t="shared" si="297"/>
        <v/>
      </c>
      <c r="LH879" s="2051" t="str">
        <f t="shared" si="298"/>
        <v/>
      </c>
      <c r="LI879" s="2051" t="str">
        <f t="shared" si="299"/>
        <v/>
      </c>
      <c r="LJ879" s="2051" t="str">
        <f t="shared" si="300"/>
        <v/>
      </c>
      <c r="LK879" s="2051" t="str">
        <f t="shared" si="301"/>
        <v/>
      </c>
      <c r="LL879" s="1852" t="str">
        <f t="shared" si="302"/>
        <v/>
      </c>
      <c r="LM879" s="1852" t="str">
        <f t="shared" si="303"/>
        <v/>
      </c>
      <c r="LN879" s="1852" t="str">
        <f t="shared" si="304"/>
        <v/>
      </c>
      <c r="LO879" s="1852" t="str">
        <f t="shared" si="305"/>
        <v/>
      </c>
      <c r="LP879" s="1852" t="str">
        <f t="shared" si="306"/>
        <v/>
      </c>
      <c r="LQ879" s="1852" t="str">
        <f t="shared" si="307"/>
        <v/>
      </c>
      <c r="LR879" s="1852" t="str">
        <f t="shared" si="308"/>
        <v/>
      </c>
      <c r="LS879" s="1852" t="str">
        <f t="shared" si="309"/>
        <v/>
      </c>
      <c r="LT879" s="1852" t="str">
        <f t="shared" si="310"/>
        <v/>
      </c>
      <c r="LU879" s="1852" t="str">
        <f t="shared" si="311"/>
        <v/>
      </c>
      <c r="LV879" s="1852" t="str">
        <f t="shared" si="312"/>
        <v/>
      </c>
      <c r="LW879" s="1852" t="str">
        <f t="shared" si="313"/>
        <v/>
      </c>
      <c r="LX879" s="1852" t="str">
        <f t="shared" si="314"/>
        <v/>
      </c>
      <c r="LY879" s="1852" t="str">
        <f t="shared" si="315"/>
        <v/>
      </c>
      <c r="LZ879" s="1852" t="str">
        <f t="shared" si="316"/>
        <v/>
      </c>
      <c r="MA879" s="1852" t="str">
        <f t="shared" si="317"/>
        <v/>
      </c>
      <c r="MB879" s="1852" t="str">
        <f t="shared" si="318"/>
        <v/>
      </c>
      <c r="MC879" s="1852" t="str">
        <f t="shared" si="319"/>
        <v/>
      </c>
      <c r="MD879" s="1852" t="str">
        <f t="shared" si="320"/>
        <v/>
      </c>
      <c r="ME879" s="1852" t="str">
        <f t="shared" si="321"/>
        <v/>
      </c>
      <c r="MF879" s="2051">
        <f t="shared" si="328"/>
        <v>0</v>
      </c>
      <c r="MG879" s="2051">
        <f t="shared" si="329"/>
        <v>0</v>
      </c>
      <c r="MH879" s="2051">
        <f t="shared" si="330"/>
        <v>0</v>
      </c>
      <c r="MI879" s="2051">
        <f t="shared" si="331"/>
        <v>0</v>
      </c>
      <c r="MJ879" s="2051">
        <f t="shared" si="332"/>
        <v>0</v>
      </c>
      <c r="MK879" s="2051">
        <f t="shared" si="333"/>
        <v>0</v>
      </c>
      <c r="ML879" s="2051">
        <f t="shared" si="334"/>
        <v>0</v>
      </c>
      <c r="MM879" s="2051">
        <f t="shared" si="335"/>
        <v>0</v>
      </c>
      <c r="MN879" s="2051">
        <f t="shared" si="336"/>
        <v>0</v>
      </c>
      <c r="MO879" s="2051">
        <f t="shared" si="337"/>
        <v>0</v>
      </c>
      <c r="MP879" s="2051">
        <f t="shared" si="322"/>
        <v>0</v>
      </c>
      <c r="MQ879" s="2051">
        <f t="shared" si="323"/>
        <v>0</v>
      </c>
      <c r="MR879" s="2051">
        <f t="shared" si="324"/>
        <v>0</v>
      </c>
      <c r="MS879" s="2051">
        <f t="shared" si="325"/>
        <v>0</v>
      </c>
      <c r="MT879" s="2051">
        <f t="shared" si="326"/>
        <v>0</v>
      </c>
      <c r="NP879" s="1924" t="s">
        <v>6748</v>
      </c>
    </row>
    <row r="880" spans="1:380" s="1852" customFormat="1" ht="13.9" customHeight="1">
      <c r="A880" s="2108" t="str">
        <f t="shared" si="327"/>
        <v/>
      </c>
      <c r="B880" s="2130">
        <f>'Part VI-Revenues &amp; Expenses'!B40</f>
        <v>0</v>
      </c>
      <c r="C880" s="2131">
        <f>'Part VI-Revenues &amp; Expenses'!C40</f>
        <v>0</v>
      </c>
      <c r="D880" s="2132">
        <f>'Part VI-Revenues &amp; Expenses'!D40</f>
        <v>0</v>
      </c>
      <c r="E880" s="2133">
        <f>'Part VI-Revenues &amp; Expenses'!E40</f>
        <v>0</v>
      </c>
      <c r="F880" s="2133">
        <f>'Part VI-Revenues &amp; Expenses'!F40</f>
        <v>0</v>
      </c>
      <c r="G880" s="2133">
        <f>'Part VI-Revenues &amp; Expenses'!G40</f>
        <v>0</v>
      </c>
      <c r="H880" s="2133">
        <f>'Part VI-Revenues &amp; Expenses'!H40</f>
        <v>0</v>
      </c>
      <c r="I880" s="2133">
        <f>'Part VI-Revenues &amp; Expenses'!I40</f>
        <v>0</v>
      </c>
      <c r="J880" s="2133">
        <f>'Part VI-Revenues &amp; Expenses'!J40</f>
        <v>0</v>
      </c>
      <c r="K880" s="2134">
        <f>'Part VI-Revenues &amp; Expenses'!K40</f>
        <v>0</v>
      </c>
      <c r="L880" s="2135">
        <f t="shared" si="0"/>
        <v>0</v>
      </c>
      <c r="M880" s="2135">
        <f t="shared" si="1"/>
        <v>0</v>
      </c>
      <c r="N880" s="1916">
        <f>'Part VI-Revenues &amp; Expenses'!N40</f>
        <v>0</v>
      </c>
      <c r="O880" s="2136">
        <f>'Part VI-Revenues &amp; Expenses'!O40</f>
        <v>0</v>
      </c>
      <c r="P880" s="1916">
        <f>'Part VI-Revenues &amp; Expenses'!P40</f>
        <v>0</v>
      </c>
      <c r="Q880" s="2137">
        <f>'Part VI-Revenues &amp; Expenses'!Q40</f>
        <v>0</v>
      </c>
      <c r="R880" s="2138"/>
      <c r="S880" s="2139"/>
      <c r="T880" s="2043"/>
      <c r="U880" s="2043"/>
      <c r="V880" s="2043"/>
      <c r="W880" s="2043"/>
      <c r="X880" s="1852" t="str">
        <f t="shared" si="2"/>
        <v/>
      </c>
      <c r="Y880" s="1852" t="str">
        <f t="shared" si="3"/>
        <v/>
      </c>
      <c r="Z880" s="1852" t="str">
        <f t="shared" si="4"/>
        <v/>
      </c>
      <c r="AA880" s="1852" t="str">
        <f t="shared" si="5"/>
        <v/>
      </c>
      <c r="AB880" s="1852" t="str">
        <f t="shared" si="6"/>
        <v/>
      </c>
      <c r="AC880" s="1852" t="str">
        <f t="shared" si="7"/>
        <v/>
      </c>
      <c r="AD880" s="1852" t="str">
        <f t="shared" si="8"/>
        <v/>
      </c>
      <c r="AE880" s="1852" t="str">
        <f t="shared" si="9"/>
        <v/>
      </c>
      <c r="AF880" s="1852" t="str">
        <f t="shared" si="10"/>
        <v/>
      </c>
      <c r="AG880" s="1852" t="str">
        <f t="shared" si="11"/>
        <v/>
      </c>
      <c r="AH880" s="1852" t="str">
        <f t="shared" si="12"/>
        <v/>
      </c>
      <c r="AI880" s="1852" t="str">
        <f t="shared" si="13"/>
        <v/>
      </c>
      <c r="AJ880" s="1852" t="str">
        <f t="shared" si="14"/>
        <v/>
      </c>
      <c r="AK880" s="1852" t="str">
        <f t="shared" si="15"/>
        <v/>
      </c>
      <c r="AL880" s="1852" t="str">
        <f t="shared" si="16"/>
        <v/>
      </c>
      <c r="AM880" s="1852" t="str">
        <f t="shared" si="17"/>
        <v/>
      </c>
      <c r="AN880" s="1852" t="str">
        <f t="shared" si="18"/>
        <v/>
      </c>
      <c r="AO880" s="1852" t="str">
        <f t="shared" si="19"/>
        <v/>
      </c>
      <c r="AP880" s="1852" t="str">
        <f t="shared" si="20"/>
        <v/>
      </c>
      <c r="AQ880" s="1852" t="str">
        <f t="shared" si="21"/>
        <v/>
      </c>
      <c r="AR880" s="1852" t="str">
        <f t="shared" si="22"/>
        <v/>
      </c>
      <c r="AS880" s="1852" t="str">
        <f t="shared" si="23"/>
        <v/>
      </c>
      <c r="AT880" s="1852" t="str">
        <f t="shared" si="24"/>
        <v/>
      </c>
      <c r="AU880" s="1852" t="str">
        <f t="shared" si="25"/>
        <v/>
      </c>
      <c r="AV880" s="1852" t="str">
        <f t="shared" si="26"/>
        <v/>
      </c>
      <c r="AW880" s="1852" t="str">
        <f t="shared" si="27"/>
        <v/>
      </c>
      <c r="AX880" s="1852" t="str">
        <f t="shared" si="28"/>
        <v/>
      </c>
      <c r="AY880" s="1852" t="str">
        <f t="shared" si="29"/>
        <v/>
      </c>
      <c r="AZ880" s="1852" t="str">
        <f t="shared" si="30"/>
        <v/>
      </c>
      <c r="BA880" s="1852" t="str">
        <f t="shared" si="31"/>
        <v/>
      </c>
      <c r="BB880" s="1852" t="str">
        <f t="shared" si="32"/>
        <v/>
      </c>
      <c r="BC880" s="1852" t="str">
        <f t="shared" si="33"/>
        <v/>
      </c>
      <c r="BD880" s="1852" t="str">
        <f t="shared" si="34"/>
        <v/>
      </c>
      <c r="BE880" s="1852" t="str">
        <f t="shared" si="35"/>
        <v/>
      </c>
      <c r="BF880" s="1852" t="str">
        <f t="shared" si="36"/>
        <v/>
      </c>
      <c r="BG880" s="1852" t="str">
        <f t="shared" si="37"/>
        <v/>
      </c>
      <c r="BH880" s="1852" t="str">
        <f t="shared" si="38"/>
        <v/>
      </c>
      <c r="BI880" s="1852" t="str">
        <f t="shared" si="39"/>
        <v/>
      </c>
      <c r="BJ880" s="1852" t="str">
        <f t="shared" si="40"/>
        <v/>
      </c>
      <c r="BK880" s="1852" t="str">
        <f t="shared" si="41"/>
        <v/>
      </c>
      <c r="BL880" s="1852" t="str">
        <f t="shared" si="42"/>
        <v/>
      </c>
      <c r="BM880" s="1852" t="str">
        <f t="shared" si="43"/>
        <v/>
      </c>
      <c r="BN880" s="1852" t="str">
        <f t="shared" si="44"/>
        <v/>
      </c>
      <c r="BO880" s="1852" t="str">
        <f t="shared" si="45"/>
        <v/>
      </c>
      <c r="BP880" s="1852" t="str">
        <f t="shared" si="46"/>
        <v/>
      </c>
      <c r="BQ880" s="1852" t="str">
        <f t="shared" si="47"/>
        <v/>
      </c>
      <c r="BR880" s="1852" t="str">
        <f t="shared" si="48"/>
        <v/>
      </c>
      <c r="BS880" s="1852" t="str">
        <f t="shared" si="49"/>
        <v/>
      </c>
      <c r="BT880" s="1852" t="str">
        <f t="shared" si="50"/>
        <v/>
      </c>
      <c r="BU880" s="1852" t="str">
        <f t="shared" si="51"/>
        <v/>
      </c>
      <c r="BV880" s="1852" t="str">
        <f t="shared" si="52"/>
        <v/>
      </c>
      <c r="BW880" s="1852" t="str">
        <f t="shared" si="53"/>
        <v/>
      </c>
      <c r="BX880" s="1852" t="str">
        <f t="shared" si="54"/>
        <v/>
      </c>
      <c r="BY880" s="1852" t="str">
        <f t="shared" si="55"/>
        <v/>
      </c>
      <c r="BZ880" s="1852" t="str">
        <f t="shared" si="56"/>
        <v/>
      </c>
      <c r="CA880" s="1852" t="str">
        <f t="shared" si="57"/>
        <v/>
      </c>
      <c r="CB880" s="1852" t="str">
        <f t="shared" si="58"/>
        <v/>
      </c>
      <c r="CC880" s="1852" t="str">
        <f t="shared" si="59"/>
        <v/>
      </c>
      <c r="CD880" s="1852" t="str">
        <f t="shared" si="60"/>
        <v/>
      </c>
      <c r="CE880" s="1852" t="str">
        <f t="shared" si="61"/>
        <v/>
      </c>
      <c r="CF880" s="1852" t="str">
        <f t="shared" si="62"/>
        <v/>
      </c>
      <c r="CG880" s="1852" t="str">
        <f t="shared" si="63"/>
        <v/>
      </c>
      <c r="CH880" s="1852" t="str">
        <f t="shared" si="64"/>
        <v/>
      </c>
      <c r="CI880" s="1852" t="str">
        <f t="shared" si="65"/>
        <v/>
      </c>
      <c r="CJ880" s="1852" t="str">
        <f t="shared" si="66"/>
        <v/>
      </c>
      <c r="CK880" s="1852" t="str">
        <f t="shared" si="67"/>
        <v/>
      </c>
      <c r="CL880" s="1852" t="str">
        <f t="shared" si="68"/>
        <v/>
      </c>
      <c r="CM880" s="1852" t="str">
        <f t="shared" si="69"/>
        <v/>
      </c>
      <c r="CN880" s="1852" t="str">
        <f t="shared" si="70"/>
        <v/>
      </c>
      <c r="CO880" s="1852" t="str">
        <f t="shared" si="71"/>
        <v/>
      </c>
      <c r="CP880" s="1852" t="str">
        <f t="shared" si="72"/>
        <v/>
      </c>
      <c r="CQ880" s="1852" t="str">
        <f t="shared" si="73"/>
        <v/>
      </c>
      <c r="CR880" s="1852" t="str">
        <f t="shared" si="74"/>
        <v/>
      </c>
      <c r="CS880" s="1852" t="str">
        <f t="shared" si="75"/>
        <v/>
      </c>
      <c r="CT880" s="1852" t="str">
        <f t="shared" si="76"/>
        <v/>
      </c>
      <c r="CU880" s="1852" t="str">
        <f t="shared" si="77"/>
        <v/>
      </c>
      <c r="CV880" s="1852" t="str">
        <f t="shared" si="78"/>
        <v/>
      </c>
      <c r="CW880" s="1852" t="str">
        <f t="shared" si="79"/>
        <v/>
      </c>
      <c r="CX880" s="1852" t="str">
        <f t="shared" si="80"/>
        <v/>
      </c>
      <c r="CY880" s="1852" t="str">
        <f t="shared" si="81"/>
        <v/>
      </c>
      <c r="CZ880" s="1852" t="str">
        <f t="shared" si="82"/>
        <v/>
      </c>
      <c r="DA880" s="1852" t="str">
        <f t="shared" si="83"/>
        <v/>
      </c>
      <c r="DB880" s="1852" t="str">
        <f t="shared" si="84"/>
        <v/>
      </c>
      <c r="DC880" s="1852" t="str">
        <f t="shared" si="85"/>
        <v/>
      </c>
      <c r="DD880" s="1852" t="str">
        <f t="shared" si="86"/>
        <v/>
      </c>
      <c r="DE880" s="1852" t="str">
        <f t="shared" si="87"/>
        <v/>
      </c>
      <c r="DF880" s="1852" t="str">
        <f t="shared" si="88"/>
        <v/>
      </c>
      <c r="DG880" s="1852" t="str">
        <f t="shared" si="89"/>
        <v/>
      </c>
      <c r="DH880" s="1852" t="str">
        <f t="shared" si="90"/>
        <v/>
      </c>
      <c r="DI880" s="1852" t="str">
        <f t="shared" si="91"/>
        <v/>
      </c>
      <c r="DJ880" s="1852" t="str">
        <f t="shared" si="92"/>
        <v/>
      </c>
      <c r="DK880" s="1852" t="str">
        <f t="shared" si="93"/>
        <v/>
      </c>
      <c r="DL880" s="1852" t="str">
        <f t="shared" si="94"/>
        <v/>
      </c>
      <c r="DM880" s="1852" t="str">
        <f t="shared" si="95"/>
        <v/>
      </c>
      <c r="DN880" s="1852" t="str">
        <f t="shared" si="96"/>
        <v/>
      </c>
      <c r="DO880" s="1852" t="str">
        <f t="shared" si="97"/>
        <v/>
      </c>
      <c r="DP880" s="1852" t="str">
        <f t="shared" si="98"/>
        <v/>
      </c>
      <c r="DQ880" s="1852" t="str">
        <f t="shared" si="99"/>
        <v/>
      </c>
      <c r="DR880" s="1852" t="str">
        <f t="shared" si="100"/>
        <v/>
      </c>
      <c r="DS880" s="1852" t="str">
        <f t="shared" si="101"/>
        <v/>
      </c>
      <c r="DT880" s="1852" t="str">
        <f t="shared" si="102"/>
        <v/>
      </c>
      <c r="DU880" s="1852" t="str">
        <f t="shared" si="103"/>
        <v/>
      </c>
      <c r="DV880" s="1852" t="str">
        <f t="shared" si="104"/>
        <v/>
      </c>
      <c r="DW880" s="1852" t="str">
        <f t="shared" si="105"/>
        <v/>
      </c>
      <c r="DX880" s="1852" t="str">
        <f t="shared" si="106"/>
        <v/>
      </c>
      <c r="DY880" s="1852" t="str">
        <f t="shared" si="107"/>
        <v/>
      </c>
      <c r="DZ880" s="1852" t="str">
        <f t="shared" si="108"/>
        <v/>
      </c>
      <c r="EA880" s="1852" t="str">
        <f t="shared" si="109"/>
        <v/>
      </c>
      <c r="EB880" s="1852" t="str">
        <f t="shared" si="110"/>
        <v/>
      </c>
      <c r="EC880" s="1852" t="str">
        <f t="shared" si="111"/>
        <v/>
      </c>
      <c r="ED880" s="1852" t="str">
        <f t="shared" si="112"/>
        <v/>
      </c>
      <c r="EE880" s="1852" t="str">
        <f t="shared" si="113"/>
        <v/>
      </c>
      <c r="EF880" s="1852" t="str">
        <f t="shared" si="114"/>
        <v/>
      </c>
      <c r="EG880" s="1852" t="str">
        <f t="shared" si="115"/>
        <v/>
      </c>
      <c r="EH880" s="1852" t="str">
        <f t="shared" si="116"/>
        <v/>
      </c>
      <c r="EI880" s="1852" t="str">
        <f t="shared" si="117"/>
        <v/>
      </c>
      <c r="EJ880" s="1852" t="str">
        <f t="shared" si="118"/>
        <v/>
      </c>
      <c r="EK880" s="1852" t="str">
        <f t="shared" si="119"/>
        <v/>
      </c>
      <c r="EL880" s="1852" t="str">
        <f t="shared" si="120"/>
        <v/>
      </c>
      <c r="EM880" s="1852" t="str">
        <f t="shared" si="121"/>
        <v/>
      </c>
      <c r="EN880" s="1852" t="str">
        <f t="shared" si="122"/>
        <v/>
      </c>
      <c r="EO880" s="1852" t="str">
        <f t="shared" si="123"/>
        <v/>
      </c>
      <c r="EP880" s="1852" t="str">
        <f t="shared" si="124"/>
        <v/>
      </c>
      <c r="EQ880" s="1852" t="str">
        <f t="shared" si="125"/>
        <v/>
      </c>
      <c r="ER880" s="1852" t="str">
        <f t="shared" si="126"/>
        <v/>
      </c>
      <c r="ES880" s="1852" t="str">
        <f t="shared" si="127"/>
        <v/>
      </c>
      <c r="ET880" s="1852" t="str">
        <f t="shared" si="128"/>
        <v/>
      </c>
      <c r="EU880" s="1852" t="str">
        <f t="shared" si="129"/>
        <v/>
      </c>
      <c r="EV880" s="1852" t="str">
        <f t="shared" si="130"/>
        <v/>
      </c>
      <c r="EW880" s="1852" t="str">
        <f t="shared" si="131"/>
        <v/>
      </c>
      <c r="EX880" s="1852" t="str">
        <f t="shared" si="132"/>
        <v/>
      </c>
      <c r="EY880" s="1852" t="str">
        <f t="shared" si="133"/>
        <v/>
      </c>
      <c r="EZ880" s="1852" t="str">
        <f t="shared" si="134"/>
        <v/>
      </c>
      <c r="FA880" s="1852" t="str">
        <f t="shared" si="135"/>
        <v/>
      </c>
      <c r="FB880" s="1852" t="str">
        <f t="shared" si="136"/>
        <v/>
      </c>
      <c r="FC880" s="1852" t="str">
        <f t="shared" si="137"/>
        <v/>
      </c>
      <c r="FD880" s="1852" t="str">
        <f t="shared" si="138"/>
        <v/>
      </c>
      <c r="FE880" s="1852" t="str">
        <f t="shared" si="139"/>
        <v/>
      </c>
      <c r="FF880" s="1852" t="str">
        <f t="shared" si="140"/>
        <v/>
      </c>
      <c r="FG880" s="1852" t="str">
        <f t="shared" si="141"/>
        <v/>
      </c>
      <c r="FH880" s="1852" t="str">
        <f t="shared" si="142"/>
        <v/>
      </c>
      <c r="FI880" s="1852" t="str">
        <f t="shared" si="143"/>
        <v/>
      </c>
      <c r="FJ880" s="1852" t="str">
        <f t="shared" si="144"/>
        <v/>
      </c>
      <c r="FK880" s="1852" t="str">
        <f t="shared" si="145"/>
        <v/>
      </c>
      <c r="FL880" s="1852" t="str">
        <f t="shared" si="146"/>
        <v/>
      </c>
      <c r="FM880" s="1852" t="str">
        <f t="shared" si="147"/>
        <v/>
      </c>
      <c r="FN880" s="1852" t="str">
        <f t="shared" si="148"/>
        <v/>
      </c>
      <c r="FO880" s="1852" t="str">
        <f t="shared" si="149"/>
        <v/>
      </c>
      <c r="FP880" s="1852" t="str">
        <f t="shared" si="150"/>
        <v/>
      </c>
      <c r="FQ880" s="1852" t="str">
        <f t="shared" si="151"/>
        <v/>
      </c>
      <c r="FR880" s="1852" t="str">
        <f t="shared" si="152"/>
        <v/>
      </c>
      <c r="FS880" s="1852" t="str">
        <f t="shared" si="153"/>
        <v/>
      </c>
      <c r="FT880" s="1852" t="str">
        <f t="shared" si="154"/>
        <v/>
      </c>
      <c r="FU880" s="1852" t="str">
        <f t="shared" si="155"/>
        <v/>
      </c>
      <c r="FV880" s="1852" t="str">
        <f t="shared" si="156"/>
        <v/>
      </c>
      <c r="FW880" s="1852" t="str">
        <f t="shared" si="157"/>
        <v/>
      </c>
      <c r="FX880" s="1852" t="str">
        <f t="shared" si="158"/>
        <v/>
      </c>
      <c r="FY880" s="1852" t="str">
        <f t="shared" si="159"/>
        <v/>
      </c>
      <c r="FZ880" s="1852" t="str">
        <f t="shared" si="160"/>
        <v/>
      </c>
      <c r="GA880" s="1852" t="str">
        <f t="shared" si="161"/>
        <v/>
      </c>
      <c r="GB880" s="1852" t="str">
        <f t="shared" si="162"/>
        <v/>
      </c>
      <c r="GC880" s="1852" t="str">
        <f t="shared" si="163"/>
        <v/>
      </c>
      <c r="GD880" s="1852" t="str">
        <f t="shared" si="164"/>
        <v/>
      </c>
      <c r="GE880" s="1852" t="str">
        <f t="shared" si="165"/>
        <v/>
      </c>
      <c r="GF880" s="1852" t="str">
        <f t="shared" si="166"/>
        <v/>
      </c>
      <c r="GG880" s="1852" t="str">
        <f t="shared" si="167"/>
        <v/>
      </c>
      <c r="GH880" s="1852" t="str">
        <f t="shared" si="168"/>
        <v/>
      </c>
      <c r="GI880" s="1852" t="str">
        <f t="shared" si="169"/>
        <v/>
      </c>
      <c r="GJ880" s="1852" t="str">
        <f t="shared" si="170"/>
        <v/>
      </c>
      <c r="GK880" s="1852" t="str">
        <f t="shared" si="171"/>
        <v/>
      </c>
      <c r="GL880" s="1852" t="str">
        <f t="shared" si="172"/>
        <v/>
      </c>
      <c r="GM880" s="1852" t="str">
        <f t="shared" si="173"/>
        <v/>
      </c>
      <c r="GN880" s="1852" t="str">
        <f t="shared" si="174"/>
        <v/>
      </c>
      <c r="GO880" s="1852" t="str">
        <f t="shared" si="175"/>
        <v/>
      </c>
      <c r="GP880" s="1852" t="str">
        <f t="shared" si="176"/>
        <v/>
      </c>
      <c r="GQ880" s="1852" t="str">
        <f t="shared" si="177"/>
        <v/>
      </c>
      <c r="GR880" s="1852" t="str">
        <f t="shared" si="178"/>
        <v/>
      </c>
      <c r="GS880" s="1852" t="str">
        <f t="shared" si="179"/>
        <v/>
      </c>
      <c r="GT880" s="1852" t="str">
        <f t="shared" si="180"/>
        <v/>
      </c>
      <c r="GU880" s="1852" t="str">
        <f t="shared" si="181"/>
        <v/>
      </c>
      <c r="GV880" s="1852" t="str">
        <f t="shared" si="182"/>
        <v/>
      </c>
      <c r="GW880" s="1852" t="str">
        <f t="shared" si="183"/>
        <v/>
      </c>
      <c r="GX880" s="1852" t="str">
        <f t="shared" si="184"/>
        <v/>
      </c>
      <c r="GY880" s="1852" t="str">
        <f t="shared" si="185"/>
        <v/>
      </c>
      <c r="GZ880" s="1852" t="str">
        <f t="shared" si="186"/>
        <v/>
      </c>
      <c r="HA880" s="1852" t="str">
        <f t="shared" si="187"/>
        <v/>
      </c>
      <c r="HB880" s="1852" t="str">
        <f t="shared" si="188"/>
        <v/>
      </c>
      <c r="HC880" s="1852" t="str">
        <f t="shared" si="189"/>
        <v/>
      </c>
      <c r="HD880" s="1852" t="str">
        <f t="shared" si="190"/>
        <v/>
      </c>
      <c r="HE880" s="1852" t="str">
        <f t="shared" si="191"/>
        <v/>
      </c>
      <c r="HF880" s="1852" t="str">
        <f t="shared" si="192"/>
        <v/>
      </c>
      <c r="HG880" s="1852" t="str">
        <f t="shared" si="193"/>
        <v/>
      </c>
      <c r="HH880" s="1852" t="str">
        <f t="shared" si="194"/>
        <v/>
      </c>
      <c r="HI880" s="1852" t="str">
        <f t="shared" si="195"/>
        <v/>
      </c>
      <c r="HJ880" s="1852" t="str">
        <f t="shared" si="196"/>
        <v/>
      </c>
      <c r="HK880" s="1852" t="str">
        <f t="shared" si="197"/>
        <v/>
      </c>
      <c r="HL880" s="1852" t="str">
        <f t="shared" si="198"/>
        <v/>
      </c>
      <c r="HM880" s="1852" t="str">
        <f t="shared" si="199"/>
        <v/>
      </c>
      <c r="HN880" s="1852" t="str">
        <f t="shared" si="200"/>
        <v/>
      </c>
      <c r="HO880" s="1852" t="str">
        <f t="shared" si="201"/>
        <v/>
      </c>
      <c r="HP880" s="1852" t="str">
        <f t="shared" si="202"/>
        <v/>
      </c>
      <c r="HQ880" s="1852" t="str">
        <f t="shared" si="203"/>
        <v/>
      </c>
      <c r="HR880" s="1852" t="str">
        <f t="shared" si="204"/>
        <v/>
      </c>
      <c r="HS880" s="1852" t="str">
        <f t="shared" si="205"/>
        <v/>
      </c>
      <c r="HT880" s="1852" t="str">
        <f t="shared" si="206"/>
        <v/>
      </c>
      <c r="HU880" s="1852" t="str">
        <f t="shared" si="207"/>
        <v/>
      </c>
      <c r="HV880" s="1852" t="str">
        <f t="shared" si="208"/>
        <v/>
      </c>
      <c r="HW880" s="1852" t="str">
        <f t="shared" si="209"/>
        <v/>
      </c>
      <c r="HX880" s="1852" t="str">
        <f t="shared" si="210"/>
        <v/>
      </c>
      <c r="HY880" s="1852" t="str">
        <f t="shared" si="211"/>
        <v/>
      </c>
      <c r="HZ880" s="2140" t="str">
        <f t="shared" si="212"/>
        <v/>
      </c>
      <c r="IA880" s="2140" t="str">
        <f t="shared" si="213"/>
        <v/>
      </c>
      <c r="IB880" s="2140" t="str">
        <f t="shared" si="214"/>
        <v/>
      </c>
      <c r="IC880" s="2140" t="str">
        <f t="shared" si="215"/>
        <v/>
      </c>
      <c r="ID880" s="2140" t="str">
        <f t="shared" si="216"/>
        <v/>
      </c>
      <c r="IE880" s="2140" t="str">
        <f t="shared" si="217"/>
        <v/>
      </c>
      <c r="IF880" s="2140" t="str">
        <f t="shared" si="218"/>
        <v/>
      </c>
      <c r="IG880" s="2140" t="str">
        <f t="shared" si="219"/>
        <v/>
      </c>
      <c r="IH880" s="2140" t="str">
        <f t="shared" si="220"/>
        <v/>
      </c>
      <c r="II880" s="2140" t="str">
        <f t="shared" si="221"/>
        <v/>
      </c>
      <c r="IJ880" s="2140" t="str">
        <f t="shared" si="222"/>
        <v/>
      </c>
      <c r="IK880" s="2140" t="str">
        <f t="shared" si="223"/>
        <v/>
      </c>
      <c r="IL880" s="2140" t="str">
        <f t="shared" si="224"/>
        <v/>
      </c>
      <c r="IM880" s="2140" t="str">
        <f t="shared" si="225"/>
        <v/>
      </c>
      <c r="IN880" s="2140" t="str">
        <f t="shared" si="226"/>
        <v/>
      </c>
      <c r="IO880" s="2140" t="str">
        <f t="shared" si="227"/>
        <v/>
      </c>
      <c r="IP880" s="2140" t="str">
        <f t="shared" si="228"/>
        <v/>
      </c>
      <c r="IQ880" s="2140" t="str">
        <f t="shared" si="229"/>
        <v/>
      </c>
      <c r="IR880" s="2140" t="str">
        <f t="shared" si="230"/>
        <v/>
      </c>
      <c r="IS880" s="2140" t="str">
        <f t="shared" si="231"/>
        <v/>
      </c>
      <c r="IT880" s="2140" t="str">
        <f t="shared" si="232"/>
        <v/>
      </c>
      <c r="IU880" s="2140" t="str">
        <f t="shared" si="233"/>
        <v/>
      </c>
      <c r="IV880" s="2140" t="str">
        <f t="shared" si="234"/>
        <v/>
      </c>
      <c r="IW880" s="2140" t="str">
        <f t="shared" si="235"/>
        <v/>
      </c>
      <c r="IX880" s="2140" t="str">
        <f t="shared" si="236"/>
        <v/>
      </c>
      <c r="IY880" s="2140" t="str">
        <f t="shared" si="237"/>
        <v/>
      </c>
      <c r="IZ880" s="2140" t="str">
        <f t="shared" si="238"/>
        <v/>
      </c>
      <c r="JA880" s="2140" t="str">
        <f t="shared" si="239"/>
        <v/>
      </c>
      <c r="JB880" s="2140" t="str">
        <f t="shared" si="240"/>
        <v/>
      </c>
      <c r="JC880" s="2140" t="str">
        <f t="shared" si="241"/>
        <v/>
      </c>
      <c r="JD880" s="2140" t="str">
        <f t="shared" si="242"/>
        <v/>
      </c>
      <c r="JE880" s="2140" t="str">
        <f t="shared" si="243"/>
        <v/>
      </c>
      <c r="JF880" s="2140" t="str">
        <f t="shared" si="244"/>
        <v/>
      </c>
      <c r="JG880" s="2140" t="str">
        <f t="shared" si="245"/>
        <v/>
      </c>
      <c r="JH880" s="2140" t="str">
        <f t="shared" si="246"/>
        <v/>
      </c>
      <c r="JI880" s="2140" t="str">
        <f t="shared" si="247"/>
        <v/>
      </c>
      <c r="JJ880" s="2140" t="str">
        <f t="shared" si="248"/>
        <v/>
      </c>
      <c r="JK880" s="2140" t="str">
        <f t="shared" si="249"/>
        <v/>
      </c>
      <c r="JL880" s="2140" t="str">
        <f t="shared" si="250"/>
        <v/>
      </c>
      <c r="JM880" s="2140" t="str">
        <f t="shared" si="251"/>
        <v/>
      </c>
      <c r="JN880" s="2140" t="str">
        <f t="shared" si="252"/>
        <v/>
      </c>
      <c r="JO880" s="2140" t="str">
        <f t="shared" si="253"/>
        <v/>
      </c>
      <c r="JP880" s="2140" t="str">
        <f t="shared" si="254"/>
        <v/>
      </c>
      <c r="JQ880" s="2140" t="str">
        <f t="shared" si="255"/>
        <v/>
      </c>
      <c r="JR880" s="2140" t="str">
        <f t="shared" si="256"/>
        <v/>
      </c>
      <c r="JS880" s="2140" t="str">
        <f t="shared" si="257"/>
        <v/>
      </c>
      <c r="JT880" s="2140" t="str">
        <f t="shared" si="258"/>
        <v/>
      </c>
      <c r="JU880" s="2140" t="str">
        <f t="shared" si="259"/>
        <v/>
      </c>
      <c r="JV880" s="2140" t="str">
        <f t="shared" si="260"/>
        <v/>
      </c>
      <c r="JW880" s="2140" t="str">
        <f t="shared" si="261"/>
        <v/>
      </c>
      <c r="JX880" s="2140" t="str">
        <f t="shared" si="262"/>
        <v/>
      </c>
      <c r="JY880" s="2140" t="str">
        <f t="shared" si="263"/>
        <v/>
      </c>
      <c r="JZ880" s="2140" t="str">
        <f t="shared" si="264"/>
        <v/>
      </c>
      <c r="KA880" s="2140" t="str">
        <f t="shared" si="265"/>
        <v/>
      </c>
      <c r="KB880" s="2140" t="str">
        <f t="shared" si="266"/>
        <v/>
      </c>
      <c r="KC880" s="2140" t="str">
        <f t="shared" si="267"/>
        <v/>
      </c>
      <c r="KD880" s="2140" t="str">
        <f t="shared" si="268"/>
        <v/>
      </c>
      <c r="KE880" s="2140" t="str">
        <f t="shared" si="269"/>
        <v/>
      </c>
      <c r="KF880" s="2140" t="str">
        <f t="shared" si="270"/>
        <v/>
      </c>
      <c r="KG880" s="2140" t="str">
        <f t="shared" si="271"/>
        <v/>
      </c>
      <c r="KH880" s="2140" t="str">
        <f t="shared" si="272"/>
        <v/>
      </c>
      <c r="KI880" s="2140" t="str">
        <f t="shared" si="273"/>
        <v/>
      </c>
      <c r="KJ880" s="2140" t="str">
        <f t="shared" si="274"/>
        <v/>
      </c>
      <c r="KK880" s="2140" t="str">
        <f t="shared" si="275"/>
        <v/>
      </c>
      <c r="KL880" s="2140" t="str">
        <f t="shared" si="276"/>
        <v/>
      </c>
      <c r="KM880" s="2140" t="str">
        <f t="shared" si="277"/>
        <v/>
      </c>
      <c r="KN880" s="2140" t="str">
        <f t="shared" si="278"/>
        <v/>
      </c>
      <c r="KO880" s="2140" t="str">
        <f t="shared" si="279"/>
        <v/>
      </c>
      <c r="KP880" s="2140" t="str">
        <f t="shared" si="280"/>
        <v/>
      </c>
      <c r="KQ880" s="2140" t="str">
        <f t="shared" si="281"/>
        <v/>
      </c>
      <c r="KR880" s="2140" t="str">
        <f t="shared" si="282"/>
        <v/>
      </c>
      <c r="KS880" s="2140" t="str">
        <f t="shared" si="283"/>
        <v/>
      </c>
      <c r="KT880" s="2140" t="str">
        <f t="shared" si="284"/>
        <v/>
      </c>
      <c r="KU880" s="2140" t="str">
        <f t="shared" si="285"/>
        <v/>
      </c>
      <c r="KV880" s="2140" t="str">
        <f t="shared" si="286"/>
        <v/>
      </c>
      <c r="KW880" s="2140" t="str">
        <f t="shared" si="287"/>
        <v/>
      </c>
      <c r="KX880" s="2140" t="str">
        <f t="shared" si="288"/>
        <v/>
      </c>
      <c r="KY880" s="2140" t="str">
        <f t="shared" si="289"/>
        <v/>
      </c>
      <c r="KZ880" s="2140" t="str">
        <f t="shared" si="290"/>
        <v/>
      </c>
      <c r="LA880" s="2140" t="str">
        <f t="shared" si="291"/>
        <v/>
      </c>
      <c r="LB880" s="2140" t="str">
        <f t="shared" si="292"/>
        <v/>
      </c>
      <c r="LC880" s="2140" t="str">
        <f t="shared" si="293"/>
        <v/>
      </c>
      <c r="LD880" s="2140" t="str">
        <f t="shared" si="294"/>
        <v/>
      </c>
      <c r="LE880" s="2140" t="str">
        <f t="shared" si="295"/>
        <v/>
      </c>
      <c r="LF880" s="2140" t="str">
        <f t="shared" si="296"/>
        <v/>
      </c>
      <c r="LG880" s="2051" t="str">
        <f t="shared" si="297"/>
        <v/>
      </c>
      <c r="LH880" s="2051" t="str">
        <f t="shared" si="298"/>
        <v/>
      </c>
      <c r="LI880" s="2051" t="str">
        <f t="shared" si="299"/>
        <v/>
      </c>
      <c r="LJ880" s="2051" t="str">
        <f t="shared" si="300"/>
        <v/>
      </c>
      <c r="LK880" s="2051" t="str">
        <f t="shared" si="301"/>
        <v/>
      </c>
      <c r="LL880" s="1852" t="str">
        <f t="shared" si="302"/>
        <v/>
      </c>
      <c r="LM880" s="1852" t="str">
        <f t="shared" si="303"/>
        <v/>
      </c>
      <c r="LN880" s="1852" t="str">
        <f t="shared" si="304"/>
        <v/>
      </c>
      <c r="LO880" s="1852" t="str">
        <f t="shared" si="305"/>
        <v/>
      </c>
      <c r="LP880" s="1852" t="str">
        <f t="shared" si="306"/>
        <v/>
      </c>
      <c r="LQ880" s="1852" t="str">
        <f t="shared" si="307"/>
        <v/>
      </c>
      <c r="LR880" s="1852" t="str">
        <f t="shared" si="308"/>
        <v/>
      </c>
      <c r="LS880" s="1852" t="str">
        <f t="shared" si="309"/>
        <v/>
      </c>
      <c r="LT880" s="1852" t="str">
        <f t="shared" si="310"/>
        <v/>
      </c>
      <c r="LU880" s="1852" t="str">
        <f t="shared" si="311"/>
        <v/>
      </c>
      <c r="LV880" s="1852" t="str">
        <f t="shared" si="312"/>
        <v/>
      </c>
      <c r="LW880" s="1852" t="str">
        <f t="shared" si="313"/>
        <v/>
      </c>
      <c r="LX880" s="1852" t="str">
        <f t="shared" si="314"/>
        <v/>
      </c>
      <c r="LY880" s="1852" t="str">
        <f t="shared" si="315"/>
        <v/>
      </c>
      <c r="LZ880" s="1852" t="str">
        <f t="shared" si="316"/>
        <v/>
      </c>
      <c r="MA880" s="1852" t="str">
        <f t="shared" si="317"/>
        <v/>
      </c>
      <c r="MB880" s="1852" t="str">
        <f t="shared" si="318"/>
        <v/>
      </c>
      <c r="MC880" s="1852" t="str">
        <f t="shared" si="319"/>
        <v/>
      </c>
      <c r="MD880" s="1852" t="str">
        <f t="shared" si="320"/>
        <v/>
      </c>
      <c r="ME880" s="1852" t="str">
        <f t="shared" si="321"/>
        <v/>
      </c>
      <c r="MF880" s="2051">
        <f t="shared" si="328"/>
        <v>0</v>
      </c>
      <c r="MG880" s="2051">
        <f t="shared" si="329"/>
        <v>0</v>
      </c>
      <c r="MH880" s="2051">
        <f t="shared" si="330"/>
        <v>0</v>
      </c>
      <c r="MI880" s="2051">
        <f t="shared" si="331"/>
        <v>0</v>
      </c>
      <c r="MJ880" s="2051">
        <f t="shared" si="332"/>
        <v>0</v>
      </c>
      <c r="MK880" s="2051">
        <f t="shared" si="333"/>
        <v>0</v>
      </c>
      <c r="ML880" s="2051">
        <f t="shared" si="334"/>
        <v>0</v>
      </c>
      <c r="MM880" s="2051">
        <f t="shared" si="335"/>
        <v>0</v>
      </c>
      <c r="MN880" s="2051">
        <f t="shared" si="336"/>
        <v>0</v>
      </c>
      <c r="MO880" s="2051">
        <f t="shared" si="337"/>
        <v>0</v>
      </c>
      <c r="MP880" s="2051">
        <f t="shared" si="322"/>
        <v>0</v>
      </c>
      <c r="MQ880" s="2051">
        <f t="shared" si="323"/>
        <v>0</v>
      </c>
      <c r="MR880" s="2051">
        <f t="shared" si="324"/>
        <v>0</v>
      </c>
      <c r="MS880" s="2051">
        <f t="shared" si="325"/>
        <v>0</v>
      </c>
      <c r="MT880" s="2051">
        <f t="shared" si="326"/>
        <v>0</v>
      </c>
      <c r="NP880" s="1924" t="s">
        <v>6749</v>
      </c>
    </row>
    <row r="881" spans="1:380" s="1852" customFormat="1" ht="13.9" customHeight="1">
      <c r="A881" s="2108" t="str">
        <f t="shared" si="327"/>
        <v/>
      </c>
      <c r="B881" s="2130">
        <f>'Part VI-Revenues &amp; Expenses'!B41</f>
        <v>0</v>
      </c>
      <c r="C881" s="2131">
        <f>'Part VI-Revenues &amp; Expenses'!C41</f>
        <v>0</v>
      </c>
      <c r="D881" s="2132">
        <f>'Part VI-Revenues &amp; Expenses'!D41</f>
        <v>0</v>
      </c>
      <c r="E881" s="2133">
        <f>'Part VI-Revenues &amp; Expenses'!E41</f>
        <v>0</v>
      </c>
      <c r="F881" s="2133">
        <f>'Part VI-Revenues &amp; Expenses'!F41</f>
        <v>0</v>
      </c>
      <c r="G881" s="2133">
        <f>'Part VI-Revenues &amp; Expenses'!G41</f>
        <v>0</v>
      </c>
      <c r="H881" s="2133">
        <f>'Part VI-Revenues &amp; Expenses'!H41</f>
        <v>0</v>
      </c>
      <c r="I881" s="2133">
        <f>'Part VI-Revenues &amp; Expenses'!I41</f>
        <v>0</v>
      </c>
      <c r="J881" s="2133">
        <f>'Part VI-Revenues &amp; Expenses'!J41</f>
        <v>0</v>
      </c>
      <c r="K881" s="2134">
        <f>'Part VI-Revenues &amp; Expenses'!K41</f>
        <v>0</v>
      </c>
      <c r="L881" s="2135">
        <f t="shared" si="0"/>
        <v>0</v>
      </c>
      <c r="M881" s="2135">
        <f t="shared" si="1"/>
        <v>0</v>
      </c>
      <c r="N881" s="1916">
        <f>'Part VI-Revenues &amp; Expenses'!N41</f>
        <v>0</v>
      </c>
      <c r="O881" s="2136">
        <f>'Part VI-Revenues &amp; Expenses'!O41</f>
        <v>0</v>
      </c>
      <c r="P881" s="1916">
        <f>'Part VI-Revenues &amp; Expenses'!P41</f>
        <v>0</v>
      </c>
      <c r="Q881" s="2137">
        <f>'Part VI-Revenues &amp; Expenses'!Q41</f>
        <v>0</v>
      </c>
      <c r="R881" s="2138"/>
      <c r="S881" s="2139"/>
      <c r="T881" s="2043"/>
      <c r="U881" s="2043"/>
      <c r="V881" s="2043"/>
      <c r="W881" s="2043"/>
      <c r="X881" s="1852" t="str">
        <f t="shared" si="2"/>
        <v/>
      </c>
      <c r="Y881" s="1852" t="str">
        <f t="shared" si="3"/>
        <v/>
      </c>
      <c r="Z881" s="1852" t="str">
        <f t="shared" si="4"/>
        <v/>
      </c>
      <c r="AA881" s="1852" t="str">
        <f t="shared" si="5"/>
        <v/>
      </c>
      <c r="AB881" s="1852" t="str">
        <f t="shared" si="6"/>
        <v/>
      </c>
      <c r="AC881" s="1852" t="str">
        <f t="shared" si="7"/>
        <v/>
      </c>
      <c r="AD881" s="1852" t="str">
        <f t="shared" si="8"/>
        <v/>
      </c>
      <c r="AE881" s="1852" t="str">
        <f t="shared" si="9"/>
        <v/>
      </c>
      <c r="AF881" s="1852" t="str">
        <f t="shared" si="10"/>
        <v/>
      </c>
      <c r="AG881" s="1852" t="str">
        <f t="shared" si="11"/>
        <v/>
      </c>
      <c r="AH881" s="1852" t="str">
        <f t="shared" si="12"/>
        <v/>
      </c>
      <c r="AI881" s="1852" t="str">
        <f t="shared" si="13"/>
        <v/>
      </c>
      <c r="AJ881" s="1852" t="str">
        <f t="shared" si="14"/>
        <v/>
      </c>
      <c r="AK881" s="1852" t="str">
        <f t="shared" si="15"/>
        <v/>
      </c>
      <c r="AL881" s="1852" t="str">
        <f t="shared" si="16"/>
        <v/>
      </c>
      <c r="AM881" s="1852" t="str">
        <f t="shared" si="17"/>
        <v/>
      </c>
      <c r="AN881" s="1852" t="str">
        <f t="shared" si="18"/>
        <v/>
      </c>
      <c r="AO881" s="1852" t="str">
        <f t="shared" si="19"/>
        <v/>
      </c>
      <c r="AP881" s="1852" t="str">
        <f t="shared" si="20"/>
        <v/>
      </c>
      <c r="AQ881" s="1852" t="str">
        <f t="shared" si="21"/>
        <v/>
      </c>
      <c r="AR881" s="1852" t="str">
        <f t="shared" si="22"/>
        <v/>
      </c>
      <c r="AS881" s="1852" t="str">
        <f t="shared" si="23"/>
        <v/>
      </c>
      <c r="AT881" s="1852" t="str">
        <f t="shared" si="24"/>
        <v/>
      </c>
      <c r="AU881" s="1852" t="str">
        <f t="shared" si="25"/>
        <v/>
      </c>
      <c r="AV881" s="1852" t="str">
        <f t="shared" si="26"/>
        <v/>
      </c>
      <c r="AW881" s="1852" t="str">
        <f t="shared" si="27"/>
        <v/>
      </c>
      <c r="AX881" s="1852" t="str">
        <f t="shared" si="28"/>
        <v/>
      </c>
      <c r="AY881" s="1852" t="str">
        <f t="shared" si="29"/>
        <v/>
      </c>
      <c r="AZ881" s="1852" t="str">
        <f t="shared" si="30"/>
        <v/>
      </c>
      <c r="BA881" s="1852" t="str">
        <f t="shared" si="31"/>
        <v/>
      </c>
      <c r="BB881" s="1852" t="str">
        <f t="shared" si="32"/>
        <v/>
      </c>
      <c r="BC881" s="1852" t="str">
        <f t="shared" si="33"/>
        <v/>
      </c>
      <c r="BD881" s="1852" t="str">
        <f t="shared" si="34"/>
        <v/>
      </c>
      <c r="BE881" s="1852" t="str">
        <f t="shared" si="35"/>
        <v/>
      </c>
      <c r="BF881" s="1852" t="str">
        <f t="shared" si="36"/>
        <v/>
      </c>
      <c r="BG881" s="1852" t="str">
        <f t="shared" si="37"/>
        <v/>
      </c>
      <c r="BH881" s="1852" t="str">
        <f t="shared" si="38"/>
        <v/>
      </c>
      <c r="BI881" s="1852" t="str">
        <f t="shared" si="39"/>
        <v/>
      </c>
      <c r="BJ881" s="1852" t="str">
        <f t="shared" si="40"/>
        <v/>
      </c>
      <c r="BK881" s="1852" t="str">
        <f t="shared" si="41"/>
        <v/>
      </c>
      <c r="BL881" s="1852" t="str">
        <f t="shared" si="42"/>
        <v/>
      </c>
      <c r="BM881" s="1852" t="str">
        <f t="shared" si="43"/>
        <v/>
      </c>
      <c r="BN881" s="1852" t="str">
        <f t="shared" si="44"/>
        <v/>
      </c>
      <c r="BO881" s="1852" t="str">
        <f t="shared" si="45"/>
        <v/>
      </c>
      <c r="BP881" s="1852" t="str">
        <f t="shared" si="46"/>
        <v/>
      </c>
      <c r="BQ881" s="1852" t="str">
        <f t="shared" si="47"/>
        <v/>
      </c>
      <c r="BR881" s="1852" t="str">
        <f t="shared" si="48"/>
        <v/>
      </c>
      <c r="BS881" s="1852" t="str">
        <f t="shared" si="49"/>
        <v/>
      </c>
      <c r="BT881" s="1852" t="str">
        <f t="shared" si="50"/>
        <v/>
      </c>
      <c r="BU881" s="1852" t="str">
        <f t="shared" si="51"/>
        <v/>
      </c>
      <c r="BV881" s="1852" t="str">
        <f t="shared" si="52"/>
        <v/>
      </c>
      <c r="BW881" s="1852" t="str">
        <f t="shared" si="53"/>
        <v/>
      </c>
      <c r="BX881" s="1852" t="str">
        <f t="shared" si="54"/>
        <v/>
      </c>
      <c r="BY881" s="1852" t="str">
        <f t="shared" si="55"/>
        <v/>
      </c>
      <c r="BZ881" s="1852" t="str">
        <f t="shared" si="56"/>
        <v/>
      </c>
      <c r="CA881" s="1852" t="str">
        <f t="shared" si="57"/>
        <v/>
      </c>
      <c r="CB881" s="1852" t="str">
        <f t="shared" si="58"/>
        <v/>
      </c>
      <c r="CC881" s="1852" t="str">
        <f t="shared" si="59"/>
        <v/>
      </c>
      <c r="CD881" s="1852" t="str">
        <f t="shared" si="60"/>
        <v/>
      </c>
      <c r="CE881" s="1852" t="str">
        <f t="shared" si="61"/>
        <v/>
      </c>
      <c r="CF881" s="1852" t="str">
        <f t="shared" si="62"/>
        <v/>
      </c>
      <c r="CG881" s="1852" t="str">
        <f t="shared" si="63"/>
        <v/>
      </c>
      <c r="CH881" s="1852" t="str">
        <f t="shared" si="64"/>
        <v/>
      </c>
      <c r="CI881" s="1852" t="str">
        <f t="shared" si="65"/>
        <v/>
      </c>
      <c r="CJ881" s="1852" t="str">
        <f t="shared" si="66"/>
        <v/>
      </c>
      <c r="CK881" s="1852" t="str">
        <f t="shared" si="67"/>
        <v/>
      </c>
      <c r="CL881" s="1852" t="str">
        <f t="shared" si="68"/>
        <v/>
      </c>
      <c r="CM881" s="1852" t="str">
        <f t="shared" si="69"/>
        <v/>
      </c>
      <c r="CN881" s="1852" t="str">
        <f t="shared" si="70"/>
        <v/>
      </c>
      <c r="CO881" s="1852" t="str">
        <f t="shared" si="71"/>
        <v/>
      </c>
      <c r="CP881" s="1852" t="str">
        <f t="shared" si="72"/>
        <v/>
      </c>
      <c r="CQ881" s="1852" t="str">
        <f t="shared" si="73"/>
        <v/>
      </c>
      <c r="CR881" s="1852" t="str">
        <f t="shared" si="74"/>
        <v/>
      </c>
      <c r="CS881" s="1852" t="str">
        <f t="shared" si="75"/>
        <v/>
      </c>
      <c r="CT881" s="1852" t="str">
        <f t="shared" si="76"/>
        <v/>
      </c>
      <c r="CU881" s="1852" t="str">
        <f t="shared" si="77"/>
        <v/>
      </c>
      <c r="CV881" s="1852" t="str">
        <f t="shared" si="78"/>
        <v/>
      </c>
      <c r="CW881" s="1852" t="str">
        <f t="shared" si="79"/>
        <v/>
      </c>
      <c r="CX881" s="1852" t="str">
        <f t="shared" si="80"/>
        <v/>
      </c>
      <c r="CY881" s="1852" t="str">
        <f t="shared" si="81"/>
        <v/>
      </c>
      <c r="CZ881" s="1852" t="str">
        <f t="shared" si="82"/>
        <v/>
      </c>
      <c r="DA881" s="1852" t="str">
        <f t="shared" si="83"/>
        <v/>
      </c>
      <c r="DB881" s="1852" t="str">
        <f t="shared" si="84"/>
        <v/>
      </c>
      <c r="DC881" s="1852" t="str">
        <f t="shared" si="85"/>
        <v/>
      </c>
      <c r="DD881" s="1852" t="str">
        <f t="shared" si="86"/>
        <v/>
      </c>
      <c r="DE881" s="1852" t="str">
        <f t="shared" si="87"/>
        <v/>
      </c>
      <c r="DF881" s="1852" t="str">
        <f t="shared" si="88"/>
        <v/>
      </c>
      <c r="DG881" s="1852" t="str">
        <f t="shared" si="89"/>
        <v/>
      </c>
      <c r="DH881" s="1852" t="str">
        <f t="shared" si="90"/>
        <v/>
      </c>
      <c r="DI881" s="1852" t="str">
        <f t="shared" si="91"/>
        <v/>
      </c>
      <c r="DJ881" s="1852" t="str">
        <f t="shared" si="92"/>
        <v/>
      </c>
      <c r="DK881" s="1852" t="str">
        <f t="shared" si="93"/>
        <v/>
      </c>
      <c r="DL881" s="1852" t="str">
        <f t="shared" si="94"/>
        <v/>
      </c>
      <c r="DM881" s="1852" t="str">
        <f t="shared" si="95"/>
        <v/>
      </c>
      <c r="DN881" s="1852" t="str">
        <f t="shared" si="96"/>
        <v/>
      </c>
      <c r="DO881" s="1852" t="str">
        <f t="shared" si="97"/>
        <v/>
      </c>
      <c r="DP881" s="1852" t="str">
        <f t="shared" si="98"/>
        <v/>
      </c>
      <c r="DQ881" s="1852" t="str">
        <f t="shared" si="99"/>
        <v/>
      </c>
      <c r="DR881" s="1852" t="str">
        <f t="shared" si="100"/>
        <v/>
      </c>
      <c r="DS881" s="1852" t="str">
        <f t="shared" si="101"/>
        <v/>
      </c>
      <c r="DT881" s="1852" t="str">
        <f t="shared" si="102"/>
        <v/>
      </c>
      <c r="DU881" s="1852" t="str">
        <f t="shared" si="103"/>
        <v/>
      </c>
      <c r="DV881" s="1852" t="str">
        <f t="shared" si="104"/>
        <v/>
      </c>
      <c r="DW881" s="1852" t="str">
        <f t="shared" si="105"/>
        <v/>
      </c>
      <c r="DX881" s="1852" t="str">
        <f t="shared" si="106"/>
        <v/>
      </c>
      <c r="DY881" s="1852" t="str">
        <f t="shared" si="107"/>
        <v/>
      </c>
      <c r="DZ881" s="1852" t="str">
        <f t="shared" si="108"/>
        <v/>
      </c>
      <c r="EA881" s="1852" t="str">
        <f t="shared" si="109"/>
        <v/>
      </c>
      <c r="EB881" s="1852" t="str">
        <f t="shared" si="110"/>
        <v/>
      </c>
      <c r="EC881" s="1852" t="str">
        <f t="shared" si="111"/>
        <v/>
      </c>
      <c r="ED881" s="1852" t="str">
        <f t="shared" si="112"/>
        <v/>
      </c>
      <c r="EE881" s="1852" t="str">
        <f t="shared" si="113"/>
        <v/>
      </c>
      <c r="EF881" s="1852" t="str">
        <f t="shared" si="114"/>
        <v/>
      </c>
      <c r="EG881" s="1852" t="str">
        <f t="shared" si="115"/>
        <v/>
      </c>
      <c r="EH881" s="1852" t="str">
        <f t="shared" si="116"/>
        <v/>
      </c>
      <c r="EI881" s="1852" t="str">
        <f t="shared" si="117"/>
        <v/>
      </c>
      <c r="EJ881" s="1852" t="str">
        <f t="shared" si="118"/>
        <v/>
      </c>
      <c r="EK881" s="1852" t="str">
        <f t="shared" si="119"/>
        <v/>
      </c>
      <c r="EL881" s="1852" t="str">
        <f t="shared" si="120"/>
        <v/>
      </c>
      <c r="EM881" s="1852" t="str">
        <f t="shared" si="121"/>
        <v/>
      </c>
      <c r="EN881" s="1852" t="str">
        <f t="shared" si="122"/>
        <v/>
      </c>
      <c r="EO881" s="1852" t="str">
        <f t="shared" si="123"/>
        <v/>
      </c>
      <c r="EP881" s="1852" t="str">
        <f t="shared" si="124"/>
        <v/>
      </c>
      <c r="EQ881" s="1852" t="str">
        <f t="shared" si="125"/>
        <v/>
      </c>
      <c r="ER881" s="1852" t="str">
        <f t="shared" si="126"/>
        <v/>
      </c>
      <c r="ES881" s="1852" t="str">
        <f t="shared" si="127"/>
        <v/>
      </c>
      <c r="ET881" s="1852" t="str">
        <f t="shared" si="128"/>
        <v/>
      </c>
      <c r="EU881" s="1852" t="str">
        <f t="shared" si="129"/>
        <v/>
      </c>
      <c r="EV881" s="1852" t="str">
        <f t="shared" si="130"/>
        <v/>
      </c>
      <c r="EW881" s="1852" t="str">
        <f t="shared" si="131"/>
        <v/>
      </c>
      <c r="EX881" s="1852" t="str">
        <f t="shared" si="132"/>
        <v/>
      </c>
      <c r="EY881" s="1852" t="str">
        <f t="shared" si="133"/>
        <v/>
      </c>
      <c r="EZ881" s="1852" t="str">
        <f t="shared" si="134"/>
        <v/>
      </c>
      <c r="FA881" s="1852" t="str">
        <f t="shared" si="135"/>
        <v/>
      </c>
      <c r="FB881" s="1852" t="str">
        <f t="shared" si="136"/>
        <v/>
      </c>
      <c r="FC881" s="1852" t="str">
        <f t="shared" si="137"/>
        <v/>
      </c>
      <c r="FD881" s="1852" t="str">
        <f t="shared" si="138"/>
        <v/>
      </c>
      <c r="FE881" s="1852" t="str">
        <f t="shared" si="139"/>
        <v/>
      </c>
      <c r="FF881" s="1852" t="str">
        <f t="shared" si="140"/>
        <v/>
      </c>
      <c r="FG881" s="1852" t="str">
        <f t="shared" si="141"/>
        <v/>
      </c>
      <c r="FH881" s="1852" t="str">
        <f t="shared" si="142"/>
        <v/>
      </c>
      <c r="FI881" s="1852" t="str">
        <f t="shared" si="143"/>
        <v/>
      </c>
      <c r="FJ881" s="1852" t="str">
        <f t="shared" si="144"/>
        <v/>
      </c>
      <c r="FK881" s="1852" t="str">
        <f t="shared" si="145"/>
        <v/>
      </c>
      <c r="FL881" s="1852" t="str">
        <f t="shared" si="146"/>
        <v/>
      </c>
      <c r="FM881" s="1852" t="str">
        <f t="shared" si="147"/>
        <v/>
      </c>
      <c r="FN881" s="1852" t="str">
        <f t="shared" si="148"/>
        <v/>
      </c>
      <c r="FO881" s="1852" t="str">
        <f t="shared" si="149"/>
        <v/>
      </c>
      <c r="FP881" s="1852" t="str">
        <f t="shared" si="150"/>
        <v/>
      </c>
      <c r="FQ881" s="1852" t="str">
        <f t="shared" si="151"/>
        <v/>
      </c>
      <c r="FR881" s="1852" t="str">
        <f t="shared" si="152"/>
        <v/>
      </c>
      <c r="FS881" s="1852" t="str">
        <f t="shared" si="153"/>
        <v/>
      </c>
      <c r="FT881" s="1852" t="str">
        <f t="shared" si="154"/>
        <v/>
      </c>
      <c r="FU881" s="1852" t="str">
        <f t="shared" si="155"/>
        <v/>
      </c>
      <c r="FV881" s="1852" t="str">
        <f t="shared" si="156"/>
        <v/>
      </c>
      <c r="FW881" s="1852" t="str">
        <f t="shared" si="157"/>
        <v/>
      </c>
      <c r="FX881" s="1852" t="str">
        <f t="shared" si="158"/>
        <v/>
      </c>
      <c r="FY881" s="1852" t="str">
        <f t="shared" si="159"/>
        <v/>
      </c>
      <c r="FZ881" s="1852" t="str">
        <f t="shared" si="160"/>
        <v/>
      </c>
      <c r="GA881" s="1852" t="str">
        <f t="shared" si="161"/>
        <v/>
      </c>
      <c r="GB881" s="1852" t="str">
        <f t="shared" si="162"/>
        <v/>
      </c>
      <c r="GC881" s="1852" t="str">
        <f t="shared" si="163"/>
        <v/>
      </c>
      <c r="GD881" s="1852" t="str">
        <f t="shared" si="164"/>
        <v/>
      </c>
      <c r="GE881" s="1852" t="str">
        <f t="shared" si="165"/>
        <v/>
      </c>
      <c r="GF881" s="1852" t="str">
        <f t="shared" si="166"/>
        <v/>
      </c>
      <c r="GG881" s="1852" t="str">
        <f t="shared" si="167"/>
        <v/>
      </c>
      <c r="GH881" s="1852" t="str">
        <f t="shared" si="168"/>
        <v/>
      </c>
      <c r="GI881" s="1852" t="str">
        <f t="shared" si="169"/>
        <v/>
      </c>
      <c r="GJ881" s="1852" t="str">
        <f t="shared" si="170"/>
        <v/>
      </c>
      <c r="GK881" s="1852" t="str">
        <f t="shared" si="171"/>
        <v/>
      </c>
      <c r="GL881" s="1852" t="str">
        <f t="shared" si="172"/>
        <v/>
      </c>
      <c r="GM881" s="1852" t="str">
        <f t="shared" si="173"/>
        <v/>
      </c>
      <c r="GN881" s="1852" t="str">
        <f t="shared" si="174"/>
        <v/>
      </c>
      <c r="GO881" s="1852" t="str">
        <f t="shared" si="175"/>
        <v/>
      </c>
      <c r="GP881" s="1852" t="str">
        <f t="shared" si="176"/>
        <v/>
      </c>
      <c r="GQ881" s="1852" t="str">
        <f t="shared" si="177"/>
        <v/>
      </c>
      <c r="GR881" s="1852" t="str">
        <f t="shared" si="178"/>
        <v/>
      </c>
      <c r="GS881" s="1852" t="str">
        <f t="shared" si="179"/>
        <v/>
      </c>
      <c r="GT881" s="1852" t="str">
        <f t="shared" si="180"/>
        <v/>
      </c>
      <c r="GU881" s="1852" t="str">
        <f t="shared" si="181"/>
        <v/>
      </c>
      <c r="GV881" s="1852" t="str">
        <f t="shared" si="182"/>
        <v/>
      </c>
      <c r="GW881" s="1852" t="str">
        <f t="shared" si="183"/>
        <v/>
      </c>
      <c r="GX881" s="1852" t="str">
        <f t="shared" si="184"/>
        <v/>
      </c>
      <c r="GY881" s="1852" t="str">
        <f t="shared" si="185"/>
        <v/>
      </c>
      <c r="GZ881" s="1852" t="str">
        <f t="shared" si="186"/>
        <v/>
      </c>
      <c r="HA881" s="1852" t="str">
        <f t="shared" si="187"/>
        <v/>
      </c>
      <c r="HB881" s="1852" t="str">
        <f t="shared" si="188"/>
        <v/>
      </c>
      <c r="HC881" s="1852" t="str">
        <f t="shared" si="189"/>
        <v/>
      </c>
      <c r="HD881" s="1852" t="str">
        <f t="shared" si="190"/>
        <v/>
      </c>
      <c r="HE881" s="1852" t="str">
        <f t="shared" si="191"/>
        <v/>
      </c>
      <c r="HF881" s="1852" t="str">
        <f t="shared" si="192"/>
        <v/>
      </c>
      <c r="HG881" s="1852" t="str">
        <f t="shared" si="193"/>
        <v/>
      </c>
      <c r="HH881" s="1852" t="str">
        <f t="shared" si="194"/>
        <v/>
      </c>
      <c r="HI881" s="1852" t="str">
        <f t="shared" si="195"/>
        <v/>
      </c>
      <c r="HJ881" s="1852" t="str">
        <f t="shared" si="196"/>
        <v/>
      </c>
      <c r="HK881" s="1852" t="str">
        <f t="shared" si="197"/>
        <v/>
      </c>
      <c r="HL881" s="1852" t="str">
        <f t="shared" si="198"/>
        <v/>
      </c>
      <c r="HM881" s="1852" t="str">
        <f t="shared" si="199"/>
        <v/>
      </c>
      <c r="HN881" s="1852" t="str">
        <f t="shared" si="200"/>
        <v/>
      </c>
      <c r="HO881" s="1852" t="str">
        <f t="shared" si="201"/>
        <v/>
      </c>
      <c r="HP881" s="1852" t="str">
        <f t="shared" si="202"/>
        <v/>
      </c>
      <c r="HQ881" s="1852" t="str">
        <f t="shared" si="203"/>
        <v/>
      </c>
      <c r="HR881" s="1852" t="str">
        <f t="shared" si="204"/>
        <v/>
      </c>
      <c r="HS881" s="1852" t="str">
        <f t="shared" si="205"/>
        <v/>
      </c>
      <c r="HT881" s="1852" t="str">
        <f t="shared" si="206"/>
        <v/>
      </c>
      <c r="HU881" s="1852" t="str">
        <f t="shared" si="207"/>
        <v/>
      </c>
      <c r="HV881" s="1852" t="str">
        <f t="shared" si="208"/>
        <v/>
      </c>
      <c r="HW881" s="1852" t="str">
        <f t="shared" si="209"/>
        <v/>
      </c>
      <c r="HX881" s="1852" t="str">
        <f t="shared" si="210"/>
        <v/>
      </c>
      <c r="HY881" s="1852" t="str">
        <f t="shared" si="211"/>
        <v/>
      </c>
      <c r="HZ881" s="2140" t="str">
        <f t="shared" si="212"/>
        <v/>
      </c>
      <c r="IA881" s="2140" t="str">
        <f t="shared" si="213"/>
        <v/>
      </c>
      <c r="IB881" s="2140" t="str">
        <f t="shared" si="214"/>
        <v/>
      </c>
      <c r="IC881" s="2140" t="str">
        <f t="shared" si="215"/>
        <v/>
      </c>
      <c r="ID881" s="2140" t="str">
        <f t="shared" si="216"/>
        <v/>
      </c>
      <c r="IE881" s="2140" t="str">
        <f t="shared" si="217"/>
        <v/>
      </c>
      <c r="IF881" s="2140" t="str">
        <f t="shared" si="218"/>
        <v/>
      </c>
      <c r="IG881" s="2140" t="str">
        <f t="shared" si="219"/>
        <v/>
      </c>
      <c r="IH881" s="2140" t="str">
        <f t="shared" si="220"/>
        <v/>
      </c>
      <c r="II881" s="2140" t="str">
        <f t="shared" si="221"/>
        <v/>
      </c>
      <c r="IJ881" s="2140" t="str">
        <f t="shared" si="222"/>
        <v/>
      </c>
      <c r="IK881" s="2140" t="str">
        <f t="shared" si="223"/>
        <v/>
      </c>
      <c r="IL881" s="2140" t="str">
        <f t="shared" si="224"/>
        <v/>
      </c>
      <c r="IM881" s="2140" t="str">
        <f t="shared" si="225"/>
        <v/>
      </c>
      <c r="IN881" s="2140" t="str">
        <f t="shared" si="226"/>
        <v/>
      </c>
      <c r="IO881" s="2140" t="str">
        <f t="shared" si="227"/>
        <v/>
      </c>
      <c r="IP881" s="2140" t="str">
        <f t="shared" si="228"/>
        <v/>
      </c>
      <c r="IQ881" s="2140" t="str">
        <f t="shared" si="229"/>
        <v/>
      </c>
      <c r="IR881" s="2140" t="str">
        <f t="shared" si="230"/>
        <v/>
      </c>
      <c r="IS881" s="2140" t="str">
        <f t="shared" si="231"/>
        <v/>
      </c>
      <c r="IT881" s="2140" t="str">
        <f t="shared" si="232"/>
        <v/>
      </c>
      <c r="IU881" s="2140" t="str">
        <f t="shared" si="233"/>
        <v/>
      </c>
      <c r="IV881" s="2140" t="str">
        <f t="shared" si="234"/>
        <v/>
      </c>
      <c r="IW881" s="2140" t="str">
        <f t="shared" si="235"/>
        <v/>
      </c>
      <c r="IX881" s="2140" t="str">
        <f t="shared" si="236"/>
        <v/>
      </c>
      <c r="IY881" s="2140" t="str">
        <f t="shared" si="237"/>
        <v/>
      </c>
      <c r="IZ881" s="2140" t="str">
        <f t="shared" si="238"/>
        <v/>
      </c>
      <c r="JA881" s="2140" t="str">
        <f t="shared" si="239"/>
        <v/>
      </c>
      <c r="JB881" s="2140" t="str">
        <f t="shared" si="240"/>
        <v/>
      </c>
      <c r="JC881" s="2140" t="str">
        <f t="shared" si="241"/>
        <v/>
      </c>
      <c r="JD881" s="2140" t="str">
        <f t="shared" si="242"/>
        <v/>
      </c>
      <c r="JE881" s="2140" t="str">
        <f t="shared" si="243"/>
        <v/>
      </c>
      <c r="JF881" s="2140" t="str">
        <f t="shared" si="244"/>
        <v/>
      </c>
      <c r="JG881" s="2140" t="str">
        <f t="shared" si="245"/>
        <v/>
      </c>
      <c r="JH881" s="2140" t="str">
        <f t="shared" si="246"/>
        <v/>
      </c>
      <c r="JI881" s="2140" t="str">
        <f t="shared" si="247"/>
        <v/>
      </c>
      <c r="JJ881" s="2140" t="str">
        <f t="shared" si="248"/>
        <v/>
      </c>
      <c r="JK881" s="2140" t="str">
        <f t="shared" si="249"/>
        <v/>
      </c>
      <c r="JL881" s="2140" t="str">
        <f t="shared" si="250"/>
        <v/>
      </c>
      <c r="JM881" s="2140" t="str">
        <f t="shared" si="251"/>
        <v/>
      </c>
      <c r="JN881" s="2140" t="str">
        <f t="shared" si="252"/>
        <v/>
      </c>
      <c r="JO881" s="2140" t="str">
        <f t="shared" si="253"/>
        <v/>
      </c>
      <c r="JP881" s="2140" t="str">
        <f t="shared" si="254"/>
        <v/>
      </c>
      <c r="JQ881" s="2140" t="str">
        <f t="shared" si="255"/>
        <v/>
      </c>
      <c r="JR881" s="2140" t="str">
        <f t="shared" si="256"/>
        <v/>
      </c>
      <c r="JS881" s="2140" t="str">
        <f t="shared" si="257"/>
        <v/>
      </c>
      <c r="JT881" s="2140" t="str">
        <f t="shared" si="258"/>
        <v/>
      </c>
      <c r="JU881" s="2140" t="str">
        <f t="shared" si="259"/>
        <v/>
      </c>
      <c r="JV881" s="2140" t="str">
        <f t="shared" si="260"/>
        <v/>
      </c>
      <c r="JW881" s="2140" t="str">
        <f t="shared" si="261"/>
        <v/>
      </c>
      <c r="JX881" s="2140" t="str">
        <f t="shared" si="262"/>
        <v/>
      </c>
      <c r="JY881" s="2140" t="str">
        <f t="shared" si="263"/>
        <v/>
      </c>
      <c r="JZ881" s="2140" t="str">
        <f t="shared" si="264"/>
        <v/>
      </c>
      <c r="KA881" s="2140" t="str">
        <f t="shared" si="265"/>
        <v/>
      </c>
      <c r="KB881" s="2140" t="str">
        <f t="shared" si="266"/>
        <v/>
      </c>
      <c r="KC881" s="2140" t="str">
        <f t="shared" si="267"/>
        <v/>
      </c>
      <c r="KD881" s="2140" t="str">
        <f t="shared" si="268"/>
        <v/>
      </c>
      <c r="KE881" s="2140" t="str">
        <f t="shared" si="269"/>
        <v/>
      </c>
      <c r="KF881" s="2140" t="str">
        <f t="shared" si="270"/>
        <v/>
      </c>
      <c r="KG881" s="2140" t="str">
        <f t="shared" si="271"/>
        <v/>
      </c>
      <c r="KH881" s="2140" t="str">
        <f t="shared" si="272"/>
        <v/>
      </c>
      <c r="KI881" s="2140" t="str">
        <f t="shared" si="273"/>
        <v/>
      </c>
      <c r="KJ881" s="2140" t="str">
        <f t="shared" si="274"/>
        <v/>
      </c>
      <c r="KK881" s="2140" t="str">
        <f t="shared" si="275"/>
        <v/>
      </c>
      <c r="KL881" s="2140" t="str">
        <f t="shared" si="276"/>
        <v/>
      </c>
      <c r="KM881" s="2140" t="str">
        <f t="shared" si="277"/>
        <v/>
      </c>
      <c r="KN881" s="2140" t="str">
        <f t="shared" si="278"/>
        <v/>
      </c>
      <c r="KO881" s="2140" t="str">
        <f t="shared" si="279"/>
        <v/>
      </c>
      <c r="KP881" s="2140" t="str">
        <f t="shared" si="280"/>
        <v/>
      </c>
      <c r="KQ881" s="2140" t="str">
        <f t="shared" si="281"/>
        <v/>
      </c>
      <c r="KR881" s="2140" t="str">
        <f t="shared" si="282"/>
        <v/>
      </c>
      <c r="KS881" s="2140" t="str">
        <f t="shared" si="283"/>
        <v/>
      </c>
      <c r="KT881" s="2140" t="str">
        <f t="shared" si="284"/>
        <v/>
      </c>
      <c r="KU881" s="2140" t="str">
        <f t="shared" si="285"/>
        <v/>
      </c>
      <c r="KV881" s="2140" t="str">
        <f t="shared" si="286"/>
        <v/>
      </c>
      <c r="KW881" s="2140" t="str">
        <f t="shared" si="287"/>
        <v/>
      </c>
      <c r="KX881" s="2140" t="str">
        <f t="shared" si="288"/>
        <v/>
      </c>
      <c r="KY881" s="2140" t="str">
        <f t="shared" si="289"/>
        <v/>
      </c>
      <c r="KZ881" s="2140" t="str">
        <f t="shared" si="290"/>
        <v/>
      </c>
      <c r="LA881" s="2140" t="str">
        <f t="shared" si="291"/>
        <v/>
      </c>
      <c r="LB881" s="2140" t="str">
        <f t="shared" si="292"/>
        <v/>
      </c>
      <c r="LC881" s="2140" t="str">
        <f t="shared" si="293"/>
        <v/>
      </c>
      <c r="LD881" s="2140" t="str">
        <f t="shared" si="294"/>
        <v/>
      </c>
      <c r="LE881" s="2140" t="str">
        <f t="shared" si="295"/>
        <v/>
      </c>
      <c r="LF881" s="2140" t="str">
        <f t="shared" si="296"/>
        <v/>
      </c>
      <c r="LG881" s="2051" t="str">
        <f t="shared" si="297"/>
        <v/>
      </c>
      <c r="LH881" s="2051" t="str">
        <f t="shared" si="298"/>
        <v/>
      </c>
      <c r="LI881" s="2051" t="str">
        <f t="shared" si="299"/>
        <v/>
      </c>
      <c r="LJ881" s="2051" t="str">
        <f t="shared" si="300"/>
        <v/>
      </c>
      <c r="LK881" s="2051" t="str">
        <f t="shared" si="301"/>
        <v/>
      </c>
      <c r="LL881" s="1852" t="str">
        <f t="shared" si="302"/>
        <v/>
      </c>
      <c r="LM881" s="1852" t="str">
        <f t="shared" si="303"/>
        <v/>
      </c>
      <c r="LN881" s="1852" t="str">
        <f t="shared" si="304"/>
        <v/>
      </c>
      <c r="LO881" s="1852" t="str">
        <f t="shared" si="305"/>
        <v/>
      </c>
      <c r="LP881" s="1852" t="str">
        <f t="shared" si="306"/>
        <v/>
      </c>
      <c r="LQ881" s="1852" t="str">
        <f t="shared" si="307"/>
        <v/>
      </c>
      <c r="LR881" s="1852" t="str">
        <f t="shared" si="308"/>
        <v/>
      </c>
      <c r="LS881" s="1852" t="str">
        <f t="shared" si="309"/>
        <v/>
      </c>
      <c r="LT881" s="1852" t="str">
        <f t="shared" si="310"/>
        <v/>
      </c>
      <c r="LU881" s="1852" t="str">
        <f t="shared" si="311"/>
        <v/>
      </c>
      <c r="LV881" s="1852" t="str">
        <f t="shared" si="312"/>
        <v/>
      </c>
      <c r="LW881" s="1852" t="str">
        <f t="shared" si="313"/>
        <v/>
      </c>
      <c r="LX881" s="1852" t="str">
        <f t="shared" si="314"/>
        <v/>
      </c>
      <c r="LY881" s="1852" t="str">
        <f t="shared" si="315"/>
        <v/>
      </c>
      <c r="LZ881" s="1852" t="str">
        <f t="shared" si="316"/>
        <v/>
      </c>
      <c r="MA881" s="1852" t="str">
        <f t="shared" si="317"/>
        <v/>
      </c>
      <c r="MB881" s="1852" t="str">
        <f t="shared" si="318"/>
        <v/>
      </c>
      <c r="MC881" s="1852" t="str">
        <f t="shared" si="319"/>
        <v/>
      </c>
      <c r="MD881" s="1852" t="str">
        <f t="shared" si="320"/>
        <v/>
      </c>
      <c r="ME881" s="1852" t="str">
        <f t="shared" si="321"/>
        <v/>
      </c>
      <c r="MF881" s="2051">
        <f t="shared" si="328"/>
        <v>0</v>
      </c>
      <c r="MG881" s="2051">
        <f t="shared" si="329"/>
        <v>0</v>
      </c>
      <c r="MH881" s="2051">
        <f t="shared" si="330"/>
        <v>0</v>
      </c>
      <c r="MI881" s="2051">
        <f t="shared" si="331"/>
        <v>0</v>
      </c>
      <c r="MJ881" s="2051">
        <f t="shared" si="332"/>
        <v>0</v>
      </c>
      <c r="MK881" s="2051">
        <f t="shared" si="333"/>
        <v>0</v>
      </c>
      <c r="ML881" s="2051">
        <f t="shared" si="334"/>
        <v>0</v>
      </c>
      <c r="MM881" s="2051">
        <f t="shared" si="335"/>
        <v>0</v>
      </c>
      <c r="MN881" s="2051">
        <f t="shared" si="336"/>
        <v>0</v>
      </c>
      <c r="MO881" s="2051">
        <f t="shared" si="337"/>
        <v>0</v>
      </c>
      <c r="MP881" s="2051">
        <f t="shared" si="322"/>
        <v>0</v>
      </c>
      <c r="MQ881" s="2051">
        <f t="shared" si="323"/>
        <v>0</v>
      </c>
      <c r="MR881" s="2051">
        <f t="shared" si="324"/>
        <v>0</v>
      </c>
      <c r="MS881" s="2051">
        <f t="shared" si="325"/>
        <v>0</v>
      </c>
      <c r="MT881" s="2051">
        <f t="shared" si="326"/>
        <v>0</v>
      </c>
      <c r="NP881" s="1924" t="s">
        <v>6750</v>
      </c>
    </row>
    <row r="882" spans="1:380" s="1852" customFormat="1" ht="13.9" customHeight="1">
      <c r="A882" s="2108" t="str">
        <f t="shared" si="327"/>
        <v/>
      </c>
      <c r="B882" s="2130">
        <f>'Part VI-Revenues &amp; Expenses'!B42</f>
        <v>0</v>
      </c>
      <c r="C882" s="2131">
        <f>'Part VI-Revenues &amp; Expenses'!C42</f>
        <v>0</v>
      </c>
      <c r="D882" s="2132">
        <f>'Part VI-Revenues &amp; Expenses'!D42</f>
        <v>0</v>
      </c>
      <c r="E882" s="2133">
        <f>'Part VI-Revenues &amp; Expenses'!E42</f>
        <v>0</v>
      </c>
      <c r="F882" s="2133">
        <f>'Part VI-Revenues &amp; Expenses'!F42</f>
        <v>0</v>
      </c>
      <c r="G882" s="2133">
        <f>'Part VI-Revenues &amp; Expenses'!G42</f>
        <v>0</v>
      </c>
      <c r="H882" s="2133">
        <f>'Part VI-Revenues &amp; Expenses'!H42</f>
        <v>0</v>
      </c>
      <c r="I882" s="2133">
        <f>'Part VI-Revenues &amp; Expenses'!I42</f>
        <v>0</v>
      </c>
      <c r="J882" s="2133">
        <f>'Part VI-Revenues &amp; Expenses'!J42</f>
        <v>0</v>
      </c>
      <c r="K882" s="2134">
        <f>'Part VI-Revenues &amp; Expenses'!K42</f>
        <v>0</v>
      </c>
      <c r="L882" s="2135">
        <f t="shared" si="0"/>
        <v>0</v>
      </c>
      <c r="M882" s="2135">
        <f t="shared" si="1"/>
        <v>0</v>
      </c>
      <c r="N882" s="1916">
        <f>'Part VI-Revenues &amp; Expenses'!N42</f>
        <v>0</v>
      </c>
      <c r="O882" s="2136">
        <f>'Part VI-Revenues &amp; Expenses'!O42</f>
        <v>0</v>
      </c>
      <c r="P882" s="1916">
        <f>'Part VI-Revenues &amp; Expenses'!P42</f>
        <v>0</v>
      </c>
      <c r="Q882" s="2137">
        <f>'Part VI-Revenues &amp; Expenses'!Q42</f>
        <v>0</v>
      </c>
      <c r="R882" s="2138"/>
      <c r="S882" s="2139"/>
      <c r="T882" s="2043"/>
      <c r="U882" s="2043"/>
      <c r="V882" s="2043"/>
      <c r="W882" s="2043"/>
      <c r="X882" s="1852" t="str">
        <f t="shared" si="2"/>
        <v/>
      </c>
      <c r="Y882" s="1852" t="str">
        <f t="shared" si="3"/>
        <v/>
      </c>
      <c r="Z882" s="1852" t="str">
        <f t="shared" si="4"/>
        <v/>
      </c>
      <c r="AA882" s="1852" t="str">
        <f t="shared" si="5"/>
        <v/>
      </c>
      <c r="AB882" s="1852" t="str">
        <f t="shared" si="6"/>
        <v/>
      </c>
      <c r="AC882" s="1852" t="str">
        <f t="shared" si="7"/>
        <v/>
      </c>
      <c r="AD882" s="1852" t="str">
        <f t="shared" si="8"/>
        <v/>
      </c>
      <c r="AE882" s="1852" t="str">
        <f t="shared" si="9"/>
        <v/>
      </c>
      <c r="AF882" s="1852" t="str">
        <f t="shared" si="10"/>
        <v/>
      </c>
      <c r="AG882" s="1852" t="str">
        <f t="shared" si="11"/>
        <v/>
      </c>
      <c r="AH882" s="1852" t="str">
        <f t="shared" si="12"/>
        <v/>
      </c>
      <c r="AI882" s="1852" t="str">
        <f t="shared" si="13"/>
        <v/>
      </c>
      <c r="AJ882" s="1852" t="str">
        <f t="shared" si="14"/>
        <v/>
      </c>
      <c r="AK882" s="1852" t="str">
        <f t="shared" si="15"/>
        <v/>
      </c>
      <c r="AL882" s="1852" t="str">
        <f t="shared" si="16"/>
        <v/>
      </c>
      <c r="AM882" s="1852" t="str">
        <f t="shared" si="17"/>
        <v/>
      </c>
      <c r="AN882" s="1852" t="str">
        <f t="shared" si="18"/>
        <v/>
      </c>
      <c r="AO882" s="1852" t="str">
        <f t="shared" si="19"/>
        <v/>
      </c>
      <c r="AP882" s="1852" t="str">
        <f t="shared" si="20"/>
        <v/>
      </c>
      <c r="AQ882" s="1852" t="str">
        <f t="shared" si="21"/>
        <v/>
      </c>
      <c r="AR882" s="1852" t="str">
        <f t="shared" si="22"/>
        <v/>
      </c>
      <c r="AS882" s="1852" t="str">
        <f t="shared" si="23"/>
        <v/>
      </c>
      <c r="AT882" s="1852" t="str">
        <f t="shared" si="24"/>
        <v/>
      </c>
      <c r="AU882" s="1852" t="str">
        <f t="shared" si="25"/>
        <v/>
      </c>
      <c r="AV882" s="1852" t="str">
        <f t="shared" si="26"/>
        <v/>
      </c>
      <c r="AW882" s="1852" t="str">
        <f t="shared" si="27"/>
        <v/>
      </c>
      <c r="AX882" s="1852" t="str">
        <f t="shared" si="28"/>
        <v/>
      </c>
      <c r="AY882" s="1852" t="str">
        <f t="shared" si="29"/>
        <v/>
      </c>
      <c r="AZ882" s="1852" t="str">
        <f t="shared" si="30"/>
        <v/>
      </c>
      <c r="BA882" s="1852" t="str">
        <f t="shared" si="31"/>
        <v/>
      </c>
      <c r="BB882" s="1852" t="str">
        <f t="shared" si="32"/>
        <v/>
      </c>
      <c r="BC882" s="1852" t="str">
        <f t="shared" si="33"/>
        <v/>
      </c>
      <c r="BD882" s="1852" t="str">
        <f t="shared" si="34"/>
        <v/>
      </c>
      <c r="BE882" s="1852" t="str">
        <f t="shared" si="35"/>
        <v/>
      </c>
      <c r="BF882" s="1852" t="str">
        <f t="shared" si="36"/>
        <v/>
      </c>
      <c r="BG882" s="1852" t="str">
        <f t="shared" si="37"/>
        <v/>
      </c>
      <c r="BH882" s="1852" t="str">
        <f t="shared" si="38"/>
        <v/>
      </c>
      <c r="BI882" s="1852" t="str">
        <f t="shared" si="39"/>
        <v/>
      </c>
      <c r="BJ882" s="1852" t="str">
        <f t="shared" si="40"/>
        <v/>
      </c>
      <c r="BK882" s="1852" t="str">
        <f t="shared" si="41"/>
        <v/>
      </c>
      <c r="BL882" s="1852" t="str">
        <f t="shared" si="42"/>
        <v/>
      </c>
      <c r="BM882" s="1852" t="str">
        <f t="shared" si="43"/>
        <v/>
      </c>
      <c r="BN882" s="1852" t="str">
        <f t="shared" si="44"/>
        <v/>
      </c>
      <c r="BO882" s="1852" t="str">
        <f t="shared" si="45"/>
        <v/>
      </c>
      <c r="BP882" s="1852" t="str">
        <f t="shared" si="46"/>
        <v/>
      </c>
      <c r="BQ882" s="1852" t="str">
        <f t="shared" si="47"/>
        <v/>
      </c>
      <c r="BR882" s="1852" t="str">
        <f t="shared" si="48"/>
        <v/>
      </c>
      <c r="BS882" s="1852" t="str">
        <f t="shared" si="49"/>
        <v/>
      </c>
      <c r="BT882" s="1852" t="str">
        <f t="shared" si="50"/>
        <v/>
      </c>
      <c r="BU882" s="1852" t="str">
        <f t="shared" si="51"/>
        <v/>
      </c>
      <c r="BV882" s="1852" t="str">
        <f t="shared" si="52"/>
        <v/>
      </c>
      <c r="BW882" s="1852" t="str">
        <f t="shared" si="53"/>
        <v/>
      </c>
      <c r="BX882" s="1852" t="str">
        <f t="shared" si="54"/>
        <v/>
      </c>
      <c r="BY882" s="1852" t="str">
        <f t="shared" si="55"/>
        <v/>
      </c>
      <c r="BZ882" s="1852" t="str">
        <f t="shared" si="56"/>
        <v/>
      </c>
      <c r="CA882" s="1852" t="str">
        <f t="shared" si="57"/>
        <v/>
      </c>
      <c r="CB882" s="1852" t="str">
        <f t="shared" si="58"/>
        <v/>
      </c>
      <c r="CC882" s="1852" t="str">
        <f t="shared" si="59"/>
        <v/>
      </c>
      <c r="CD882" s="1852" t="str">
        <f t="shared" si="60"/>
        <v/>
      </c>
      <c r="CE882" s="1852" t="str">
        <f t="shared" si="61"/>
        <v/>
      </c>
      <c r="CF882" s="1852" t="str">
        <f t="shared" si="62"/>
        <v/>
      </c>
      <c r="CG882" s="1852" t="str">
        <f t="shared" si="63"/>
        <v/>
      </c>
      <c r="CH882" s="1852" t="str">
        <f t="shared" si="64"/>
        <v/>
      </c>
      <c r="CI882" s="1852" t="str">
        <f t="shared" si="65"/>
        <v/>
      </c>
      <c r="CJ882" s="1852" t="str">
        <f t="shared" si="66"/>
        <v/>
      </c>
      <c r="CK882" s="1852" t="str">
        <f t="shared" si="67"/>
        <v/>
      </c>
      <c r="CL882" s="1852" t="str">
        <f t="shared" si="68"/>
        <v/>
      </c>
      <c r="CM882" s="1852" t="str">
        <f t="shared" si="69"/>
        <v/>
      </c>
      <c r="CN882" s="1852" t="str">
        <f t="shared" si="70"/>
        <v/>
      </c>
      <c r="CO882" s="1852" t="str">
        <f t="shared" si="71"/>
        <v/>
      </c>
      <c r="CP882" s="1852" t="str">
        <f t="shared" si="72"/>
        <v/>
      </c>
      <c r="CQ882" s="1852" t="str">
        <f t="shared" si="73"/>
        <v/>
      </c>
      <c r="CR882" s="1852" t="str">
        <f t="shared" si="74"/>
        <v/>
      </c>
      <c r="CS882" s="1852" t="str">
        <f t="shared" si="75"/>
        <v/>
      </c>
      <c r="CT882" s="1852" t="str">
        <f t="shared" si="76"/>
        <v/>
      </c>
      <c r="CU882" s="1852" t="str">
        <f t="shared" si="77"/>
        <v/>
      </c>
      <c r="CV882" s="1852" t="str">
        <f t="shared" si="78"/>
        <v/>
      </c>
      <c r="CW882" s="1852" t="str">
        <f t="shared" si="79"/>
        <v/>
      </c>
      <c r="CX882" s="1852" t="str">
        <f t="shared" si="80"/>
        <v/>
      </c>
      <c r="CY882" s="1852" t="str">
        <f t="shared" si="81"/>
        <v/>
      </c>
      <c r="CZ882" s="1852" t="str">
        <f t="shared" si="82"/>
        <v/>
      </c>
      <c r="DA882" s="1852" t="str">
        <f t="shared" si="83"/>
        <v/>
      </c>
      <c r="DB882" s="1852" t="str">
        <f t="shared" si="84"/>
        <v/>
      </c>
      <c r="DC882" s="1852" t="str">
        <f t="shared" si="85"/>
        <v/>
      </c>
      <c r="DD882" s="1852" t="str">
        <f t="shared" si="86"/>
        <v/>
      </c>
      <c r="DE882" s="1852" t="str">
        <f t="shared" si="87"/>
        <v/>
      </c>
      <c r="DF882" s="1852" t="str">
        <f t="shared" si="88"/>
        <v/>
      </c>
      <c r="DG882" s="1852" t="str">
        <f t="shared" si="89"/>
        <v/>
      </c>
      <c r="DH882" s="1852" t="str">
        <f t="shared" si="90"/>
        <v/>
      </c>
      <c r="DI882" s="1852" t="str">
        <f t="shared" si="91"/>
        <v/>
      </c>
      <c r="DJ882" s="1852" t="str">
        <f t="shared" si="92"/>
        <v/>
      </c>
      <c r="DK882" s="1852" t="str">
        <f t="shared" si="93"/>
        <v/>
      </c>
      <c r="DL882" s="1852" t="str">
        <f t="shared" si="94"/>
        <v/>
      </c>
      <c r="DM882" s="1852" t="str">
        <f t="shared" si="95"/>
        <v/>
      </c>
      <c r="DN882" s="1852" t="str">
        <f t="shared" si="96"/>
        <v/>
      </c>
      <c r="DO882" s="1852" t="str">
        <f t="shared" si="97"/>
        <v/>
      </c>
      <c r="DP882" s="1852" t="str">
        <f t="shared" si="98"/>
        <v/>
      </c>
      <c r="DQ882" s="1852" t="str">
        <f t="shared" si="99"/>
        <v/>
      </c>
      <c r="DR882" s="1852" t="str">
        <f t="shared" si="100"/>
        <v/>
      </c>
      <c r="DS882" s="1852" t="str">
        <f t="shared" si="101"/>
        <v/>
      </c>
      <c r="DT882" s="1852" t="str">
        <f t="shared" si="102"/>
        <v/>
      </c>
      <c r="DU882" s="1852" t="str">
        <f t="shared" si="103"/>
        <v/>
      </c>
      <c r="DV882" s="1852" t="str">
        <f t="shared" si="104"/>
        <v/>
      </c>
      <c r="DW882" s="1852" t="str">
        <f t="shared" si="105"/>
        <v/>
      </c>
      <c r="DX882" s="1852" t="str">
        <f t="shared" si="106"/>
        <v/>
      </c>
      <c r="DY882" s="1852" t="str">
        <f t="shared" si="107"/>
        <v/>
      </c>
      <c r="DZ882" s="1852" t="str">
        <f t="shared" si="108"/>
        <v/>
      </c>
      <c r="EA882" s="1852" t="str">
        <f t="shared" si="109"/>
        <v/>
      </c>
      <c r="EB882" s="1852" t="str">
        <f t="shared" si="110"/>
        <v/>
      </c>
      <c r="EC882" s="1852" t="str">
        <f t="shared" si="111"/>
        <v/>
      </c>
      <c r="ED882" s="1852" t="str">
        <f t="shared" si="112"/>
        <v/>
      </c>
      <c r="EE882" s="1852" t="str">
        <f t="shared" si="113"/>
        <v/>
      </c>
      <c r="EF882" s="1852" t="str">
        <f t="shared" si="114"/>
        <v/>
      </c>
      <c r="EG882" s="1852" t="str">
        <f t="shared" si="115"/>
        <v/>
      </c>
      <c r="EH882" s="1852" t="str">
        <f t="shared" si="116"/>
        <v/>
      </c>
      <c r="EI882" s="1852" t="str">
        <f t="shared" si="117"/>
        <v/>
      </c>
      <c r="EJ882" s="1852" t="str">
        <f t="shared" si="118"/>
        <v/>
      </c>
      <c r="EK882" s="1852" t="str">
        <f t="shared" si="119"/>
        <v/>
      </c>
      <c r="EL882" s="1852" t="str">
        <f t="shared" si="120"/>
        <v/>
      </c>
      <c r="EM882" s="1852" t="str">
        <f t="shared" si="121"/>
        <v/>
      </c>
      <c r="EN882" s="1852" t="str">
        <f t="shared" si="122"/>
        <v/>
      </c>
      <c r="EO882" s="1852" t="str">
        <f t="shared" si="123"/>
        <v/>
      </c>
      <c r="EP882" s="1852" t="str">
        <f t="shared" si="124"/>
        <v/>
      </c>
      <c r="EQ882" s="1852" t="str">
        <f t="shared" si="125"/>
        <v/>
      </c>
      <c r="ER882" s="1852" t="str">
        <f t="shared" si="126"/>
        <v/>
      </c>
      <c r="ES882" s="1852" t="str">
        <f t="shared" si="127"/>
        <v/>
      </c>
      <c r="ET882" s="1852" t="str">
        <f t="shared" si="128"/>
        <v/>
      </c>
      <c r="EU882" s="1852" t="str">
        <f t="shared" si="129"/>
        <v/>
      </c>
      <c r="EV882" s="1852" t="str">
        <f t="shared" si="130"/>
        <v/>
      </c>
      <c r="EW882" s="1852" t="str">
        <f t="shared" si="131"/>
        <v/>
      </c>
      <c r="EX882" s="1852" t="str">
        <f t="shared" si="132"/>
        <v/>
      </c>
      <c r="EY882" s="1852" t="str">
        <f t="shared" si="133"/>
        <v/>
      </c>
      <c r="EZ882" s="1852" t="str">
        <f t="shared" si="134"/>
        <v/>
      </c>
      <c r="FA882" s="1852" t="str">
        <f t="shared" si="135"/>
        <v/>
      </c>
      <c r="FB882" s="1852" t="str">
        <f t="shared" si="136"/>
        <v/>
      </c>
      <c r="FC882" s="1852" t="str">
        <f t="shared" si="137"/>
        <v/>
      </c>
      <c r="FD882" s="1852" t="str">
        <f t="shared" si="138"/>
        <v/>
      </c>
      <c r="FE882" s="1852" t="str">
        <f t="shared" si="139"/>
        <v/>
      </c>
      <c r="FF882" s="1852" t="str">
        <f t="shared" si="140"/>
        <v/>
      </c>
      <c r="FG882" s="1852" t="str">
        <f t="shared" si="141"/>
        <v/>
      </c>
      <c r="FH882" s="1852" t="str">
        <f t="shared" si="142"/>
        <v/>
      </c>
      <c r="FI882" s="1852" t="str">
        <f t="shared" si="143"/>
        <v/>
      </c>
      <c r="FJ882" s="1852" t="str">
        <f t="shared" si="144"/>
        <v/>
      </c>
      <c r="FK882" s="1852" t="str">
        <f t="shared" si="145"/>
        <v/>
      </c>
      <c r="FL882" s="1852" t="str">
        <f t="shared" si="146"/>
        <v/>
      </c>
      <c r="FM882" s="1852" t="str">
        <f t="shared" si="147"/>
        <v/>
      </c>
      <c r="FN882" s="1852" t="str">
        <f t="shared" si="148"/>
        <v/>
      </c>
      <c r="FO882" s="1852" t="str">
        <f t="shared" si="149"/>
        <v/>
      </c>
      <c r="FP882" s="1852" t="str">
        <f t="shared" si="150"/>
        <v/>
      </c>
      <c r="FQ882" s="1852" t="str">
        <f t="shared" si="151"/>
        <v/>
      </c>
      <c r="FR882" s="1852" t="str">
        <f t="shared" si="152"/>
        <v/>
      </c>
      <c r="FS882" s="1852" t="str">
        <f t="shared" si="153"/>
        <v/>
      </c>
      <c r="FT882" s="1852" t="str">
        <f t="shared" si="154"/>
        <v/>
      </c>
      <c r="FU882" s="1852" t="str">
        <f t="shared" si="155"/>
        <v/>
      </c>
      <c r="FV882" s="1852" t="str">
        <f t="shared" si="156"/>
        <v/>
      </c>
      <c r="FW882" s="1852" t="str">
        <f t="shared" si="157"/>
        <v/>
      </c>
      <c r="FX882" s="1852" t="str">
        <f t="shared" si="158"/>
        <v/>
      </c>
      <c r="FY882" s="1852" t="str">
        <f t="shared" si="159"/>
        <v/>
      </c>
      <c r="FZ882" s="1852" t="str">
        <f t="shared" si="160"/>
        <v/>
      </c>
      <c r="GA882" s="1852" t="str">
        <f t="shared" si="161"/>
        <v/>
      </c>
      <c r="GB882" s="1852" t="str">
        <f t="shared" si="162"/>
        <v/>
      </c>
      <c r="GC882" s="1852" t="str">
        <f t="shared" si="163"/>
        <v/>
      </c>
      <c r="GD882" s="1852" t="str">
        <f t="shared" si="164"/>
        <v/>
      </c>
      <c r="GE882" s="1852" t="str">
        <f t="shared" si="165"/>
        <v/>
      </c>
      <c r="GF882" s="1852" t="str">
        <f t="shared" si="166"/>
        <v/>
      </c>
      <c r="GG882" s="1852" t="str">
        <f t="shared" si="167"/>
        <v/>
      </c>
      <c r="GH882" s="1852" t="str">
        <f t="shared" si="168"/>
        <v/>
      </c>
      <c r="GI882" s="1852" t="str">
        <f t="shared" si="169"/>
        <v/>
      </c>
      <c r="GJ882" s="1852" t="str">
        <f t="shared" si="170"/>
        <v/>
      </c>
      <c r="GK882" s="1852" t="str">
        <f t="shared" si="171"/>
        <v/>
      </c>
      <c r="GL882" s="1852" t="str">
        <f t="shared" si="172"/>
        <v/>
      </c>
      <c r="GM882" s="1852" t="str">
        <f t="shared" si="173"/>
        <v/>
      </c>
      <c r="GN882" s="1852" t="str">
        <f t="shared" si="174"/>
        <v/>
      </c>
      <c r="GO882" s="1852" t="str">
        <f t="shared" si="175"/>
        <v/>
      </c>
      <c r="GP882" s="1852" t="str">
        <f t="shared" si="176"/>
        <v/>
      </c>
      <c r="GQ882" s="1852" t="str">
        <f t="shared" si="177"/>
        <v/>
      </c>
      <c r="GR882" s="1852" t="str">
        <f t="shared" si="178"/>
        <v/>
      </c>
      <c r="GS882" s="1852" t="str">
        <f t="shared" si="179"/>
        <v/>
      </c>
      <c r="GT882" s="1852" t="str">
        <f t="shared" si="180"/>
        <v/>
      </c>
      <c r="GU882" s="1852" t="str">
        <f t="shared" si="181"/>
        <v/>
      </c>
      <c r="GV882" s="1852" t="str">
        <f t="shared" si="182"/>
        <v/>
      </c>
      <c r="GW882" s="1852" t="str">
        <f t="shared" si="183"/>
        <v/>
      </c>
      <c r="GX882" s="1852" t="str">
        <f t="shared" si="184"/>
        <v/>
      </c>
      <c r="GY882" s="1852" t="str">
        <f t="shared" si="185"/>
        <v/>
      </c>
      <c r="GZ882" s="1852" t="str">
        <f t="shared" si="186"/>
        <v/>
      </c>
      <c r="HA882" s="1852" t="str">
        <f t="shared" si="187"/>
        <v/>
      </c>
      <c r="HB882" s="1852" t="str">
        <f t="shared" si="188"/>
        <v/>
      </c>
      <c r="HC882" s="1852" t="str">
        <f t="shared" si="189"/>
        <v/>
      </c>
      <c r="HD882" s="1852" t="str">
        <f t="shared" si="190"/>
        <v/>
      </c>
      <c r="HE882" s="1852" t="str">
        <f t="shared" si="191"/>
        <v/>
      </c>
      <c r="HF882" s="1852" t="str">
        <f t="shared" si="192"/>
        <v/>
      </c>
      <c r="HG882" s="1852" t="str">
        <f t="shared" si="193"/>
        <v/>
      </c>
      <c r="HH882" s="1852" t="str">
        <f t="shared" si="194"/>
        <v/>
      </c>
      <c r="HI882" s="1852" t="str">
        <f t="shared" si="195"/>
        <v/>
      </c>
      <c r="HJ882" s="1852" t="str">
        <f t="shared" si="196"/>
        <v/>
      </c>
      <c r="HK882" s="1852" t="str">
        <f t="shared" si="197"/>
        <v/>
      </c>
      <c r="HL882" s="1852" t="str">
        <f t="shared" si="198"/>
        <v/>
      </c>
      <c r="HM882" s="1852" t="str">
        <f t="shared" si="199"/>
        <v/>
      </c>
      <c r="HN882" s="1852" t="str">
        <f t="shared" si="200"/>
        <v/>
      </c>
      <c r="HO882" s="1852" t="str">
        <f t="shared" si="201"/>
        <v/>
      </c>
      <c r="HP882" s="1852" t="str">
        <f t="shared" si="202"/>
        <v/>
      </c>
      <c r="HQ882" s="1852" t="str">
        <f t="shared" si="203"/>
        <v/>
      </c>
      <c r="HR882" s="1852" t="str">
        <f t="shared" si="204"/>
        <v/>
      </c>
      <c r="HS882" s="1852" t="str">
        <f t="shared" si="205"/>
        <v/>
      </c>
      <c r="HT882" s="1852" t="str">
        <f t="shared" si="206"/>
        <v/>
      </c>
      <c r="HU882" s="1852" t="str">
        <f t="shared" si="207"/>
        <v/>
      </c>
      <c r="HV882" s="1852" t="str">
        <f t="shared" si="208"/>
        <v/>
      </c>
      <c r="HW882" s="1852" t="str">
        <f t="shared" si="209"/>
        <v/>
      </c>
      <c r="HX882" s="1852" t="str">
        <f t="shared" si="210"/>
        <v/>
      </c>
      <c r="HY882" s="1852" t="str">
        <f t="shared" si="211"/>
        <v/>
      </c>
      <c r="HZ882" s="2140" t="str">
        <f t="shared" si="212"/>
        <v/>
      </c>
      <c r="IA882" s="2140" t="str">
        <f t="shared" si="213"/>
        <v/>
      </c>
      <c r="IB882" s="2140" t="str">
        <f t="shared" si="214"/>
        <v/>
      </c>
      <c r="IC882" s="2140" t="str">
        <f t="shared" si="215"/>
        <v/>
      </c>
      <c r="ID882" s="2140" t="str">
        <f t="shared" si="216"/>
        <v/>
      </c>
      <c r="IE882" s="2140" t="str">
        <f t="shared" si="217"/>
        <v/>
      </c>
      <c r="IF882" s="2140" t="str">
        <f t="shared" si="218"/>
        <v/>
      </c>
      <c r="IG882" s="2140" t="str">
        <f t="shared" si="219"/>
        <v/>
      </c>
      <c r="IH882" s="2140" t="str">
        <f t="shared" si="220"/>
        <v/>
      </c>
      <c r="II882" s="2140" t="str">
        <f t="shared" si="221"/>
        <v/>
      </c>
      <c r="IJ882" s="2140" t="str">
        <f t="shared" si="222"/>
        <v/>
      </c>
      <c r="IK882" s="2140" t="str">
        <f t="shared" si="223"/>
        <v/>
      </c>
      <c r="IL882" s="2140" t="str">
        <f t="shared" si="224"/>
        <v/>
      </c>
      <c r="IM882" s="2140" t="str">
        <f t="shared" si="225"/>
        <v/>
      </c>
      <c r="IN882" s="2140" t="str">
        <f t="shared" si="226"/>
        <v/>
      </c>
      <c r="IO882" s="2140" t="str">
        <f t="shared" si="227"/>
        <v/>
      </c>
      <c r="IP882" s="2140" t="str">
        <f t="shared" si="228"/>
        <v/>
      </c>
      <c r="IQ882" s="2140" t="str">
        <f t="shared" si="229"/>
        <v/>
      </c>
      <c r="IR882" s="2140" t="str">
        <f t="shared" si="230"/>
        <v/>
      </c>
      <c r="IS882" s="2140" t="str">
        <f t="shared" si="231"/>
        <v/>
      </c>
      <c r="IT882" s="2140" t="str">
        <f t="shared" si="232"/>
        <v/>
      </c>
      <c r="IU882" s="2140" t="str">
        <f t="shared" si="233"/>
        <v/>
      </c>
      <c r="IV882" s="2140" t="str">
        <f t="shared" si="234"/>
        <v/>
      </c>
      <c r="IW882" s="2140" t="str">
        <f t="shared" si="235"/>
        <v/>
      </c>
      <c r="IX882" s="2140" t="str">
        <f t="shared" si="236"/>
        <v/>
      </c>
      <c r="IY882" s="2140" t="str">
        <f t="shared" si="237"/>
        <v/>
      </c>
      <c r="IZ882" s="2140" t="str">
        <f t="shared" si="238"/>
        <v/>
      </c>
      <c r="JA882" s="2140" t="str">
        <f t="shared" si="239"/>
        <v/>
      </c>
      <c r="JB882" s="2140" t="str">
        <f t="shared" si="240"/>
        <v/>
      </c>
      <c r="JC882" s="2140" t="str">
        <f t="shared" si="241"/>
        <v/>
      </c>
      <c r="JD882" s="2140" t="str">
        <f t="shared" si="242"/>
        <v/>
      </c>
      <c r="JE882" s="2140" t="str">
        <f t="shared" si="243"/>
        <v/>
      </c>
      <c r="JF882" s="2140" t="str">
        <f t="shared" si="244"/>
        <v/>
      </c>
      <c r="JG882" s="2140" t="str">
        <f t="shared" si="245"/>
        <v/>
      </c>
      <c r="JH882" s="2140" t="str">
        <f t="shared" si="246"/>
        <v/>
      </c>
      <c r="JI882" s="2140" t="str">
        <f t="shared" si="247"/>
        <v/>
      </c>
      <c r="JJ882" s="2140" t="str">
        <f t="shared" si="248"/>
        <v/>
      </c>
      <c r="JK882" s="2140" t="str">
        <f t="shared" si="249"/>
        <v/>
      </c>
      <c r="JL882" s="2140" t="str">
        <f t="shared" si="250"/>
        <v/>
      </c>
      <c r="JM882" s="2140" t="str">
        <f t="shared" si="251"/>
        <v/>
      </c>
      <c r="JN882" s="2140" t="str">
        <f t="shared" si="252"/>
        <v/>
      </c>
      <c r="JO882" s="2140" t="str">
        <f t="shared" si="253"/>
        <v/>
      </c>
      <c r="JP882" s="2140" t="str">
        <f t="shared" si="254"/>
        <v/>
      </c>
      <c r="JQ882" s="2140" t="str">
        <f t="shared" si="255"/>
        <v/>
      </c>
      <c r="JR882" s="2140" t="str">
        <f t="shared" si="256"/>
        <v/>
      </c>
      <c r="JS882" s="2140" t="str">
        <f t="shared" si="257"/>
        <v/>
      </c>
      <c r="JT882" s="2140" t="str">
        <f t="shared" si="258"/>
        <v/>
      </c>
      <c r="JU882" s="2140" t="str">
        <f t="shared" si="259"/>
        <v/>
      </c>
      <c r="JV882" s="2140" t="str">
        <f t="shared" si="260"/>
        <v/>
      </c>
      <c r="JW882" s="2140" t="str">
        <f t="shared" si="261"/>
        <v/>
      </c>
      <c r="JX882" s="2140" t="str">
        <f t="shared" si="262"/>
        <v/>
      </c>
      <c r="JY882" s="2140" t="str">
        <f t="shared" si="263"/>
        <v/>
      </c>
      <c r="JZ882" s="2140" t="str">
        <f t="shared" si="264"/>
        <v/>
      </c>
      <c r="KA882" s="2140" t="str">
        <f t="shared" si="265"/>
        <v/>
      </c>
      <c r="KB882" s="2140" t="str">
        <f t="shared" si="266"/>
        <v/>
      </c>
      <c r="KC882" s="2140" t="str">
        <f t="shared" si="267"/>
        <v/>
      </c>
      <c r="KD882" s="2140" t="str">
        <f t="shared" si="268"/>
        <v/>
      </c>
      <c r="KE882" s="2140" t="str">
        <f t="shared" si="269"/>
        <v/>
      </c>
      <c r="KF882" s="2140" t="str">
        <f t="shared" si="270"/>
        <v/>
      </c>
      <c r="KG882" s="2140" t="str">
        <f t="shared" si="271"/>
        <v/>
      </c>
      <c r="KH882" s="2140" t="str">
        <f t="shared" si="272"/>
        <v/>
      </c>
      <c r="KI882" s="2140" t="str">
        <f t="shared" si="273"/>
        <v/>
      </c>
      <c r="KJ882" s="2140" t="str">
        <f t="shared" si="274"/>
        <v/>
      </c>
      <c r="KK882" s="2140" t="str">
        <f t="shared" si="275"/>
        <v/>
      </c>
      <c r="KL882" s="2140" t="str">
        <f t="shared" si="276"/>
        <v/>
      </c>
      <c r="KM882" s="2140" t="str">
        <f t="shared" si="277"/>
        <v/>
      </c>
      <c r="KN882" s="2140" t="str">
        <f t="shared" si="278"/>
        <v/>
      </c>
      <c r="KO882" s="2140" t="str">
        <f t="shared" si="279"/>
        <v/>
      </c>
      <c r="KP882" s="2140" t="str">
        <f t="shared" si="280"/>
        <v/>
      </c>
      <c r="KQ882" s="2140" t="str">
        <f t="shared" si="281"/>
        <v/>
      </c>
      <c r="KR882" s="2140" t="str">
        <f t="shared" si="282"/>
        <v/>
      </c>
      <c r="KS882" s="2140" t="str">
        <f t="shared" si="283"/>
        <v/>
      </c>
      <c r="KT882" s="2140" t="str">
        <f t="shared" si="284"/>
        <v/>
      </c>
      <c r="KU882" s="2140" t="str">
        <f t="shared" si="285"/>
        <v/>
      </c>
      <c r="KV882" s="2140" t="str">
        <f t="shared" si="286"/>
        <v/>
      </c>
      <c r="KW882" s="2140" t="str">
        <f t="shared" si="287"/>
        <v/>
      </c>
      <c r="KX882" s="2140" t="str">
        <f t="shared" si="288"/>
        <v/>
      </c>
      <c r="KY882" s="2140" t="str">
        <f t="shared" si="289"/>
        <v/>
      </c>
      <c r="KZ882" s="2140" t="str">
        <f t="shared" si="290"/>
        <v/>
      </c>
      <c r="LA882" s="2140" t="str">
        <f t="shared" si="291"/>
        <v/>
      </c>
      <c r="LB882" s="2140" t="str">
        <f t="shared" si="292"/>
        <v/>
      </c>
      <c r="LC882" s="2140" t="str">
        <f t="shared" si="293"/>
        <v/>
      </c>
      <c r="LD882" s="2140" t="str">
        <f t="shared" si="294"/>
        <v/>
      </c>
      <c r="LE882" s="2140" t="str">
        <f t="shared" si="295"/>
        <v/>
      </c>
      <c r="LF882" s="2140" t="str">
        <f t="shared" si="296"/>
        <v/>
      </c>
      <c r="LG882" s="2051" t="str">
        <f t="shared" si="297"/>
        <v/>
      </c>
      <c r="LH882" s="2051" t="str">
        <f t="shared" si="298"/>
        <v/>
      </c>
      <c r="LI882" s="2051" t="str">
        <f t="shared" si="299"/>
        <v/>
      </c>
      <c r="LJ882" s="2051" t="str">
        <f t="shared" si="300"/>
        <v/>
      </c>
      <c r="LK882" s="2051" t="str">
        <f t="shared" si="301"/>
        <v/>
      </c>
      <c r="LL882" s="1852" t="str">
        <f t="shared" si="302"/>
        <v/>
      </c>
      <c r="LM882" s="1852" t="str">
        <f t="shared" si="303"/>
        <v/>
      </c>
      <c r="LN882" s="1852" t="str">
        <f t="shared" si="304"/>
        <v/>
      </c>
      <c r="LO882" s="1852" t="str">
        <f t="shared" si="305"/>
        <v/>
      </c>
      <c r="LP882" s="1852" t="str">
        <f t="shared" si="306"/>
        <v/>
      </c>
      <c r="LQ882" s="1852" t="str">
        <f t="shared" si="307"/>
        <v/>
      </c>
      <c r="LR882" s="1852" t="str">
        <f t="shared" si="308"/>
        <v/>
      </c>
      <c r="LS882" s="1852" t="str">
        <f t="shared" si="309"/>
        <v/>
      </c>
      <c r="LT882" s="1852" t="str">
        <f t="shared" si="310"/>
        <v/>
      </c>
      <c r="LU882" s="1852" t="str">
        <f t="shared" si="311"/>
        <v/>
      </c>
      <c r="LV882" s="1852" t="str">
        <f t="shared" si="312"/>
        <v/>
      </c>
      <c r="LW882" s="1852" t="str">
        <f t="shared" si="313"/>
        <v/>
      </c>
      <c r="LX882" s="1852" t="str">
        <f t="shared" si="314"/>
        <v/>
      </c>
      <c r="LY882" s="1852" t="str">
        <f t="shared" si="315"/>
        <v/>
      </c>
      <c r="LZ882" s="1852" t="str">
        <f t="shared" si="316"/>
        <v/>
      </c>
      <c r="MA882" s="1852" t="str">
        <f t="shared" si="317"/>
        <v/>
      </c>
      <c r="MB882" s="1852" t="str">
        <f t="shared" si="318"/>
        <v/>
      </c>
      <c r="MC882" s="1852" t="str">
        <f t="shared" si="319"/>
        <v/>
      </c>
      <c r="MD882" s="1852" t="str">
        <f t="shared" si="320"/>
        <v/>
      </c>
      <c r="ME882" s="1852" t="str">
        <f t="shared" si="321"/>
        <v/>
      </c>
      <c r="MF882" s="2051">
        <f t="shared" si="328"/>
        <v>0</v>
      </c>
      <c r="MG882" s="2051">
        <f t="shared" si="329"/>
        <v>0</v>
      </c>
      <c r="MH882" s="2051">
        <f t="shared" si="330"/>
        <v>0</v>
      </c>
      <c r="MI882" s="2051">
        <f t="shared" si="331"/>
        <v>0</v>
      </c>
      <c r="MJ882" s="2051">
        <f t="shared" si="332"/>
        <v>0</v>
      </c>
      <c r="MK882" s="2051">
        <f t="shared" si="333"/>
        <v>0</v>
      </c>
      <c r="ML882" s="2051">
        <f t="shared" si="334"/>
        <v>0</v>
      </c>
      <c r="MM882" s="2051">
        <f t="shared" si="335"/>
        <v>0</v>
      </c>
      <c r="MN882" s="2051">
        <f t="shared" si="336"/>
        <v>0</v>
      </c>
      <c r="MO882" s="2051">
        <f t="shared" si="337"/>
        <v>0</v>
      </c>
      <c r="MP882" s="2051">
        <f t="shared" si="322"/>
        <v>0</v>
      </c>
      <c r="MQ882" s="2051">
        <f t="shared" si="323"/>
        <v>0</v>
      </c>
      <c r="MR882" s="2051">
        <f t="shared" si="324"/>
        <v>0</v>
      </c>
      <c r="MS882" s="2051">
        <f t="shared" si="325"/>
        <v>0</v>
      </c>
      <c r="MT882" s="2051">
        <f t="shared" si="326"/>
        <v>0</v>
      </c>
      <c r="NP882" s="1924" t="s">
        <v>6751</v>
      </c>
    </row>
    <row r="883" spans="1:380" s="1852" customFormat="1" ht="13.9" customHeight="1">
      <c r="A883" s="2108" t="str">
        <f t="shared" si="327"/>
        <v/>
      </c>
      <c r="B883" s="2130">
        <f>'Part VI-Revenues &amp; Expenses'!B43</f>
        <v>0</v>
      </c>
      <c r="C883" s="2131">
        <f>'Part VI-Revenues &amp; Expenses'!C43</f>
        <v>0</v>
      </c>
      <c r="D883" s="2132">
        <f>'Part VI-Revenues &amp; Expenses'!D43</f>
        <v>0</v>
      </c>
      <c r="E883" s="2133">
        <f>'Part VI-Revenues &amp; Expenses'!E43</f>
        <v>0</v>
      </c>
      <c r="F883" s="2133">
        <f>'Part VI-Revenues &amp; Expenses'!F43</f>
        <v>0</v>
      </c>
      <c r="G883" s="2133">
        <f>'Part VI-Revenues &amp; Expenses'!G43</f>
        <v>0</v>
      </c>
      <c r="H883" s="2133">
        <f>'Part VI-Revenues &amp; Expenses'!H43</f>
        <v>0</v>
      </c>
      <c r="I883" s="2133">
        <f>'Part VI-Revenues &amp; Expenses'!I43</f>
        <v>0</v>
      </c>
      <c r="J883" s="2133">
        <f>'Part VI-Revenues &amp; Expenses'!J43</f>
        <v>0</v>
      </c>
      <c r="K883" s="2134">
        <f>'Part VI-Revenues &amp; Expenses'!K43</f>
        <v>0</v>
      </c>
      <c r="L883" s="2135">
        <f t="shared" si="0"/>
        <v>0</v>
      </c>
      <c r="M883" s="2135">
        <f t="shared" si="1"/>
        <v>0</v>
      </c>
      <c r="N883" s="1916">
        <f>'Part VI-Revenues &amp; Expenses'!N43</f>
        <v>0</v>
      </c>
      <c r="O883" s="2136">
        <f>'Part VI-Revenues &amp; Expenses'!O43</f>
        <v>0</v>
      </c>
      <c r="P883" s="1916">
        <f>'Part VI-Revenues &amp; Expenses'!P43</f>
        <v>0</v>
      </c>
      <c r="Q883" s="2137">
        <f>'Part VI-Revenues &amp; Expenses'!Q43</f>
        <v>0</v>
      </c>
      <c r="R883" s="2138"/>
      <c r="S883" s="2139"/>
      <c r="T883" s="2043"/>
      <c r="U883" s="2043"/>
      <c r="V883" s="2043"/>
      <c r="W883" s="2043"/>
      <c r="X883" s="1852" t="str">
        <f t="shared" si="2"/>
        <v/>
      </c>
      <c r="Y883" s="1852" t="str">
        <f t="shared" si="3"/>
        <v/>
      </c>
      <c r="Z883" s="1852" t="str">
        <f t="shared" si="4"/>
        <v/>
      </c>
      <c r="AA883" s="1852" t="str">
        <f t="shared" si="5"/>
        <v/>
      </c>
      <c r="AB883" s="1852" t="str">
        <f t="shared" si="6"/>
        <v/>
      </c>
      <c r="AC883" s="1852" t="str">
        <f t="shared" si="7"/>
        <v/>
      </c>
      <c r="AD883" s="1852" t="str">
        <f t="shared" si="8"/>
        <v/>
      </c>
      <c r="AE883" s="1852" t="str">
        <f t="shared" si="9"/>
        <v/>
      </c>
      <c r="AF883" s="1852" t="str">
        <f t="shared" si="10"/>
        <v/>
      </c>
      <c r="AG883" s="1852" t="str">
        <f t="shared" si="11"/>
        <v/>
      </c>
      <c r="AH883" s="1852" t="str">
        <f t="shared" si="12"/>
        <v/>
      </c>
      <c r="AI883" s="1852" t="str">
        <f t="shared" si="13"/>
        <v/>
      </c>
      <c r="AJ883" s="1852" t="str">
        <f t="shared" si="14"/>
        <v/>
      </c>
      <c r="AK883" s="1852" t="str">
        <f t="shared" si="15"/>
        <v/>
      </c>
      <c r="AL883" s="1852" t="str">
        <f t="shared" si="16"/>
        <v/>
      </c>
      <c r="AM883" s="1852" t="str">
        <f t="shared" si="17"/>
        <v/>
      </c>
      <c r="AN883" s="1852" t="str">
        <f t="shared" si="18"/>
        <v/>
      </c>
      <c r="AO883" s="1852" t="str">
        <f t="shared" si="19"/>
        <v/>
      </c>
      <c r="AP883" s="1852" t="str">
        <f t="shared" si="20"/>
        <v/>
      </c>
      <c r="AQ883" s="1852" t="str">
        <f t="shared" si="21"/>
        <v/>
      </c>
      <c r="AR883" s="1852" t="str">
        <f t="shared" si="22"/>
        <v/>
      </c>
      <c r="AS883" s="1852" t="str">
        <f t="shared" si="23"/>
        <v/>
      </c>
      <c r="AT883" s="1852" t="str">
        <f t="shared" si="24"/>
        <v/>
      </c>
      <c r="AU883" s="1852" t="str">
        <f t="shared" si="25"/>
        <v/>
      </c>
      <c r="AV883" s="1852" t="str">
        <f t="shared" si="26"/>
        <v/>
      </c>
      <c r="AW883" s="1852" t="str">
        <f t="shared" si="27"/>
        <v/>
      </c>
      <c r="AX883" s="1852" t="str">
        <f t="shared" si="28"/>
        <v/>
      </c>
      <c r="AY883" s="1852" t="str">
        <f t="shared" si="29"/>
        <v/>
      </c>
      <c r="AZ883" s="1852" t="str">
        <f t="shared" si="30"/>
        <v/>
      </c>
      <c r="BA883" s="1852" t="str">
        <f t="shared" si="31"/>
        <v/>
      </c>
      <c r="BB883" s="1852" t="str">
        <f t="shared" si="32"/>
        <v/>
      </c>
      <c r="BC883" s="1852" t="str">
        <f t="shared" si="33"/>
        <v/>
      </c>
      <c r="BD883" s="1852" t="str">
        <f t="shared" si="34"/>
        <v/>
      </c>
      <c r="BE883" s="1852" t="str">
        <f t="shared" si="35"/>
        <v/>
      </c>
      <c r="BF883" s="1852" t="str">
        <f t="shared" si="36"/>
        <v/>
      </c>
      <c r="BG883" s="1852" t="str">
        <f t="shared" si="37"/>
        <v/>
      </c>
      <c r="BH883" s="1852" t="str">
        <f t="shared" si="38"/>
        <v/>
      </c>
      <c r="BI883" s="1852" t="str">
        <f t="shared" si="39"/>
        <v/>
      </c>
      <c r="BJ883" s="1852" t="str">
        <f t="shared" si="40"/>
        <v/>
      </c>
      <c r="BK883" s="1852" t="str">
        <f t="shared" si="41"/>
        <v/>
      </c>
      <c r="BL883" s="1852" t="str">
        <f t="shared" si="42"/>
        <v/>
      </c>
      <c r="BM883" s="1852" t="str">
        <f t="shared" si="43"/>
        <v/>
      </c>
      <c r="BN883" s="1852" t="str">
        <f t="shared" si="44"/>
        <v/>
      </c>
      <c r="BO883" s="1852" t="str">
        <f t="shared" si="45"/>
        <v/>
      </c>
      <c r="BP883" s="1852" t="str">
        <f t="shared" si="46"/>
        <v/>
      </c>
      <c r="BQ883" s="1852" t="str">
        <f t="shared" si="47"/>
        <v/>
      </c>
      <c r="BR883" s="1852" t="str">
        <f t="shared" si="48"/>
        <v/>
      </c>
      <c r="BS883" s="1852" t="str">
        <f t="shared" si="49"/>
        <v/>
      </c>
      <c r="BT883" s="1852" t="str">
        <f t="shared" si="50"/>
        <v/>
      </c>
      <c r="BU883" s="1852" t="str">
        <f t="shared" si="51"/>
        <v/>
      </c>
      <c r="BV883" s="1852" t="str">
        <f t="shared" si="52"/>
        <v/>
      </c>
      <c r="BW883" s="1852" t="str">
        <f t="shared" si="53"/>
        <v/>
      </c>
      <c r="BX883" s="1852" t="str">
        <f t="shared" si="54"/>
        <v/>
      </c>
      <c r="BY883" s="1852" t="str">
        <f t="shared" si="55"/>
        <v/>
      </c>
      <c r="BZ883" s="1852" t="str">
        <f t="shared" si="56"/>
        <v/>
      </c>
      <c r="CA883" s="1852" t="str">
        <f t="shared" si="57"/>
        <v/>
      </c>
      <c r="CB883" s="1852" t="str">
        <f t="shared" si="58"/>
        <v/>
      </c>
      <c r="CC883" s="1852" t="str">
        <f t="shared" si="59"/>
        <v/>
      </c>
      <c r="CD883" s="1852" t="str">
        <f t="shared" si="60"/>
        <v/>
      </c>
      <c r="CE883" s="1852" t="str">
        <f t="shared" si="61"/>
        <v/>
      </c>
      <c r="CF883" s="1852" t="str">
        <f t="shared" si="62"/>
        <v/>
      </c>
      <c r="CG883" s="1852" t="str">
        <f t="shared" si="63"/>
        <v/>
      </c>
      <c r="CH883" s="1852" t="str">
        <f t="shared" si="64"/>
        <v/>
      </c>
      <c r="CI883" s="1852" t="str">
        <f t="shared" si="65"/>
        <v/>
      </c>
      <c r="CJ883" s="1852" t="str">
        <f t="shared" si="66"/>
        <v/>
      </c>
      <c r="CK883" s="1852" t="str">
        <f t="shared" si="67"/>
        <v/>
      </c>
      <c r="CL883" s="1852" t="str">
        <f t="shared" si="68"/>
        <v/>
      </c>
      <c r="CM883" s="1852" t="str">
        <f t="shared" si="69"/>
        <v/>
      </c>
      <c r="CN883" s="1852" t="str">
        <f t="shared" si="70"/>
        <v/>
      </c>
      <c r="CO883" s="1852" t="str">
        <f t="shared" si="71"/>
        <v/>
      </c>
      <c r="CP883" s="1852" t="str">
        <f t="shared" si="72"/>
        <v/>
      </c>
      <c r="CQ883" s="1852" t="str">
        <f t="shared" si="73"/>
        <v/>
      </c>
      <c r="CR883" s="1852" t="str">
        <f t="shared" si="74"/>
        <v/>
      </c>
      <c r="CS883" s="1852" t="str">
        <f t="shared" si="75"/>
        <v/>
      </c>
      <c r="CT883" s="1852" t="str">
        <f t="shared" si="76"/>
        <v/>
      </c>
      <c r="CU883" s="1852" t="str">
        <f t="shared" si="77"/>
        <v/>
      </c>
      <c r="CV883" s="1852" t="str">
        <f t="shared" si="78"/>
        <v/>
      </c>
      <c r="CW883" s="1852" t="str">
        <f t="shared" si="79"/>
        <v/>
      </c>
      <c r="CX883" s="1852" t="str">
        <f t="shared" si="80"/>
        <v/>
      </c>
      <c r="CY883" s="1852" t="str">
        <f t="shared" si="81"/>
        <v/>
      </c>
      <c r="CZ883" s="1852" t="str">
        <f t="shared" si="82"/>
        <v/>
      </c>
      <c r="DA883" s="1852" t="str">
        <f t="shared" si="83"/>
        <v/>
      </c>
      <c r="DB883" s="1852" t="str">
        <f t="shared" si="84"/>
        <v/>
      </c>
      <c r="DC883" s="1852" t="str">
        <f t="shared" si="85"/>
        <v/>
      </c>
      <c r="DD883" s="1852" t="str">
        <f t="shared" si="86"/>
        <v/>
      </c>
      <c r="DE883" s="1852" t="str">
        <f t="shared" si="87"/>
        <v/>
      </c>
      <c r="DF883" s="1852" t="str">
        <f t="shared" si="88"/>
        <v/>
      </c>
      <c r="DG883" s="1852" t="str">
        <f t="shared" si="89"/>
        <v/>
      </c>
      <c r="DH883" s="1852" t="str">
        <f t="shared" si="90"/>
        <v/>
      </c>
      <c r="DI883" s="1852" t="str">
        <f t="shared" si="91"/>
        <v/>
      </c>
      <c r="DJ883" s="1852" t="str">
        <f t="shared" si="92"/>
        <v/>
      </c>
      <c r="DK883" s="1852" t="str">
        <f t="shared" si="93"/>
        <v/>
      </c>
      <c r="DL883" s="1852" t="str">
        <f t="shared" si="94"/>
        <v/>
      </c>
      <c r="DM883" s="1852" t="str">
        <f t="shared" si="95"/>
        <v/>
      </c>
      <c r="DN883" s="1852" t="str">
        <f t="shared" si="96"/>
        <v/>
      </c>
      <c r="DO883" s="1852" t="str">
        <f t="shared" si="97"/>
        <v/>
      </c>
      <c r="DP883" s="1852" t="str">
        <f t="shared" si="98"/>
        <v/>
      </c>
      <c r="DQ883" s="1852" t="str">
        <f t="shared" si="99"/>
        <v/>
      </c>
      <c r="DR883" s="1852" t="str">
        <f t="shared" si="100"/>
        <v/>
      </c>
      <c r="DS883" s="1852" t="str">
        <f t="shared" si="101"/>
        <v/>
      </c>
      <c r="DT883" s="1852" t="str">
        <f t="shared" si="102"/>
        <v/>
      </c>
      <c r="DU883" s="1852" t="str">
        <f t="shared" si="103"/>
        <v/>
      </c>
      <c r="DV883" s="1852" t="str">
        <f t="shared" si="104"/>
        <v/>
      </c>
      <c r="DW883" s="1852" t="str">
        <f t="shared" si="105"/>
        <v/>
      </c>
      <c r="DX883" s="1852" t="str">
        <f t="shared" si="106"/>
        <v/>
      </c>
      <c r="DY883" s="1852" t="str">
        <f t="shared" si="107"/>
        <v/>
      </c>
      <c r="DZ883" s="1852" t="str">
        <f t="shared" si="108"/>
        <v/>
      </c>
      <c r="EA883" s="1852" t="str">
        <f t="shared" si="109"/>
        <v/>
      </c>
      <c r="EB883" s="1852" t="str">
        <f t="shared" si="110"/>
        <v/>
      </c>
      <c r="EC883" s="1852" t="str">
        <f t="shared" si="111"/>
        <v/>
      </c>
      <c r="ED883" s="1852" t="str">
        <f t="shared" si="112"/>
        <v/>
      </c>
      <c r="EE883" s="1852" t="str">
        <f t="shared" si="113"/>
        <v/>
      </c>
      <c r="EF883" s="1852" t="str">
        <f t="shared" si="114"/>
        <v/>
      </c>
      <c r="EG883" s="1852" t="str">
        <f t="shared" si="115"/>
        <v/>
      </c>
      <c r="EH883" s="1852" t="str">
        <f t="shared" si="116"/>
        <v/>
      </c>
      <c r="EI883" s="1852" t="str">
        <f t="shared" si="117"/>
        <v/>
      </c>
      <c r="EJ883" s="1852" t="str">
        <f t="shared" si="118"/>
        <v/>
      </c>
      <c r="EK883" s="1852" t="str">
        <f t="shared" si="119"/>
        <v/>
      </c>
      <c r="EL883" s="1852" t="str">
        <f t="shared" si="120"/>
        <v/>
      </c>
      <c r="EM883" s="1852" t="str">
        <f t="shared" si="121"/>
        <v/>
      </c>
      <c r="EN883" s="1852" t="str">
        <f t="shared" si="122"/>
        <v/>
      </c>
      <c r="EO883" s="1852" t="str">
        <f t="shared" si="123"/>
        <v/>
      </c>
      <c r="EP883" s="1852" t="str">
        <f t="shared" si="124"/>
        <v/>
      </c>
      <c r="EQ883" s="1852" t="str">
        <f t="shared" si="125"/>
        <v/>
      </c>
      <c r="ER883" s="1852" t="str">
        <f t="shared" si="126"/>
        <v/>
      </c>
      <c r="ES883" s="1852" t="str">
        <f t="shared" si="127"/>
        <v/>
      </c>
      <c r="ET883" s="1852" t="str">
        <f t="shared" si="128"/>
        <v/>
      </c>
      <c r="EU883" s="1852" t="str">
        <f t="shared" si="129"/>
        <v/>
      </c>
      <c r="EV883" s="1852" t="str">
        <f t="shared" si="130"/>
        <v/>
      </c>
      <c r="EW883" s="1852" t="str">
        <f t="shared" si="131"/>
        <v/>
      </c>
      <c r="EX883" s="1852" t="str">
        <f t="shared" si="132"/>
        <v/>
      </c>
      <c r="EY883" s="1852" t="str">
        <f t="shared" si="133"/>
        <v/>
      </c>
      <c r="EZ883" s="1852" t="str">
        <f t="shared" si="134"/>
        <v/>
      </c>
      <c r="FA883" s="1852" t="str">
        <f t="shared" si="135"/>
        <v/>
      </c>
      <c r="FB883" s="1852" t="str">
        <f t="shared" si="136"/>
        <v/>
      </c>
      <c r="FC883" s="1852" t="str">
        <f t="shared" si="137"/>
        <v/>
      </c>
      <c r="FD883" s="1852" t="str">
        <f t="shared" si="138"/>
        <v/>
      </c>
      <c r="FE883" s="1852" t="str">
        <f t="shared" si="139"/>
        <v/>
      </c>
      <c r="FF883" s="1852" t="str">
        <f t="shared" si="140"/>
        <v/>
      </c>
      <c r="FG883" s="1852" t="str">
        <f t="shared" si="141"/>
        <v/>
      </c>
      <c r="FH883" s="1852" t="str">
        <f t="shared" si="142"/>
        <v/>
      </c>
      <c r="FI883" s="1852" t="str">
        <f t="shared" si="143"/>
        <v/>
      </c>
      <c r="FJ883" s="1852" t="str">
        <f t="shared" si="144"/>
        <v/>
      </c>
      <c r="FK883" s="1852" t="str">
        <f t="shared" si="145"/>
        <v/>
      </c>
      <c r="FL883" s="1852" t="str">
        <f t="shared" si="146"/>
        <v/>
      </c>
      <c r="FM883" s="1852" t="str">
        <f t="shared" si="147"/>
        <v/>
      </c>
      <c r="FN883" s="1852" t="str">
        <f t="shared" si="148"/>
        <v/>
      </c>
      <c r="FO883" s="1852" t="str">
        <f t="shared" si="149"/>
        <v/>
      </c>
      <c r="FP883" s="1852" t="str">
        <f t="shared" si="150"/>
        <v/>
      </c>
      <c r="FQ883" s="1852" t="str">
        <f t="shared" si="151"/>
        <v/>
      </c>
      <c r="FR883" s="1852" t="str">
        <f t="shared" si="152"/>
        <v/>
      </c>
      <c r="FS883" s="1852" t="str">
        <f t="shared" si="153"/>
        <v/>
      </c>
      <c r="FT883" s="1852" t="str">
        <f t="shared" si="154"/>
        <v/>
      </c>
      <c r="FU883" s="1852" t="str">
        <f t="shared" si="155"/>
        <v/>
      </c>
      <c r="FV883" s="1852" t="str">
        <f t="shared" si="156"/>
        <v/>
      </c>
      <c r="FW883" s="1852" t="str">
        <f t="shared" si="157"/>
        <v/>
      </c>
      <c r="FX883" s="1852" t="str">
        <f t="shared" si="158"/>
        <v/>
      </c>
      <c r="FY883" s="1852" t="str">
        <f t="shared" si="159"/>
        <v/>
      </c>
      <c r="FZ883" s="1852" t="str">
        <f t="shared" si="160"/>
        <v/>
      </c>
      <c r="GA883" s="1852" t="str">
        <f t="shared" si="161"/>
        <v/>
      </c>
      <c r="GB883" s="1852" t="str">
        <f t="shared" si="162"/>
        <v/>
      </c>
      <c r="GC883" s="1852" t="str">
        <f t="shared" si="163"/>
        <v/>
      </c>
      <c r="GD883" s="1852" t="str">
        <f t="shared" si="164"/>
        <v/>
      </c>
      <c r="GE883" s="1852" t="str">
        <f t="shared" si="165"/>
        <v/>
      </c>
      <c r="GF883" s="1852" t="str">
        <f t="shared" si="166"/>
        <v/>
      </c>
      <c r="GG883" s="1852" t="str">
        <f t="shared" si="167"/>
        <v/>
      </c>
      <c r="GH883" s="1852" t="str">
        <f t="shared" si="168"/>
        <v/>
      </c>
      <c r="GI883" s="1852" t="str">
        <f t="shared" si="169"/>
        <v/>
      </c>
      <c r="GJ883" s="1852" t="str">
        <f t="shared" si="170"/>
        <v/>
      </c>
      <c r="GK883" s="1852" t="str">
        <f t="shared" si="171"/>
        <v/>
      </c>
      <c r="GL883" s="1852" t="str">
        <f t="shared" si="172"/>
        <v/>
      </c>
      <c r="GM883" s="1852" t="str">
        <f t="shared" si="173"/>
        <v/>
      </c>
      <c r="GN883" s="1852" t="str">
        <f t="shared" si="174"/>
        <v/>
      </c>
      <c r="GO883" s="1852" t="str">
        <f t="shared" si="175"/>
        <v/>
      </c>
      <c r="GP883" s="1852" t="str">
        <f t="shared" si="176"/>
        <v/>
      </c>
      <c r="GQ883" s="1852" t="str">
        <f t="shared" si="177"/>
        <v/>
      </c>
      <c r="GR883" s="1852" t="str">
        <f t="shared" si="178"/>
        <v/>
      </c>
      <c r="GS883" s="1852" t="str">
        <f t="shared" si="179"/>
        <v/>
      </c>
      <c r="GT883" s="1852" t="str">
        <f t="shared" si="180"/>
        <v/>
      </c>
      <c r="GU883" s="1852" t="str">
        <f t="shared" si="181"/>
        <v/>
      </c>
      <c r="GV883" s="1852" t="str">
        <f t="shared" si="182"/>
        <v/>
      </c>
      <c r="GW883" s="1852" t="str">
        <f t="shared" si="183"/>
        <v/>
      </c>
      <c r="GX883" s="1852" t="str">
        <f t="shared" si="184"/>
        <v/>
      </c>
      <c r="GY883" s="1852" t="str">
        <f t="shared" si="185"/>
        <v/>
      </c>
      <c r="GZ883" s="1852" t="str">
        <f t="shared" si="186"/>
        <v/>
      </c>
      <c r="HA883" s="1852" t="str">
        <f t="shared" si="187"/>
        <v/>
      </c>
      <c r="HB883" s="1852" t="str">
        <f t="shared" si="188"/>
        <v/>
      </c>
      <c r="HC883" s="1852" t="str">
        <f t="shared" si="189"/>
        <v/>
      </c>
      <c r="HD883" s="1852" t="str">
        <f t="shared" si="190"/>
        <v/>
      </c>
      <c r="HE883" s="1852" t="str">
        <f t="shared" si="191"/>
        <v/>
      </c>
      <c r="HF883" s="1852" t="str">
        <f t="shared" si="192"/>
        <v/>
      </c>
      <c r="HG883" s="1852" t="str">
        <f t="shared" si="193"/>
        <v/>
      </c>
      <c r="HH883" s="1852" t="str">
        <f t="shared" si="194"/>
        <v/>
      </c>
      <c r="HI883" s="1852" t="str">
        <f t="shared" si="195"/>
        <v/>
      </c>
      <c r="HJ883" s="1852" t="str">
        <f t="shared" si="196"/>
        <v/>
      </c>
      <c r="HK883" s="1852" t="str">
        <f t="shared" si="197"/>
        <v/>
      </c>
      <c r="HL883" s="1852" t="str">
        <f t="shared" si="198"/>
        <v/>
      </c>
      <c r="HM883" s="1852" t="str">
        <f t="shared" si="199"/>
        <v/>
      </c>
      <c r="HN883" s="1852" t="str">
        <f t="shared" si="200"/>
        <v/>
      </c>
      <c r="HO883" s="1852" t="str">
        <f t="shared" si="201"/>
        <v/>
      </c>
      <c r="HP883" s="1852" t="str">
        <f t="shared" si="202"/>
        <v/>
      </c>
      <c r="HQ883" s="1852" t="str">
        <f t="shared" si="203"/>
        <v/>
      </c>
      <c r="HR883" s="1852" t="str">
        <f t="shared" si="204"/>
        <v/>
      </c>
      <c r="HS883" s="1852" t="str">
        <f t="shared" si="205"/>
        <v/>
      </c>
      <c r="HT883" s="1852" t="str">
        <f t="shared" si="206"/>
        <v/>
      </c>
      <c r="HU883" s="1852" t="str">
        <f t="shared" si="207"/>
        <v/>
      </c>
      <c r="HV883" s="1852" t="str">
        <f t="shared" si="208"/>
        <v/>
      </c>
      <c r="HW883" s="1852" t="str">
        <f t="shared" si="209"/>
        <v/>
      </c>
      <c r="HX883" s="1852" t="str">
        <f t="shared" si="210"/>
        <v/>
      </c>
      <c r="HY883" s="1852" t="str">
        <f t="shared" si="211"/>
        <v/>
      </c>
      <c r="HZ883" s="2140" t="str">
        <f t="shared" si="212"/>
        <v/>
      </c>
      <c r="IA883" s="2140" t="str">
        <f t="shared" si="213"/>
        <v/>
      </c>
      <c r="IB883" s="2140" t="str">
        <f t="shared" si="214"/>
        <v/>
      </c>
      <c r="IC883" s="2140" t="str">
        <f t="shared" si="215"/>
        <v/>
      </c>
      <c r="ID883" s="2140" t="str">
        <f t="shared" si="216"/>
        <v/>
      </c>
      <c r="IE883" s="2140" t="str">
        <f t="shared" si="217"/>
        <v/>
      </c>
      <c r="IF883" s="2140" t="str">
        <f t="shared" si="218"/>
        <v/>
      </c>
      <c r="IG883" s="2140" t="str">
        <f t="shared" si="219"/>
        <v/>
      </c>
      <c r="IH883" s="2140" t="str">
        <f t="shared" si="220"/>
        <v/>
      </c>
      <c r="II883" s="2140" t="str">
        <f t="shared" si="221"/>
        <v/>
      </c>
      <c r="IJ883" s="2140" t="str">
        <f t="shared" si="222"/>
        <v/>
      </c>
      <c r="IK883" s="2140" t="str">
        <f t="shared" si="223"/>
        <v/>
      </c>
      <c r="IL883" s="2140" t="str">
        <f t="shared" si="224"/>
        <v/>
      </c>
      <c r="IM883" s="2140" t="str">
        <f t="shared" si="225"/>
        <v/>
      </c>
      <c r="IN883" s="2140" t="str">
        <f t="shared" si="226"/>
        <v/>
      </c>
      <c r="IO883" s="2140" t="str">
        <f t="shared" si="227"/>
        <v/>
      </c>
      <c r="IP883" s="2140" t="str">
        <f t="shared" si="228"/>
        <v/>
      </c>
      <c r="IQ883" s="2140" t="str">
        <f t="shared" si="229"/>
        <v/>
      </c>
      <c r="IR883" s="2140" t="str">
        <f t="shared" si="230"/>
        <v/>
      </c>
      <c r="IS883" s="2140" t="str">
        <f t="shared" si="231"/>
        <v/>
      </c>
      <c r="IT883" s="2140" t="str">
        <f t="shared" si="232"/>
        <v/>
      </c>
      <c r="IU883" s="2140" t="str">
        <f t="shared" si="233"/>
        <v/>
      </c>
      <c r="IV883" s="2140" t="str">
        <f t="shared" si="234"/>
        <v/>
      </c>
      <c r="IW883" s="2140" t="str">
        <f t="shared" si="235"/>
        <v/>
      </c>
      <c r="IX883" s="2140" t="str">
        <f t="shared" si="236"/>
        <v/>
      </c>
      <c r="IY883" s="2140" t="str">
        <f t="shared" si="237"/>
        <v/>
      </c>
      <c r="IZ883" s="2140" t="str">
        <f t="shared" si="238"/>
        <v/>
      </c>
      <c r="JA883" s="2140" t="str">
        <f t="shared" si="239"/>
        <v/>
      </c>
      <c r="JB883" s="2140" t="str">
        <f t="shared" si="240"/>
        <v/>
      </c>
      <c r="JC883" s="2140" t="str">
        <f t="shared" si="241"/>
        <v/>
      </c>
      <c r="JD883" s="2140" t="str">
        <f t="shared" si="242"/>
        <v/>
      </c>
      <c r="JE883" s="2140" t="str">
        <f t="shared" si="243"/>
        <v/>
      </c>
      <c r="JF883" s="2140" t="str">
        <f t="shared" si="244"/>
        <v/>
      </c>
      <c r="JG883" s="2140" t="str">
        <f t="shared" si="245"/>
        <v/>
      </c>
      <c r="JH883" s="2140" t="str">
        <f t="shared" si="246"/>
        <v/>
      </c>
      <c r="JI883" s="2140" t="str">
        <f t="shared" si="247"/>
        <v/>
      </c>
      <c r="JJ883" s="2140" t="str">
        <f t="shared" si="248"/>
        <v/>
      </c>
      <c r="JK883" s="2140" t="str">
        <f t="shared" si="249"/>
        <v/>
      </c>
      <c r="JL883" s="2140" t="str">
        <f t="shared" si="250"/>
        <v/>
      </c>
      <c r="JM883" s="2140" t="str">
        <f t="shared" si="251"/>
        <v/>
      </c>
      <c r="JN883" s="2140" t="str">
        <f t="shared" si="252"/>
        <v/>
      </c>
      <c r="JO883" s="2140" t="str">
        <f t="shared" si="253"/>
        <v/>
      </c>
      <c r="JP883" s="2140" t="str">
        <f t="shared" si="254"/>
        <v/>
      </c>
      <c r="JQ883" s="2140" t="str">
        <f t="shared" si="255"/>
        <v/>
      </c>
      <c r="JR883" s="2140" t="str">
        <f t="shared" si="256"/>
        <v/>
      </c>
      <c r="JS883" s="2140" t="str">
        <f t="shared" si="257"/>
        <v/>
      </c>
      <c r="JT883" s="2140" t="str">
        <f t="shared" si="258"/>
        <v/>
      </c>
      <c r="JU883" s="2140" t="str">
        <f t="shared" si="259"/>
        <v/>
      </c>
      <c r="JV883" s="2140" t="str">
        <f t="shared" si="260"/>
        <v/>
      </c>
      <c r="JW883" s="2140" t="str">
        <f t="shared" si="261"/>
        <v/>
      </c>
      <c r="JX883" s="2140" t="str">
        <f t="shared" si="262"/>
        <v/>
      </c>
      <c r="JY883" s="2140" t="str">
        <f t="shared" si="263"/>
        <v/>
      </c>
      <c r="JZ883" s="2140" t="str">
        <f t="shared" si="264"/>
        <v/>
      </c>
      <c r="KA883" s="2140" t="str">
        <f t="shared" si="265"/>
        <v/>
      </c>
      <c r="KB883" s="2140" t="str">
        <f t="shared" si="266"/>
        <v/>
      </c>
      <c r="KC883" s="2140" t="str">
        <f t="shared" si="267"/>
        <v/>
      </c>
      <c r="KD883" s="2140" t="str">
        <f t="shared" si="268"/>
        <v/>
      </c>
      <c r="KE883" s="2140" t="str">
        <f t="shared" si="269"/>
        <v/>
      </c>
      <c r="KF883" s="2140" t="str">
        <f t="shared" si="270"/>
        <v/>
      </c>
      <c r="KG883" s="2140" t="str">
        <f t="shared" si="271"/>
        <v/>
      </c>
      <c r="KH883" s="2140" t="str">
        <f t="shared" si="272"/>
        <v/>
      </c>
      <c r="KI883" s="2140" t="str">
        <f t="shared" si="273"/>
        <v/>
      </c>
      <c r="KJ883" s="2140" t="str">
        <f t="shared" si="274"/>
        <v/>
      </c>
      <c r="KK883" s="2140" t="str">
        <f t="shared" si="275"/>
        <v/>
      </c>
      <c r="KL883" s="2140" t="str">
        <f t="shared" si="276"/>
        <v/>
      </c>
      <c r="KM883" s="2140" t="str">
        <f t="shared" si="277"/>
        <v/>
      </c>
      <c r="KN883" s="2140" t="str">
        <f t="shared" si="278"/>
        <v/>
      </c>
      <c r="KO883" s="2140" t="str">
        <f t="shared" si="279"/>
        <v/>
      </c>
      <c r="KP883" s="2140" t="str">
        <f t="shared" si="280"/>
        <v/>
      </c>
      <c r="KQ883" s="2140" t="str">
        <f t="shared" si="281"/>
        <v/>
      </c>
      <c r="KR883" s="2140" t="str">
        <f t="shared" si="282"/>
        <v/>
      </c>
      <c r="KS883" s="2140" t="str">
        <f t="shared" si="283"/>
        <v/>
      </c>
      <c r="KT883" s="2140" t="str">
        <f t="shared" si="284"/>
        <v/>
      </c>
      <c r="KU883" s="2140" t="str">
        <f t="shared" si="285"/>
        <v/>
      </c>
      <c r="KV883" s="2140" t="str">
        <f t="shared" si="286"/>
        <v/>
      </c>
      <c r="KW883" s="2140" t="str">
        <f t="shared" si="287"/>
        <v/>
      </c>
      <c r="KX883" s="2140" t="str">
        <f t="shared" si="288"/>
        <v/>
      </c>
      <c r="KY883" s="2140" t="str">
        <f t="shared" si="289"/>
        <v/>
      </c>
      <c r="KZ883" s="2140" t="str">
        <f t="shared" si="290"/>
        <v/>
      </c>
      <c r="LA883" s="2140" t="str">
        <f t="shared" si="291"/>
        <v/>
      </c>
      <c r="LB883" s="2140" t="str">
        <f t="shared" si="292"/>
        <v/>
      </c>
      <c r="LC883" s="2140" t="str">
        <f t="shared" si="293"/>
        <v/>
      </c>
      <c r="LD883" s="2140" t="str">
        <f t="shared" si="294"/>
        <v/>
      </c>
      <c r="LE883" s="2140" t="str">
        <f t="shared" si="295"/>
        <v/>
      </c>
      <c r="LF883" s="2140" t="str">
        <f t="shared" si="296"/>
        <v/>
      </c>
      <c r="LG883" s="2051" t="str">
        <f t="shared" si="297"/>
        <v/>
      </c>
      <c r="LH883" s="2051" t="str">
        <f t="shared" si="298"/>
        <v/>
      </c>
      <c r="LI883" s="2051" t="str">
        <f t="shared" si="299"/>
        <v/>
      </c>
      <c r="LJ883" s="2051" t="str">
        <f t="shared" si="300"/>
        <v/>
      </c>
      <c r="LK883" s="2051" t="str">
        <f t="shared" si="301"/>
        <v/>
      </c>
      <c r="LL883" s="1852" t="str">
        <f t="shared" si="302"/>
        <v/>
      </c>
      <c r="LM883" s="1852" t="str">
        <f t="shared" si="303"/>
        <v/>
      </c>
      <c r="LN883" s="1852" t="str">
        <f t="shared" si="304"/>
        <v/>
      </c>
      <c r="LO883" s="1852" t="str">
        <f t="shared" si="305"/>
        <v/>
      </c>
      <c r="LP883" s="1852" t="str">
        <f t="shared" si="306"/>
        <v/>
      </c>
      <c r="LQ883" s="1852" t="str">
        <f t="shared" si="307"/>
        <v/>
      </c>
      <c r="LR883" s="1852" t="str">
        <f t="shared" si="308"/>
        <v/>
      </c>
      <c r="LS883" s="1852" t="str">
        <f t="shared" si="309"/>
        <v/>
      </c>
      <c r="LT883" s="1852" t="str">
        <f t="shared" si="310"/>
        <v/>
      </c>
      <c r="LU883" s="1852" t="str">
        <f t="shared" si="311"/>
        <v/>
      </c>
      <c r="LV883" s="1852" t="str">
        <f t="shared" si="312"/>
        <v/>
      </c>
      <c r="LW883" s="1852" t="str">
        <f t="shared" si="313"/>
        <v/>
      </c>
      <c r="LX883" s="1852" t="str">
        <f t="shared" si="314"/>
        <v/>
      </c>
      <c r="LY883" s="1852" t="str">
        <f t="shared" si="315"/>
        <v/>
      </c>
      <c r="LZ883" s="1852" t="str">
        <f t="shared" si="316"/>
        <v/>
      </c>
      <c r="MA883" s="1852" t="str">
        <f t="shared" si="317"/>
        <v/>
      </c>
      <c r="MB883" s="1852" t="str">
        <f t="shared" si="318"/>
        <v/>
      </c>
      <c r="MC883" s="1852" t="str">
        <f t="shared" si="319"/>
        <v/>
      </c>
      <c r="MD883" s="1852" t="str">
        <f t="shared" si="320"/>
        <v/>
      </c>
      <c r="ME883" s="1852" t="str">
        <f t="shared" si="321"/>
        <v/>
      </c>
      <c r="MF883" s="2051">
        <f t="shared" si="328"/>
        <v>0</v>
      </c>
      <c r="MG883" s="2051">
        <f t="shared" si="329"/>
        <v>0</v>
      </c>
      <c r="MH883" s="2051">
        <f t="shared" si="330"/>
        <v>0</v>
      </c>
      <c r="MI883" s="2051">
        <f t="shared" si="331"/>
        <v>0</v>
      </c>
      <c r="MJ883" s="2051">
        <f t="shared" si="332"/>
        <v>0</v>
      </c>
      <c r="MK883" s="2051">
        <f t="shared" si="333"/>
        <v>0</v>
      </c>
      <c r="ML883" s="2051">
        <f t="shared" si="334"/>
        <v>0</v>
      </c>
      <c r="MM883" s="2051">
        <f t="shared" si="335"/>
        <v>0</v>
      </c>
      <c r="MN883" s="2051">
        <f t="shared" si="336"/>
        <v>0</v>
      </c>
      <c r="MO883" s="2051">
        <f t="shared" si="337"/>
        <v>0</v>
      </c>
      <c r="MP883" s="2051">
        <f t="shared" si="322"/>
        <v>0</v>
      </c>
      <c r="MQ883" s="2051">
        <f t="shared" si="323"/>
        <v>0</v>
      </c>
      <c r="MR883" s="2051">
        <f t="shared" si="324"/>
        <v>0</v>
      </c>
      <c r="MS883" s="2051">
        <f t="shared" si="325"/>
        <v>0</v>
      </c>
      <c r="MT883" s="2051">
        <f t="shared" si="326"/>
        <v>0</v>
      </c>
      <c r="NP883" s="1924" t="s">
        <v>6752</v>
      </c>
    </row>
    <row r="884" spans="1:380" s="1852" customFormat="1" ht="13.9" customHeight="1">
      <c r="A884" s="2108" t="str">
        <f t="shared" si="327"/>
        <v/>
      </c>
      <c r="B884" s="2130">
        <f>'Part VI-Revenues &amp; Expenses'!B44</f>
        <v>0</v>
      </c>
      <c r="C884" s="2131">
        <f>'Part VI-Revenues &amp; Expenses'!C44</f>
        <v>0</v>
      </c>
      <c r="D884" s="2132">
        <f>'Part VI-Revenues &amp; Expenses'!D44</f>
        <v>0</v>
      </c>
      <c r="E884" s="2133">
        <f>'Part VI-Revenues &amp; Expenses'!E44</f>
        <v>0</v>
      </c>
      <c r="F884" s="2133">
        <f>'Part VI-Revenues &amp; Expenses'!F44</f>
        <v>0</v>
      </c>
      <c r="G884" s="2133">
        <f>'Part VI-Revenues &amp; Expenses'!G44</f>
        <v>0</v>
      </c>
      <c r="H884" s="2133">
        <f>'Part VI-Revenues &amp; Expenses'!H44</f>
        <v>0</v>
      </c>
      <c r="I884" s="2133">
        <f>'Part VI-Revenues &amp; Expenses'!I44</f>
        <v>0</v>
      </c>
      <c r="J884" s="2133">
        <f>'Part VI-Revenues &amp; Expenses'!J44</f>
        <v>0</v>
      </c>
      <c r="K884" s="2134">
        <f>'Part VI-Revenues &amp; Expenses'!K44</f>
        <v>0</v>
      </c>
      <c r="L884" s="2135">
        <f t="shared" si="0"/>
        <v>0</v>
      </c>
      <c r="M884" s="2135">
        <f t="shared" si="1"/>
        <v>0</v>
      </c>
      <c r="N884" s="1916">
        <f>'Part VI-Revenues &amp; Expenses'!N44</f>
        <v>0</v>
      </c>
      <c r="O884" s="2136">
        <f>'Part VI-Revenues &amp; Expenses'!O44</f>
        <v>0</v>
      </c>
      <c r="P884" s="1916">
        <f>'Part VI-Revenues &amp; Expenses'!P44</f>
        <v>0</v>
      </c>
      <c r="Q884" s="2137">
        <f>'Part VI-Revenues &amp; Expenses'!Q44</f>
        <v>0</v>
      </c>
      <c r="R884" s="2138"/>
      <c r="S884" s="2139"/>
      <c r="T884" s="2043"/>
      <c r="U884" s="2043"/>
      <c r="V884" s="2043"/>
      <c r="W884" s="2043"/>
      <c r="X884" s="1852" t="str">
        <f t="shared" si="2"/>
        <v/>
      </c>
      <c r="Y884" s="1852" t="str">
        <f t="shared" si="3"/>
        <v/>
      </c>
      <c r="Z884" s="1852" t="str">
        <f t="shared" si="4"/>
        <v/>
      </c>
      <c r="AA884" s="1852" t="str">
        <f t="shared" si="5"/>
        <v/>
      </c>
      <c r="AB884" s="1852" t="str">
        <f t="shared" si="6"/>
        <v/>
      </c>
      <c r="AC884" s="1852" t="str">
        <f t="shared" si="7"/>
        <v/>
      </c>
      <c r="AD884" s="1852" t="str">
        <f t="shared" si="8"/>
        <v/>
      </c>
      <c r="AE884" s="1852" t="str">
        <f t="shared" si="9"/>
        <v/>
      </c>
      <c r="AF884" s="1852" t="str">
        <f t="shared" si="10"/>
        <v/>
      </c>
      <c r="AG884" s="1852" t="str">
        <f t="shared" si="11"/>
        <v/>
      </c>
      <c r="AH884" s="1852" t="str">
        <f t="shared" si="12"/>
        <v/>
      </c>
      <c r="AI884" s="1852" t="str">
        <f t="shared" si="13"/>
        <v/>
      </c>
      <c r="AJ884" s="1852" t="str">
        <f t="shared" si="14"/>
        <v/>
      </c>
      <c r="AK884" s="1852" t="str">
        <f t="shared" si="15"/>
        <v/>
      </c>
      <c r="AL884" s="1852" t="str">
        <f t="shared" si="16"/>
        <v/>
      </c>
      <c r="AM884" s="1852" t="str">
        <f t="shared" si="17"/>
        <v/>
      </c>
      <c r="AN884" s="1852" t="str">
        <f t="shared" si="18"/>
        <v/>
      </c>
      <c r="AO884" s="1852" t="str">
        <f t="shared" si="19"/>
        <v/>
      </c>
      <c r="AP884" s="1852" t="str">
        <f t="shared" si="20"/>
        <v/>
      </c>
      <c r="AQ884" s="1852" t="str">
        <f t="shared" si="21"/>
        <v/>
      </c>
      <c r="AR884" s="1852" t="str">
        <f t="shared" si="22"/>
        <v/>
      </c>
      <c r="AS884" s="1852" t="str">
        <f t="shared" si="23"/>
        <v/>
      </c>
      <c r="AT884" s="1852" t="str">
        <f t="shared" si="24"/>
        <v/>
      </c>
      <c r="AU884" s="1852" t="str">
        <f t="shared" si="25"/>
        <v/>
      </c>
      <c r="AV884" s="1852" t="str">
        <f t="shared" si="26"/>
        <v/>
      </c>
      <c r="AW884" s="1852" t="str">
        <f t="shared" si="27"/>
        <v/>
      </c>
      <c r="AX884" s="1852" t="str">
        <f t="shared" si="28"/>
        <v/>
      </c>
      <c r="AY884" s="1852" t="str">
        <f t="shared" si="29"/>
        <v/>
      </c>
      <c r="AZ884" s="1852" t="str">
        <f t="shared" si="30"/>
        <v/>
      </c>
      <c r="BA884" s="1852" t="str">
        <f t="shared" si="31"/>
        <v/>
      </c>
      <c r="BB884" s="1852" t="str">
        <f t="shared" si="32"/>
        <v/>
      </c>
      <c r="BC884" s="1852" t="str">
        <f t="shared" si="33"/>
        <v/>
      </c>
      <c r="BD884" s="1852" t="str">
        <f t="shared" si="34"/>
        <v/>
      </c>
      <c r="BE884" s="1852" t="str">
        <f t="shared" si="35"/>
        <v/>
      </c>
      <c r="BF884" s="1852" t="str">
        <f t="shared" si="36"/>
        <v/>
      </c>
      <c r="BG884" s="1852" t="str">
        <f t="shared" si="37"/>
        <v/>
      </c>
      <c r="BH884" s="1852" t="str">
        <f t="shared" si="38"/>
        <v/>
      </c>
      <c r="BI884" s="1852" t="str">
        <f t="shared" si="39"/>
        <v/>
      </c>
      <c r="BJ884" s="1852" t="str">
        <f t="shared" si="40"/>
        <v/>
      </c>
      <c r="BK884" s="1852" t="str">
        <f t="shared" si="41"/>
        <v/>
      </c>
      <c r="BL884" s="1852" t="str">
        <f t="shared" si="42"/>
        <v/>
      </c>
      <c r="BM884" s="1852" t="str">
        <f t="shared" si="43"/>
        <v/>
      </c>
      <c r="BN884" s="1852" t="str">
        <f t="shared" si="44"/>
        <v/>
      </c>
      <c r="BO884" s="1852" t="str">
        <f t="shared" si="45"/>
        <v/>
      </c>
      <c r="BP884" s="1852" t="str">
        <f t="shared" si="46"/>
        <v/>
      </c>
      <c r="BQ884" s="1852" t="str">
        <f t="shared" si="47"/>
        <v/>
      </c>
      <c r="BR884" s="1852" t="str">
        <f t="shared" si="48"/>
        <v/>
      </c>
      <c r="BS884" s="1852" t="str">
        <f t="shared" si="49"/>
        <v/>
      </c>
      <c r="BT884" s="1852" t="str">
        <f t="shared" si="50"/>
        <v/>
      </c>
      <c r="BU884" s="1852" t="str">
        <f t="shared" si="51"/>
        <v/>
      </c>
      <c r="BV884" s="1852" t="str">
        <f t="shared" si="52"/>
        <v/>
      </c>
      <c r="BW884" s="1852" t="str">
        <f t="shared" si="53"/>
        <v/>
      </c>
      <c r="BX884" s="1852" t="str">
        <f t="shared" si="54"/>
        <v/>
      </c>
      <c r="BY884" s="1852" t="str">
        <f t="shared" si="55"/>
        <v/>
      </c>
      <c r="BZ884" s="1852" t="str">
        <f t="shared" si="56"/>
        <v/>
      </c>
      <c r="CA884" s="1852" t="str">
        <f t="shared" si="57"/>
        <v/>
      </c>
      <c r="CB884" s="1852" t="str">
        <f t="shared" si="58"/>
        <v/>
      </c>
      <c r="CC884" s="1852" t="str">
        <f t="shared" si="59"/>
        <v/>
      </c>
      <c r="CD884" s="1852" t="str">
        <f t="shared" si="60"/>
        <v/>
      </c>
      <c r="CE884" s="1852" t="str">
        <f t="shared" si="61"/>
        <v/>
      </c>
      <c r="CF884" s="1852" t="str">
        <f t="shared" si="62"/>
        <v/>
      </c>
      <c r="CG884" s="1852" t="str">
        <f t="shared" si="63"/>
        <v/>
      </c>
      <c r="CH884" s="1852" t="str">
        <f t="shared" si="64"/>
        <v/>
      </c>
      <c r="CI884" s="1852" t="str">
        <f t="shared" si="65"/>
        <v/>
      </c>
      <c r="CJ884" s="1852" t="str">
        <f t="shared" si="66"/>
        <v/>
      </c>
      <c r="CK884" s="1852" t="str">
        <f t="shared" si="67"/>
        <v/>
      </c>
      <c r="CL884" s="1852" t="str">
        <f t="shared" si="68"/>
        <v/>
      </c>
      <c r="CM884" s="1852" t="str">
        <f t="shared" si="69"/>
        <v/>
      </c>
      <c r="CN884" s="1852" t="str">
        <f t="shared" si="70"/>
        <v/>
      </c>
      <c r="CO884" s="1852" t="str">
        <f t="shared" si="71"/>
        <v/>
      </c>
      <c r="CP884" s="1852" t="str">
        <f t="shared" si="72"/>
        <v/>
      </c>
      <c r="CQ884" s="1852" t="str">
        <f t="shared" si="73"/>
        <v/>
      </c>
      <c r="CR884" s="1852" t="str">
        <f t="shared" si="74"/>
        <v/>
      </c>
      <c r="CS884" s="1852" t="str">
        <f t="shared" si="75"/>
        <v/>
      </c>
      <c r="CT884" s="1852" t="str">
        <f t="shared" si="76"/>
        <v/>
      </c>
      <c r="CU884" s="1852" t="str">
        <f t="shared" si="77"/>
        <v/>
      </c>
      <c r="CV884" s="1852" t="str">
        <f t="shared" si="78"/>
        <v/>
      </c>
      <c r="CW884" s="1852" t="str">
        <f t="shared" si="79"/>
        <v/>
      </c>
      <c r="CX884" s="1852" t="str">
        <f t="shared" si="80"/>
        <v/>
      </c>
      <c r="CY884" s="1852" t="str">
        <f t="shared" si="81"/>
        <v/>
      </c>
      <c r="CZ884" s="1852" t="str">
        <f t="shared" si="82"/>
        <v/>
      </c>
      <c r="DA884" s="1852" t="str">
        <f t="shared" si="83"/>
        <v/>
      </c>
      <c r="DB884" s="1852" t="str">
        <f t="shared" si="84"/>
        <v/>
      </c>
      <c r="DC884" s="1852" t="str">
        <f t="shared" si="85"/>
        <v/>
      </c>
      <c r="DD884" s="1852" t="str">
        <f t="shared" si="86"/>
        <v/>
      </c>
      <c r="DE884" s="1852" t="str">
        <f t="shared" si="87"/>
        <v/>
      </c>
      <c r="DF884" s="1852" t="str">
        <f t="shared" si="88"/>
        <v/>
      </c>
      <c r="DG884" s="1852" t="str">
        <f t="shared" si="89"/>
        <v/>
      </c>
      <c r="DH884" s="1852" t="str">
        <f t="shared" si="90"/>
        <v/>
      </c>
      <c r="DI884" s="1852" t="str">
        <f t="shared" si="91"/>
        <v/>
      </c>
      <c r="DJ884" s="1852" t="str">
        <f t="shared" si="92"/>
        <v/>
      </c>
      <c r="DK884" s="1852" t="str">
        <f t="shared" si="93"/>
        <v/>
      </c>
      <c r="DL884" s="1852" t="str">
        <f t="shared" si="94"/>
        <v/>
      </c>
      <c r="DM884" s="1852" t="str">
        <f t="shared" si="95"/>
        <v/>
      </c>
      <c r="DN884" s="1852" t="str">
        <f t="shared" si="96"/>
        <v/>
      </c>
      <c r="DO884" s="1852" t="str">
        <f t="shared" si="97"/>
        <v/>
      </c>
      <c r="DP884" s="1852" t="str">
        <f t="shared" si="98"/>
        <v/>
      </c>
      <c r="DQ884" s="1852" t="str">
        <f t="shared" si="99"/>
        <v/>
      </c>
      <c r="DR884" s="1852" t="str">
        <f t="shared" si="100"/>
        <v/>
      </c>
      <c r="DS884" s="1852" t="str">
        <f t="shared" si="101"/>
        <v/>
      </c>
      <c r="DT884" s="1852" t="str">
        <f t="shared" si="102"/>
        <v/>
      </c>
      <c r="DU884" s="1852" t="str">
        <f t="shared" si="103"/>
        <v/>
      </c>
      <c r="DV884" s="1852" t="str">
        <f t="shared" si="104"/>
        <v/>
      </c>
      <c r="DW884" s="1852" t="str">
        <f t="shared" si="105"/>
        <v/>
      </c>
      <c r="DX884" s="1852" t="str">
        <f t="shared" si="106"/>
        <v/>
      </c>
      <c r="DY884" s="1852" t="str">
        <f t="shared" si="107"/>
        <v/>
      </c>
      <c r="DZ884" s="1852" t="str">
        <f t="shared" si="108"/>
        <v/>
      </c>
      <c r="EA884" s="1852" t="str">
        <f t="shared" si="109"/>
        <v/>
      </c>
      <c r="EB884" s="1852" t="str">
        <f t="shared" si="110"/>
        <v/>
      </c>
      <c r="EC884" s="1852" t="str">
        <f t="shared" si="111"/>
        <v/>
      </c>
      <c r="ED884" s="1852" t="str">
        <f t="shared" si="112"/>
        <v/>
      </c>
      <c r="EE884" s="1852" t="str">
        <f t="shared" si="113"/>
        <v/>
      </c>
      <c r="EF884" s="1852" t="str">
        <f t="shared" si="114"/>
        <v/>
      </c>
      <c r="EG884" s="1852" t="str">
        <f t="shared" si="115"/>
        <v/>
      </c>
      <c r="EH884" s="1852" t="str">
        <f t="shared" si="116"/>
        <v/>
      </c>
      <c r="EI884" s="1852" t="str">
        <f t="shared" si="117"/>
        <v/>
      </c>
      <c r="EJ884" s="1852" t="str">
        <f t="shared" si="118"/>
        <v/>
      </c>
      <c r="EK884" s="1852" t="str">
        <f t="shared" si="119"/>
        <v/>
      </c>
      <c r="EL884" s="1852" t="str">
        <f t="shared" si="120"/>
        <v/>
      </c>
      <c r="EM884" s="1852" t="str">
        <f t="shared" si="121"/>
        <v/>
      </c>
      <c r="EN884" s="1852" t="str">
        <f t="shared" si="122"/>
        <v/>
      </c>
      <c r="EO884" s="1852" t="str">
        <f t="shared" si="123"/>
        <v/>
      </c>
      <c r="EP884" s="1852" t="str">
        <f t="shared" si="124"/>
        <v/>
      </c>
      <c r="EQ884" s="1852" t="str">
        <f t="shared" si="125"/>
        <v/>
      </c>
      <c r="ER884" s="1852" t="str">
        <f t="shared" si="126"/>
        <v/>
      </c>
      <c r="ES884" s="1852" t="str">
        <f t="shared" si="127"/>
        <v/>
      </c>
      <c r="ET884" s="1852" t="str">
        <f t="shared" si="128"/>
        <v/>
      </c>
      <c r="EU884" s="1852" t="str">
        <f t="shared" si="129"/>
        <v/>
      </c>
      <c r="EV884" s="1852" t="str">
        <f t="shared" si="130"/>
        <v/>
      </c>
      <c r="EW884" s="1852" t="str">
        <f t="shared" si="131"/>
        <v/>
      </c>
      <c r="EX884" s="1852" t="str">
        <f t="shared" si="132"/>
        <v/>
      </c>
      <c r="EY884" s="1852" t="str">
        <f t="shared" si="133"/>
        <v/>
      </c>
      <c r="EZ884" s="1852" t="str">
        <f t="shared" si="134"/>
        <v/>
      </c>
      <c r="FA884" s="1852" t="str">
        <f t="shared" si="135"/>
        <v/>
      </c>
      <c r="FB884" s="1852" t="str">
        <f t="shared" si="136"/>
        <v/>
      </c>
      <c r="FC884" s="1852" t="str">
        <f t="shared" si="137"/>
        <v/>
      </c>
      <c r="FD884" s="1852" t="str">
        <f t="shared" si="138"/>
        <v/>
      </c>
      <c r="FE884" s="1852" t="str">
        <f t="shared" si="139"/>
        <v/>
      </c>
      <c r="FF884" s="1852" t="str">
        <f t="shared" si="140"/>
        <v/>
      </c>
      <c r="FG884" s="1852" t="str">
        <f t="shared" si="141"/>
        <v/>
      </c>
      <c r="FH884" s="1852" t="str">
        <f t="shared" si="142"/>
        <v/>
      </c>
      <c r="FI884" s="1852" t="str">
        <f t="shared" si="143"/>
        <v/>
      </c>
      <c r="FJ884" s="1852" t="str">
        <f t="shared" si="144"/>
        <v/>
      </c>
      <c r="FK884" s="1852" t="str">
        <f t="shared" si="145"/>
        <v/>
      </c>
      <c r="FL884" s="1852" t="str">
        <f t="shared" si="146"/>
        <v/>
      </c>
      <c r="FM884" s="1852" t="str">
        <f t="shared" si="147"/>
        <v/>
      </c>
      <c r="FN884" s="1852" t="str">
        <f t="shared" si="148"/>
        <v/>
      </c>
      <c r="FO884" s="1852" t="str">
        <f t="shared" si="149"/>
        <v/>
      </c>
      <c r="FP884" s="1852" t="str">
        <f t="shared" si="150"/>
        <v/>
      </c>
      <c r="FQ884" s="1852" t="str">
        <f t="shared" si="151"/>
        <v/>
      </c>
      <c r="FR884" s="1852" t="str">
        <f t="shared" si="152"/>
        <v/>
      </c>
      <c r="FS884" s="1852" t="str">
        <f t="shared" si="153"/>
        <v/>
      </c>
      <c r="FT884" s="1852" t="str">
        <f t="shared" si="154"/>
        <v/>
      </c>
      <c r="FU884" s="1852" t="str">
        <f t="shared" si="155"/>
        <v/>
      </c>
      <c r="FV884" s="1852" t="str">
        <f t="shared" si="156"/>
        <v/>
      </c>
      <c r="FW884" s="1852" t="str">
        <f t="shared" si="157"/>
        <v/>
      </c>
      <c r="FX884" s="1852" t="str">
        <f t="shared" si="158"/>
        <v/>
      </c>
      <c r="FY884" s="1852" t="str">
        <f t="shared" si="159"/>
        <v/>
      </c>
      <c r="FZ884" s="1852" t="str">
        <f t="shared" si="160"/>
        <v/>
      </c>
      <c r="GA884" s="1852" t="str">
        <f t="shared" si="161"/>
        <v/>
      </c>
      <c r="GB884" s="1852" t="str">
        <f t="shared" si="162"/>
        <v/>
      </c>
      <c r="GC884" s="1852" t="str">
        <f t="shared" si="163"/>
        <v/>
      </c>
      <c r="GD884" s="1852" t="str">
        <f t="shared" si="164"/>
        <v/>
      </c>
      <c r="GE884" s="1852" t="str">
        <f t="shared" si="165"/>
        <v/>
      </c>
      <c r="GF884" s="1852" t="str">
        <f t="shared" si="166"/>
        <v/>
      </c>
      <c r="GG884" s="1852" t="str">
        <f t="shared" si="167"/>
        <v/>
      </c>
      <c r="GH884" s="1852" t="str">
        <f t="shared" si="168"/>
        <v/>
      </c>
      <c r="GI884" s="1852" t="str">
        <f t="shared" si="169"/>
        <v/>
      </c>
      <c r="GJ884" s="1852" t="str">
        <f t="shared" si="170"/>
        <v/>
      </c>
      <c r="GK884" s="1852" t="str">
        <f t="shared" si="171"/>
        <v/>
      </c>
      <c r="GL884" s="1852" t="str">
        <f t="shared" si="172"/>
        <v/>
      </c>
      <c r="GM884" s="1852" t="str">
        <f t="shared" si="173"/>
        <v/>
      </c>
      <c r="GN884" s="1852" t="str">
        <f t="shared" si="174"/>
        <v/>
      </c>
      <c r="GO884" s="1852" t="str">
        <f t="shared" si="175"/>
        <v/>
      </c>
      <c r="GP884" s="1852" t="str">
        <f t="shared" si="176"/>
        <v/>
      </c>
      <c r="GQ884" s="1852" t="str">
        <f t="shared" si="177"/>
        <v/>
      </c>
      <c r="GR884" s="1852" t="str">
        <f t="shared" si="178"/>
        <v/>
      </c>
      <c r="GS884" s="1852" t="str">
        <f t="shared" si="179"/>
        <v/>
      </c>
      <c r="GT884" s="1852" t="str">
        <f t="shared" si="180"/>
        <v/>
      </c>
      <c r="GU884" s="1852" t="str">
        <f t="shared" si="181"/>
        <v/>
      </c>
      <c r="GV884" s="1852" t="str">
        <f t="shared" si="182"/>
        <v/>
      </c>
      <c r="GW884" s="1852" t="str">
        <f t="shared" si="183"/>
        <v/>
      </c>
      <c r="GX884" s="1852" t="str">
        <f t="shared" si="184"/>
        <v/>
      </c>
      <c r="GY884" s="1852" t="str">
        <f t="shared" si="185"/>
        <v/>
      </c>
      <c r="GZ884" s="1852" t="str">
        <f t="shared" si="186"/>
        <v/>
      </c>
      <c r="HA884" s="1852" t="str">
        <f t="shared" si="187"/>
        <v/>
      </c>
      <c r="HB884" s="1852" t="str">
        <f t="shared" si="188"/>
        <v/>
      </c>
      <c r="HC884" s="1852" t="str">
        <f t="shared" si="189"/>
        <v/>
      </c>
      <c r="HD884" s="1852" t="str">
        <f t="shared" si="190"/>
        <v/>
      </c>
      <c r="HE884" s="1852" t="str">
        <f t="shared" si="191"/>
        <v/>
      </c>
      <c r="HF884" s="1852" t="str">
        <f t="shared" si="192"/>
        <v/>
      </c>
      <c r="HG884" s="1852" t="str">
        <f t="shared" si="193"/>
        <v/>
      </c>
      <c r="HH884" s="1852" t="str">
        <f t="shared" si="194"/>
        <v/>
      </c>
      <c r="HI884" s="1852" t="str">
        <f t="shared" si="195"/>
        <v/>
      </c>
      <c r="HJ884" s="1852" t="str">
        <f t="shared" si="196"/>
        <v/>
      </c>
      <c r="HK884" s="1852" t="str">
        <f t="shared" si="197"/>
        <v/>
      </c>
      <c r="HL884" s="1852" t="str">
        <f t="shared" si="198"/>
        <v/>
      </c>
      <c r="HM884" s="1852" t="str">
        <f t="shared" si="199"/>
        <v/>
      </c>
      <c r="HN884" s="1852" t="str">
        <f t="shared" si="200"/>
        <v/>
      </c>
      <c r="HO884" s="1852" t="str">
        <f t="shared" si="201"/>
        <v/>
      </c>
      <c r="HP884" s="1852" t="str">
        <f t="shared" si="202"/>
        <v/>
      </c>
      <c r="HQ884" s="1852" t="str">
        <f t="shared" si="203"/>
        <v/>
      </c>
      <c r="HR884" s="1852" t="str">
        <f t="shared" si="204"/>
        <v/>
      </c>
      <c r="HS884" s="1852" t="str">
        <f t="shared" si="205"/>
        <v/>
      </c>
      <c r="HT884" s="1852" t="str">
        <f t="shared" si="206"/>
        <v/>
      </c>
      <c r="HU884" s="1852" t="str">
        <f t="shared" si="207"/>
        <v/>
      </c>
      <c r="HV884" s="1852" t="str">
        <f t="shared" si="208"/>
        <v/>
      </c>
      <c r="HW884" s="1852" t="str">
        <f t="shared" si="209"/>
        <v/>
      </c>
      <c r="HX884" s="1852" t="str">
        <f t="shared" si="210"/>
        <v/>
      </c>
      <c r="HY884" s="1852" t="str">
        <f t="shared" si="211"/>
        <v/>
      </c>
      <c r="HZ884" s="2140" t="str">
        <f t="shared" si="212"/>
        <v/>
      </c>
      <c r="IA884" s="2140" t="str">
        <f t="shared" si="213"/>
        <v/>
      </c>
      <c r="IB884" s="2140" t="str">
        <f t="shared" si="214"/>
        <v/>
      </c>
      <c r="IC884" s="2140" t="str">
        <f t="shared" si="215"/>
        <v/>
      </c>
      <c r="ID884" s="2140" t="str">
        <f t="shared" si="216"/>
        <v/>
      </c>
      <c r="IE884" s="2140" t="str">
        <f t="shared" si="217"/>
        <v/>
      </c>
      <c r="IF884" s="2140" t="str">
        <f t="shared" si="218"/>
        <v/>
      </c>
      <c r="IG884" s="2140" t="str">
        <f t="shared" si="219"/>
        <v/>
      </c>
      <c r="IH884" s="2140" t="str">
        <f t="shared" si="220"/>
        <v/>
      </c>
      <c r="II884" s="2140" t="str">
        <f t="shared" si="221"/>
        <v/>
      </c>
      <c r="IJ884" s="2140" t="str">
        <f t="shared" si="222"/>
        <v/>
      </c>
      <c r="IK884" s="2140" t="str">
        <f t="shared" si="223"/>
        <v/>
      </c>
      <c r="IL884" s="2140" t="str">
        <f t="shared" si="224"/>
        <v/>
      </c>
      <c r="IM884" s="2140" t="str">
        <f t="shared" si="225"/>
        <v/>
      </c>
      <c r="IN884" s="2140" t="str">
        <f t="shared" si="226"/>
        <v/>
      </c>
      <c r="IO884" s="2140" t="str">
        <f t="shared" si="227"/>
        <v/>
      </c>
      <c r="IP884" s="2140" t="str">
        <f t="shared" si="228"/>
        <v/>
      </c>
      <c r="IQ884" s="2140" t="str">
        <f t="shared" si="229"/>
        <v/>
      </c>
      <c r="IR884" s="2140" t="str">
        <f t="shared" si="230"/>
        <v/>
      </c>
      <c r="IS884" s="2140" t="str">
        <f t="shared" si="231"/>
        <v/>
      </c>
      <c r="IT884" s="2140" t="str">
        <f t="shared" si="232"/>
        <v/>
      </c>
      <c r="IU884" s="2140" t="str">
        <f t="shared" si="233"/>
        <v/>
      </c>
      <c r="IV884" s="2140" t="str">
        <f t="shared" si="234"/>
        <v/>
      </c>
      <c r="IW884" s="2140" t="str">
        <f t="shared" si="235"/>
        <v/>
      </c>
      <c r="IX884" s="2140" t="str">
        <f t="shared" si="236"/>
        <v/>
      </c>
      <c r="IY884" s="2140" t="str">
        <f t="shared" si="237"/>
        <v/>
      </c>
      <c r="IZ884" s="2140" t="str">
        <f t="shared" si="238"/>
        <v/>
      </c>
      <c r="JA884" s="2140" t="str">
        <f t="shared" si="239"/>
        <v/>
      </c>
      <c r="JB884" s="2140" t="str">
        <f t="shared" si="240"/>
        <v/>
      </c>
      <c r="JC884" s="2140" t="str">
        <f t="shared" si="241"/>
        <v/>
      </c>
      <c r="JD884" s="2140" t="str">
        <f t="shared" si="242"/>
        <v/>
      </c>
      <c r="JE884" s="2140" t="str">
        <f t="shared" si="243"/>
        <v/>
      </c>
      <c r="JF884" s="2140" t="str">
        <f t="shared" si="244"/>
        <v/>
      </c>
      <c r="JG884" s="2140" t="str">
        <f t="shared" si="245"/>
        <v/>
      </c>
      <c r="JH884" s="2140" t="str">
        <f t="shared" si="246"/>
        <v/>
      </c>
      <c r="JI884" s="2140" t="str">
        <f t="shared" si="247"/>
        <v/>
      </c>
      <c r="JJ884" s="2140" t="str">
        <f t="shared" si="248"/>
        <v/>
      </c>
      <c r="JK884" s="2140" t="str">
        <f t="shared" si="249"/>
        <v/>
      </c>
      <c r="JL884" s="2140" t="str">
        <f t="shared" si="250"/>
        <v/>
      </c>
      <c r="JM884" s="2140" t="str">
        <f t="shared" si="251"/>
        <v/>
      </c>
      <c r="JN884" s="2140" t="str">
        <f t="shared" si="252"/>
        <v/>
      </c>
      <c r="JO884" s="2140" t="str">
        <f t="shared" si="253"/>
        <v/>
      </c>
      <c r="JP884" s="2140" t="str">
        <f t="shared" si="254"/>
        <v/>
      </c>
      <c r="JQ884" s="2140" t="str">
        <f t="shared" si="255"/>
        <v/>
      </c>
      <c r="JR884" s="2140" t="str">
        <f t="shared" si="256"/>
        <v/>
      </c>
      <c r="JS884" s="2140" t="str">
        <f t="shared" si="257"/>
        <v/>
      </c>
      <c r="JT884" s="2140" t="str">
        <f t="shared" si="258"/>
        <v/>
      </c>
      <c r="JU884" s="2140" t="str">
        <f t="shared" si="259"/>
        <v/>
      </c>
      <c r="JV884" s="2140" t="str">
        <f t="shared" si="260"/>
        <v/>
      </c>
      <c r="JW884" s="2140" t="str">
        <f t="shared" si="261"/>
        <v/>
      </c>
      <c r="JX884" s="2140" t="str">
        <f t="shared" si="262"/>
        <v/>
      </c>
      <c r="JY884" s="2140" t="str">
        <f t="shared" si="263"/>
        <v/>
      </c>
      <c r="JZ884" s="2140" t="str">
        <f t="shared" si="264"/>
        <v/>
      </c>
      <c r="KA884" s="2140" t="str">
        <f t="shared" si="265"/>
        <v/>
      </c>
      <c r="KB884" s="2140" t="str">
        <f t="shared" si="266"/>
        <v/>
      </c>
      <c r="KC884" s="2140" t="str">
        <f t="shared" si="267"/>
        <v/>
      </c>
      <c r="KD884" s="2140" t="str">
        <f t="shared" si="268"/>
        <v/>
      </c>
      <c r="KE884" s="2140" t="str">
        <f t="shared" si="269"/>
        <v/>
      </c>
      <c r="KF884" s="2140" t="str">
        <f t="shared" si="270"/>
        <v/>
      </c>
      <c r="KG884" s="2140" t="str">
        <f t="shared" si="271"/>
        <v/>
      </c>
      <c r="KH884" s="2140" t="str">
        <f t="shared" si="272"/>
        <v/>
      </c>
      <c r="KI884" s="2140" t="str">
        <f t="shared" si="273"/>
        <v/>
      </c>
      <c r="KJ884" s="2140" t="str">
        <f t="shared" si="274"/>
        <v/>
      </c>
      <c r="KK884" s="2140" t="str">
        <f t="shared" si="275"/>
        <v/>
      </c>
      <c r="KL884" s="2140" t="str">
        <f t="shared" si="276"/>
        <v/>
      </c>
      <c r="KM884" s="2140" t="str">
        <f t="shared" si="277"/>
        <v/>
      </c>
      <c r="KN884" s="2140" t="str">
        <f t="shared" si="278"/>
        <v/>
      </c>
      <c r="KO884" s="2140" t="str">
        <f t="shared" si="279"/>
        <v/>
      </c>
      <c r="KP884" s="2140" t="str">
        <f t="shared" si="280"/>
        <v/>
      </c>
      <c r="KQ884" s="2140" t="str">
        <f t="shared" si="281"/>
        <v/>
      </c>
      <c r="KR884" s="2140" t="str">
        <f t="shared" si="282"/>
        <v/>
      </c>
      <c r="KS884" s="2140" t="str">
        <f t="shared" si="283"/>
        <v/>
      </c>
      <c r="KT884" s="2140" t="str">
        <f t="shared" si="284"/>
        <v/>
      </c>
      <c r="KU884" s="2140" t="str">
        <f t="shared" si="285"/>
        <v/>
      </c>
      <c r="KV884" s="2140" t="str">
        <f t="shared" si="286"/>
        <v/>
      </c>
      <c r="KW884" s="2140" t="str">
        <f t="shared" si="287"/>
        <v/>
      </c>
      <c r="KX884" s="2140" t="str">
        <f t="shared" si="288"/>
        <v/>
      </c>
      <c r="KY884" s="2140" t="str">
        <f t="shared" si="289"/>
        <v/>
      </c>
      <c r="KZ884" s="2140" t="str">
        <f t="shared" si="290"/>
        <v/>
      </c>
      <c r="LA884" s="2140" t="str">
        <f t="shared" si="291"/>
        <v/>
      </c>
      <c r="LB884" s="2140" t="str">
        <f t="shared" si="292"/>
        <v/>
      </c>
      <c r="LC884" s="2140" t="str">
        <f t="shared" si="293"/>
        <v/>
      </c>
      <c r="LD884" s="2140" t="str">
        <f t="shared" si="294"/>
        <v/>
      </c>
      <c r="LE884" s="2140" t="str">
        <f t="shared" si="295"/>
        <v/>
      </c>
      <c r="LF884" s="2140" t="str">
        <f t="shared" si="296"/>
        <v/>
      </c>
      <c r="LG884" s="2051" t="str">
        <f t="shared" si="297"/>
        <v/>
      </c>
      <c r="LH884" s="2051" t="str">
        <f t="shared" si="298"/>
        <v/>
      </c>
      <c r="LI884" s="2051" t="str">
        <f t="shared" si="299"/>
        <v/>
      </c>
      <c r="LJ884" s="2051" t="str">
        <f t="shared" si="300"/>
        <v/>
      </c>
      <c r="LK884" s="2051" t="str">
        <f t="shared" si="301"/>
        <v/>
      </c>
      <c r="LL884" s="1852" t="str">
        <f t="shared" si="302"/>
        <v/>
      </c>
      <c r="LM884" s="1852" t="str">
        <f t="shared" si="303"/>
        <v/>
      </c>
      <c r="LN884" s="1852" t="str">
        <f t="shared" si="304"/>
        <v/>
      </c>
      <c r="LO884" s="1852" t="str">
        <f t="shared" si="305"/>
        <v/>
      </c>
      <c r="LP884" s="1852" t="str">
        <f t="shared" si="306"/>
        <v/>
      </c>
      <c r="LQ884" s="1852" t="str">
        <f t="shared" si="307"/>
        <v/>
      </c>
      <c r="LR884" s="1852" t="str">
        <f t="shared" si="308"/>
        <v/>
      </c>
      <c r="LS884" s="1852" t="str">
        <f t="shared" si="309"/>
        <v/>
      </c>
      <c r="LT884" s="1852" t="str">
        <f t="shared" si="310"/>
        <v/>
      </c>
      <c r="LU884" s="1852" t="str">
        <f t="shared" si="311"/>
        <v/>
      </c>
      <c r="LV884" s="1852" t="str">
        <f t="shared" si="312"/>
        <v/>
      </c>
      <c r="LW884" s="1852" t="str">
        <f t="shared" si="313"/>
        <v/>
      </c>
      <c r="LX884" s="1852" t="str">
        <f t="shared" si="314"/>
        <v/>
      </c>
      <c r="LY884" s="1852" t="str">
        <f t="shared" si="315"/>
        <v/>
      </c>
      <c r="LZ884" s="1852" t="str">
        <f t="shared" si="316"/>
        <v/>
      </c>
      <c r="MA884" s="1852" t="str">
        <f t="shared" si="317"/>
        <v/>
      </c>
      <c r="MB884" s="1852" t="str">
        <f t="shared" si="318"/>
        <v/>
      </c>
      <c r="MC884" s="1852" t="str">
        <f t="shared" si="319"/>
        <v/>
      </c>
      <c r="MD884" s="1852" t="str">
        <f t="shared" si="320"/>
        <v/>
      </c>
      <c r="ME884" s="1852" t="str">
        <f t="shared" si="321"/>
        <v/>
      </c>
      <c r="MF884" s="2051">
        <f t="shared" si="328"/>
        <v>0</v>
      </c>
      <c r="MG884" s="2051">
        <f t="shared" si="329"/>
        <v>0</v>
      </c>
      <c r="MH884" s="2051">
        <f t="shared" si="330"/>
        <v>0</v>
      </c>
      <c r="MI884" s="2051">
        <f t="shared" si="331"/>
        <v>0</v>
      </c>
      <c r="MJ884" s="2051">
        <f t="shared" si="332"/>
        <v>0</v>
      </c>
      <c r="MK884" s="2051">
        <f t="shared" si="333"/>
        <v>0</v>
      </c>
      <c r="ML884" s="2051">
        <f t="shared" si="334"/>
        <v>0</v>
      </c>
      <c r="MM884" s="2051">
        <f t="shared" si="335"/>
        <v>0</v>
      </c>
      <c r="MN884" s="2051">
        <f t="shared" si="336"/>
        <v>0</v>
      </c>
      <c r="MO884" s="2051">
        <f t="shared" si="337"/>
        <v>0</v>
      </c>
      <c r="MP884" s="2051">
        <f t="shared" si="322"/>
        <v>0</v>
      </c>
      <c r="MQ884" s="2051">
        <f t="shared" si="323"/>
        <v>0</v>
      </c>
      <c r="MR884" s="2051">
        <f t="shared" si="324"/>
        <v>0</v>
      </c>
      <c r="MS884" s="2051">
        <f t="shared" si="325"/>
        <v>0</v>
      </c>
      <c r="MT884" s="2051">
        <f t="shared" si="326"/>
        <v>0</v>
      </c>
      <c r="NP884" s="1924" t="s">
        <v>6753</v>
      </c>
    </row>
    <row r="885" spans="1:380" s="1852" customFormat="1" ht="13.9" customHeight="1">
      <c r="A885" s="2108" t="str">
        <f t="shared" si="327"/>
        <v/>
      </c>
      <c r="B885" s="2130">
        <f>'Part VI-Revenues &amp; Expenses'!B45</f>
        <v>0</v>
      </c>
      <c r="C885" s="2131">
        <f>'Part VI-Revenues &amp; Expenses'!C45</f>
        <v>0</v>
      </c>
      <c r="D885" s="2132">
        <f>'Part VI-Revenues &amp; Expenses'!D45</f>
        <v>0</v>
      </c>
      <c r="E885" s="2133">
        <f>'Part VI-Revenues &amp; Expenses'!E45</f>
        <v>0</v>
      </c>
      <c r="F885" s="2133">
        <f>'Part VI-Revenues &amp; Expenses'!F45</f>
        <v>0</v>
      </c>
      <c r="G885" s="2133">
        <f>'Part VI-Revenues &amp; Expenses'!G45</f>
        <v>0</v>
      </c>
      <c r="H885" s="2133">
        <f>'Part VI-Revenues &amp; Expenses'!H45</f>
        <v>0</v>
      </c>
      <c r="I885" s="2133">
        <f>'Part VI-Revenues &amp; Expenses'!I45</f>
        <v>0</v>
      </c>
      <c r="J885" s="2133">
        <f>'Part VI-Revenues &amp; Expenses'!J45</f>
        <v>0</v>
      </c>
      <c r="K885" s="2134">
        <f>'Part VI-Revenues &amp; Expenses'!K45</f>
        <v>0</v>
      </c>
      <c r="L885" s="2135">
        <f t="shared" si="0"/>
        <v>0</v>
      </c>
      <c r="M885" s="2135">
        <f t="shared" si="1"/>
        <v>0</v>
      </c>
      <c r="N885" s="1916">
        <f>'Part VI-Revenues &amp; Expenses'!N45</f>
        <v>0</v>
      </c>
      <c r="O885" s="2136">
        <f>'Part VI-Revenues &amp; Expenses'!O45</f>
        <v>0</v>
      </c>
      <c r="P885" s="1916">
        <f>'Part VI-Revenues &amp; Expenses'!P45</f>
        <v>0</v>
      </c>
      <c r="Q885" s="2137">
        <f>'Part VI-Revenues &amp; Expenses'!Q45</f>
        <v>0</v>
      </c>
      <c r="R885" s="2138"/>
      <c r="S885" s="2139"/>
      <c r="T885" s="2043"/>
      <c r="U885" s="2043"/>
      <c r="V885" s="2043"/>
      <c r="W885" s="2043"/>
      <c r="X885" s="1852" t="str">
        <f t="shared" si="2"/>
        <v/>
      </c>
      <c r="Y885" s="1852" t="str">
        <f t="shared" si="3"/>
        <v/>
      </c>
      <c r="Z885" s="1852" t="str">
        <f t="shared" si="4"/>
        <v/>
      </c>
      <c r="AA885" s="1852" t="str">
        <f t="shared" si="5"/>
        <v/>
      </c>
      <c r="AB885" s="1852" t="str">
        <f t="shared" si="6"/>
        <v/>
      </c>
      <c r="AC885" s="1852" t="str">
        <f t="shared" si="7"/>
        <v/>
      </c>
      <c r="AD885" s="1852" t="str">
        <f t="shared" si="8"/>
        <v/>
      </c>
      <c r="AE885" s="1852" t="str">
        <f t="shared" si="9"/>
        <v/>
      </c>
      <c r="AF885" s="1852" t="str">
        <f t="shared" si="10"/>
        <v/>
      </c>
      <c r="AG885" s="1852" t="str">
        <f t="shared" si="11"/>
        <v/>
      </c>
      <c r="AH885" s="1852" t="str">
        <f t="shared" si="12"/>
        <v/>
      </c>
      <c r="AI885" s="1852" t="str">
        <f t="shared" si="13"/>
        <v/>
      </c>
      <c r="AJ885" s="1852" t="str">
        <f t="shared" si="14"/>
        <v/>
      </c>
      <c r="AK885" s="1852" t="str">
        <f t="shared" si="15"/>
        <v/>
      </c>
      <c r="AL885" s="1852" t="str">
        <f t="shared" si="16"/>
        <v/>
      </c>
      <c r="AM885" s="1852" t="str">
        <f t="shared" si="17"/>
        <v/>
      </c>
      <c r="AN885" s="1852" t="str">
        <f t="shared" si="18"/>
        <v/>
      </c>
      <c r="AO885" s="1852" t="str">
        <f t="shared" si="19"/>
        <v/>
      </c>
      <c r="AP885" s="1852" t="str">
        <f t="shared" si="20"/>
        <v/>
      </c>
      <c r="AQ885" s="1852" t="str">
        <f t="shared" si="21"/>
        <v/>
      </c>
      <c r="AR885" s="1852" t="str">
        <f t="shared" si="22"/>
        <v/>
      </c>
      <c r="AS885" s="1852" t="str">
        <f t="shared" si="23"/>
        <v/>
      </c>
      <c r="AT885" s="1852" t="str">
        <f t="shared" si="24"/>
        <v/>
      </c>
      <c r="AU885" s="1852" t="str">
        <f t="shared" si="25"/>
        <v/>
      </c>
      <c r="AV885" s="1852" t="str">
        <f t="shared" si="26"/>
        <v/>
      </c>
      <c r="AW885" s="1852" t="str">
        <f t="shared" si="27"/>
        <v/>
      </c>
      <c r="AX885" s="1852" t="str">
        <f t="shared" si="28"/>
        <v/>
      </c>
      <c r="AY885" s="1852" t="str">
        <f t="shared" si="29"/>
        <v/>
      </c>
      <c r="AZ885" s="1852" t="str">
        <f t="shared" si="30"/>
        <v/>
      </c>
      <c r="BA885" s="1852" t="str">
        <f t="shared" si="31"/>
        <v/>
      </c>
      <c r="BB885" s="1852" t="str">
        <f t="shared" si="32"/>
        <v/>
      </c>
      <c r="BC885" s="1852" t="str">
        <f t="shared" si="33"/>
        <v/>
      </c>
      <c r="BD885" s="1852" t="str">
        <f t="shared" si="34"/>
        <v/>
      </c>
      <c r="BE885" s="1852" t="str">
        <f t="shared" si="35"/>
        <v/>
      </c>
      <c r="BF885" s="1852" t="str">
        <f t="shared" si="36"/>
        <v/>
      </c>
      <c r="BG885" s="1852" t="str">
        <f t="shared" si="37"/>
        <v/>
      </c>
      <c r="BH885" s="1852" t="str">
        <f t="shared" si="38"/>
        <v/>
      </c>
      <c r="BI885" s="1852" t="str">
        <f t="shared" si="39"/>
        <v/>
      </c>
      <c r="BJ885" s="1852" t="str">
        <f t="shared" si="40"/>
        <v/>
      </c>
      <c r="BK885" s="1852" t="str">
        <f t="shared" si="41"/>
        <v/>
      </c>
      <c r="BL885" s="1852" t="str">
        <f t="shared" si="42"/>
        <v/>
      </c>
      <c r="BM885" s="1852" t="str">
        <f t="shared" si="43"/>
        <v/>
      </c>
      <c r="BN885" s="1852" t="str">
        <f t="shared" si="44"/>
        <v/>
      </c>
      <c r="BO885" s="1852" t="str">
        <f t="shared" si="45"/>
        <v/>
      </c>
      <c r="BP885" s="1852" t="str">
        <f t="shared" si="46"/>
        <v/>
      </c>
      <c r="BQ885" s="1852" t="str">
        <f t="shared" si="47"/>
        <v/>
      </c>
      <c r="BR885" s="1852" t="str">
        <f t="shared" si="48"/>
        <v/>
      </c>
      <c r="BS885" s="1852" t="str">
        <f t="shared" si="49"/>
        <v/>
      </c>
      <c r="BT885" s="1852" t="str">
        <f t="shared" si="50"/>
        <v/>
      </c>
      <c r="BU885" s="1852" t="str">
        <f t="shared" si="51"/>
        <v/>
      </c>
      <c r="BV885" s="1852" t="str">
        <f t="shared" si="52"/>
        <v/>
      </c>
      <c r="BW885" s="1852" t="str">
        <f t="shared" si="53"/>
        <v/>
      </c>
      <c r="BX885" s="1852" t="str">
        <f t="shared" si="54"/>
        <v/>
      </c>
      <c r="BY885" s="1852" t="str">
        <f t="shared" si="55"/>
        <v/>
      </c>
      <c r="BZ885" s="1852" t="str">
        <f t="shared" si="56"/>
        <v/>
      </c>
      <c r="CA885" s="1852" t="str">
        <f t="shared" si="57"/>
        <v/>
      </c>
      <c r="CB885" s="1852" t="str">
        <f t="shared" si="58"/>
        <v/>
      </c>
      <c r="CC885" s="1852" t="str">
        <f t="shared" si="59"/>
        <v/>
      </c>
      <c r="CD885" s="1852" t="str">
        <f t="shared" si="60"/>
        <v/>
      </c>
      <c r="CE885" s="1852" t="str">
        <f t="shared" si="61"/>
        <v/>
      </c>
      <c r="CF885" s="1852" t="str">
        <f t="shared" si="62"/>
        <v/>
      </c>
      <c r="CG885" s="1852" t="str">
        <f t="shared" si="63"/>
        <v/>
      </c>
      <c r="CH885" s="1852" t="str">
        <f t="shared" si="64"/>
        <v/>
      </c>
      <c r="CI885" s="1852" t="str">
        <f t="shared" si="65"/>
        <v/>
      </c>
      <c r="CJ885" s="1852" t="str">
        <f t="shared" si="66"/>
        <v/>
      </c>
      <c r="CK885" s="1852" t="str">
        <f t="shared" si="67"/>
        <v/>
      </c>
      <c r="CL885" s="1852" t="str">
        <f t="shared" si="68"/>
        <v/>
      </c>
      <c r="CM885" s="1852" t="str">
        <f t="shared" si="69"/>
        <v/>
      </c>
      <c r="CN885" s="1852" t="str">
        <f t="shared" si="70"/>
        <v/>
      </c>
      <c r="CO885" s="1852" t="str">
        <f t="shared" si="71"/>
        <v/>
      </c>
      <c r="CP885" s="1852" t="str">
        <f t="shared" si="72"/>
        <v/>
      </c>
      <c r="CQ885" s="1852" t="str">
        <f t="shared" si="73"/>
        <v/>
      </c>
      <c r="CR885" s="1852" t="str">
        <f t="shared" si="74"/>
        <v/>
      </c>
      <c r="CS885" s="1852" t="str">
        <f t="shared" si="75"/>
        <v/>
      </c>
      <c r="CT885" s="1852" t="str">
        <f t="shared" si="76"/>
        <v/>
      </c>
      <c r="CU885" s="1852" t="str">
        <f t="shared" si="77"/>
        <v/>
      </c>
      <c r="CV885" s="1852" t="str">
        <f t="shared" si="78"/>
        <v/>
      </c>
      <c r="CW885" s="1852" t="str">
        <f t="shared" si="79"/>
        <v/>
      </c>
      <c r="CX885" s="1852" t="str">
        <f t="shared" si="80"/>
        <v/>
      </c>
      <c r="CY885" s="1852" t="str">
        <f t="shared" si="81"/>
        <v/>
      </c>
      <c r="CZ885" s="1852" t="str">
        <f t="shared" si="82"/>
        <v/>
      </c>
      <c r="DA885" s="1852" t="str">
        <f t="shared" si="83"/>
        <v/>
      </c>
      <c r="DB885" s="1852" t="str">
        <f t="shared" si="84"/>
        <v/>
      </c>
      <c r="DC885" s="1852" t="str">
        <f t="shared" si="85"/>
        <v/>
      </c>
      <c r="DD885" s="1852" t="str">
        <f t="shared" si="86"/>
        <v/>
      </c>
      <c r="DE885" s="1852" t="str">
        <f t="shared" si="87"/>
        <v/>
      </c>
      <c r="DF885" s="1852" t="str">
        <f t="shared" si="88"/>
        <v/>
      </c>
      <c r="DG885" s="1852" t="str">
        <f t="shared" si="89"/>
        <v/>
      </c>
      <c r="DH885" s="1852" t="str">
        <f t="shared" si="90"/>
        <v/>
      </c>
      <c r="DI885" s="1852" t="str">
        <f t="shared" si="91"/>
        <v/>
      </c>
      <c r="DJ885" s="1852" t="str">
        <f t="shared" si="92"/>
        <v/>
      </c>
      <c r="DK885" s="1852" t="str">
        <f t="shared" si="93"/>
        <v/>
      </c>
      <c r="DL885" s="1852" t="str">
        <f t="shared" si="94"/>
        <v/>
      </c>
      <c r="DM885" s="1852" t="str">
        <f t="shared" si="95"/>
        <v/>
      </c>
      <c r="DN885" s="1852" t="str">
        <f t="shared" si="96"/>
        <v/>
      </c>
      <c r="DO885" s="1852" t="str">
        <f t="shared" si="97"/>
        <v/>
      </c>
      <c r="DP885" s="1852" t="str">
        <f t="shared" si="98"/>
        <v/>
      </c>
      <c r="DQ885" s="1852" t="str">
        <f t="shared" si="99"/>
        <v/>
      </c>
      <c r="DR885" s="1852" t="str">
        <f t="shared" si="100"/>
        <v/>
      </c>
      <c r="DS885" s="1852" t="str">
        <f t="shared" si="101"/>
        <v/>
      </c>
      <c r="DT885" s="1852" t="str">
        <f t="shared" si="102"/>
        <v/>
      </c>
      <c r="DU885" s="1852" t="str">
        <f t="shared" si="103"/>
        <v/>
      </c>
      <c r="DV885" s="1852" t="str">
        <f t="shared" si="104"/>
        <v/>
      </c>
      <c r="DW885" s="1852" t="str">
        <f t="shared" si="105"/>
        <v/>
      </c>
      <c r="DX885" s="1852" t="str">
        <f t="shared" si="106"/>
        <v/>
      </c>
      <c r="DY885" s="1852" t="str">
        <f t="shared" si="107"/>
        <v/>
      </c>
      <c r="DZ885" s="1852" t="str">
        <f t="shared" si="108"/>
        <v/>
      </c>
      <c r="EA885" s="1852" t="str">
        <f t="shared" si="109"/>
        <v/>
      </c>
      <c r="EB885" s="1852" t="str">
        <f t="shared" si="110"/>
        <v/>
      </c>
      <c r="EC885" s="1852" t="str">
        <f t="shared" si="111"/>
        <v/>
      </c>
      <c r="ED885" s="1852" t="str">
        <f t="shared" si="112"/>
        <v/>
      </c>
      <c r="EE885" s="1852" t="str">
        <f t="shared" si="113"/>
        <v/>
      </c>
      <c r="EF885" s="1852" t="str">
        <f t="shared" si="114"/>
        <v/>
      </c>
      <c r="EG885" s="1852" t="str">
        <f t="shared" si="115"/>
        <v/>
      </c>
      <c r="EH885" s="1852" t="str">
        <f t="shared" si="116"/>
        <v/>
      </c>
      <c r="EI885" s="1852" t="str">
        <f t="shared" si="117"/>
        <v/>
      </c>
      <c r="EJ885" s="1852" t="str">
        <f t="shared" si="118"/>
        <v/>
      </c>
      <c r="EK885" s="1852" t="str">
        <f t="shared" si="119"/>
        <v/>
      </c>
      <c r="EL885" s="1852" t="str">
        <f t="shared" si="120"/>
        <v/>
      </c>
      <c r="EM885" s="1852" t="str">
        <f t="shared" si="121"/>
        <v/>
      </c>
      <c r="EN885" s="1852" t="str">
        <f t="shared" si="122"/>
        <v/>
      </c>
      <c r="EO885" s="1852" t="str">
        <f t="shared" si="123"/>
        <v/>
      </c>
      <c r="EP885" s="1852" t="str">
        <f t="shared" si="124"/>
        <v/>
      </c>
      <c r="EQ885" s="1852" t="str">
        <f t="shared" si="125"/>
        <v/>
      </c>
      <c r="ER885" s="1852" t="str">
        <f t="shared" si="126"/>
        <v/>
      </c>
      <c r="ES885" s="1852" t="str">
        <f t="shared" si="127"/>
        <v/>
      </c>
      <c r="ET885" s="1852" t="str">
        <f t="shared" si="128"/>
        <v/>
      </c>
      <c r="EU885" s="1852" t="str">
        <f t="shared" si="129"/>
        <v/>
      </c>
      <c r="EV885" s="1852" t="str">
        <f t="shared" si="130"/>
        <v/>
      </c>
      <c r="EW885" s="1852" t="str">
        <f t="shared" si="131"/>
        <v/>
      </c>
      <c r="EX885" s="1852" t="str">
        <f t="shared" si="132"/>
        <v/>
      </c>
      <c r="EY885" s="1852" t="str">
        <f t="shared" si="133"/>
        <v/>
      </c>
      <c r="EZ885" s="1852" t="str">
        <f t="shared" si="134"/>
        <v/>
      </c>
      <c r="FA885" s="1852" t="str">
        <f t="shared" si="135"/>
        <v/>
      </c>
      <c r="FB885" s="1852" t="str">
        <f t="shared" si="136"/>
        <v/>
      </c>
      <c r="FC885" s="1852" t="str">
        <f t="shared" si="137"/>
        <v/>
      </c>
      <c r="FD885" s="1852" t="str">
        <f t="shared" si="138"/>
        <v/>
      </c>
      <c r="FE885" s="1852" t="str">
        <f t="shared" si="139"/>
        <v/>
      </c>
      <c r="FF885" s="1852" t="str">
        <f t="shared" si="140"/>
        <v/>
      </c>
      <c r="FG885" s="1852" t="str">
        <f t="shared" si="141"/>
        <v/>
      </c>
      <c r="FH885" s="1852" t="str">
        <f t="shared" si="142"/>
        <v/>
      </c>
      <c r="FI885" s="1852" t="str">
        <f t="shared" si="143"/>
        <v/>
      </c>
      <c r="FJ885" s="1852" t="str">
        <f t="shared" si="144"/>
        <v/>
      </c>
      <c r="FK885" s="1852" t="str">
        <f t="shared" si="145"/>
        <v/>
      </c>
      <c r="FL885" s="1852" t="str">
        <f t="shared" si="146"/>
        <v/>
      </c>
      <c r="FM885" s="1852" t="str">
        <f t="shared" si="147"/>
        <v/>
      </c>
      <c r="FN885" s="1852" t="str">
        <f t="shared" si="148"/>
        <v/>
      </c>
      <c r="FO885" s="1852" t="str">
        <f t="shared" si="149"/>
        <v/>
      </c>
      <c r="FP885" s="1852" t="str">
        <f t="shared" si="150"/>
        <v/>
      </c>
      <c r="FQ885" s="1852" t="str">
        <f t="shared" si="151"/>
        <v/>
      </c>
      <c r="FR885" s="1852" t="str">
        <f t="shared" si="152"/>
        <v/>
      </c>
      <c r="FS885" s="1852" t="str">
        <f t="shared" si="153"/>
        <v/>
      </c>
      <c r="FT885" s="1852" t="str">
        <f t="shared" si="154"/>
        <v/>
      </c>
      <c r="FU885" s="1852" t="str">
        <f t="shared" si="155"/>
        <v/>
      </c>
      <c r="FV885" s="1852" t="str">
        <f t="shared" si="156"/>
        <v/>
      </c>
      <c r="FW885" s="1852" t="str">
        <f t="shared" si="157"/>
        <v/>
      </c>
      <c r="FX885" s="1852" t="str">
        <f t="shared" si="158"/>
        <v/>
      </c>
      <c r="FY885" s="1852" t="str">
        <f t="shared" si="159"/>
        <v/>
      </c>
      <c r="FZ885" s="1852" t="str">
        <f t="shared" si="160"/>
        <v/>
      </c>
      <c r="GA885" s="1852" t="str">
        <f t="shared" si="161"/>
        <v/>
      </c>
      <c r="GB885" s="1852" t="str">
        <f t="shared" si="162"/>
        <v/>
      </c>
      <c r="GC885" s="1852" t="str">
        <f t="shared" si="163"/>
        <v/>
      </c>
      <c r="GD885" s="1852" t="str">
        <f t="shared" si="164"/>
        <v/>
      </c>
      <c r="GE885" s="1852" t="str">
        <f t="shared" si="165"/>
        <v/>
      </c>
      <c r="GF885" s="1852" t="str">
        <f t="shared" si="166"/>
        <v/>
      </c>
      <c r="GG885" s="1852" t="str">
        <f t="shared" si="167"/>
        <v/>
      </c>
      <c r="GH885" s="1852" t="str">
        <f t="shared" si="168"/>
        <v/>
      </c>
      <c r="GI885" s="1852" t="str">
        <f t="shared" si="169"/>
        <v/>
      </c>
      <c r="GJ885" s="1852" t="str">
        <f t="shared" si="170"/>
        <v/>
      </c>
      <c r="GK885" s="1852" t="str">
        <f t="shared" si="171"/>
        <v/>
      </c>
      <c r="GL885" s="1852" t="str">
        <f t="shared" si="172"/>
        <v/>
      </c>
      <c r="GM885" s="1852" t="str">
        <f t="shared" si="173"/>
        <v/>
      </c>
      <c r="GN885" s="1852" t="str">
        <f t="shared" si="174"/>
        <v/>
      </c>
      <c r="GO885" s="1852" t="str">
        <f t="shared" si="175"/>
        <v/>
      </c>
      <c r="GP885" s="1852" t="str">
        <f t="shared" si="176"/>
        <v/>
      </c>
      <c r="GQ885" s="1852" t="str">
        <f t="shared" si="177"/>
        <v/>
      </c>
      <c r="GR885" s="1852" t="str">
        <f t="shared" si="178"/>
        <v/>
      </c>
      <c r="GS885" s="1852" t="str">
        <f t="shared" si="179"/>
        <v/>
      </c>
      <c r="GT885" s="1852" t="str">
        <f t="shared" si="180"/>
        <v/>
      </c>
      <c r="GU885" s="1852" t="str">
        <f t="shared" si="181"/>
        <v/>
      </c>
      <c r="GV885" s="1852" t="str">
        <f t="shared" si="182"/>
        <v/>
      </c>
      <c r="GW885" s="1852" t="str">
        <f t="shared" si="183"/>
        <v/>
      </c>
      <c r="GX885" s="1852" t="str">
        <f t="shared" si="184"/>
        <v/>
      </c>
      <c r="GY885" s="1852" t="str">
        <f t="shared" si="185"/>
        <v/>
      </c>
      <c r="GZ885" s="1852" t="str">
        <f t="shared" si="186"/>
        <v/>
      </c>
      <c r="HA885" s="1852" t="str">
        <f t="shared" si="187"/>
        <v/>
      </c>
      <c r="HB885" s="1852" t="str">
        <f t="shared" si="188"/>
        <v/>
      </c>
      <c r="HC885" s="1852" t="str">
        <f t="shared" si="189"/>
        <v/>
      </c>
      <c r="HD885" s="1852" t="str">
        <f t="shared" si="190"/>
        <v/>
      </c>
      <c r="HE885" s="1852" t="str">
        <f t="shared" si="191"/>
        <v/>
      </c>
      <c r="HF885" s="1852" t="str">
        <f t="shared" si="192"/>
        <v/>
      </c>
      <c r="HG885" s="1852" t="str">
        <f t="shared" si="193"/>
        <v/>
      </c>
      <c r="HH885" s="1852" t="str">
        <f t="shared" si="194"/>
        <v/>
      </c>
      <c r="HI885" s="1852" t="str">
        <f t="shared" si="195"/>
        <v/>
      </c>
      <c r="HJ885" s="1852" t="str">
        <f t="shared" si="196"/>
        <v/>
      </c>
      <c r="HK885" s="1852" t="str">
        <f t="shared" si="197"/>
        <v/>
      </c>
      <c r="HL885" s="1852" t="str">
        <f t="shared" si="198"/>
        <v/>
      </c>
      <c r="HM885" s="1852" t="str">
        <f t="shared" si="199"/>
        <v/>
      </c>
      <c r="HN885" s="1852" t="str">
        <f t="shared" si="200"/>
        <v/>
      </c>
      <c r="HO885" s="1852" t="str">
        <f t="shared" si="201"/>
        <v/>
      </c>
      <c r="HP885" s="1852" t="str">
        <f t="shared" si="202"/>
        <v/>
      </c>
      <c r="HQ885" s="1852" t="str">
        <f t="shared" si="203"/>
        <v/>
      </c>
      <c r="HR885" s="1852" t="str">
        <f t="shared" si="204"/>
        <v/>
      </c>
      <c r="HS885" s="1852" t="str">
        <f t="shared" si="205"/>
        <v/>
      </c>
      <c r="HT885" s="1852" t="str">
        <f t="shared" si="206"/>
        <v/>
      </c>
      <c r="HU885" s="1852" t="str">
        <f t="shared" si="207"/>
        <v/>
      </c>
      <c r="HV885" s="1852" t="str">
        <f t="shared" si="208"/>
        <v/>
      </c>
      <c r="HW885" s="1852" t="str">
        <f t="shared" si="209"/>
        <v/>
      </c>
      <c r="HX885" s="1852" t="str">
        <f t="shared" si="210"/>
        <v/>
      </c>
      <c r="HY885" s="1852" t="str">
        <f t="shared" si="211"/>
        <v/>
      </c>
      <c r="HZ885" s="2140" t="str">
        <f t="shared" si="212"/>
        <v/>
      </c>
      <c r="IA885" s="2140" t="str">
        <f t="shared" si="213"/>
        <v/>
      </c>
      <c r="IB885" s="2140" t="str">
        <f t="shared" si="214"/>
        <v/>
      </c>
      <c r="IC885" s="2140" t="str">
        <f t="shared" si="215"/>
        <v/>
      </c>
      <c r="ID885" s="2140" t="str">
        <f t="shared" si="216"/>
        <v/>
      </c>
      <c r="IE885" s="2140" t="str">
        <f t="shared" si="217"/>
        <v/>
      </c>
      <c r="IF885" s="2140" t="str">
        <f t="shared" si="218"/>
        <v/>
      </c>
      <c r="IG885" s="2140" t="str">
        <f t="shared" si="219"/>
        <v/>
      </c>
      <c r="IH885" s="2140" t="str">
        <f t="shared" si="220"/>
        <v/>
      </c>
      <c r="II885" s="2140" t="str">
        <f t="shared" si="221"/>
        <v/>
      </c>
      <c r="IJ885" s="2140" t="str">
        <f t="shared" si="222"/>
        <v/>
      </c>
      <c r="IK885" s="2140" t="str">
        <f t="shared" si="223"/>
        <v/>
      </c>
      <c r="IL885" s="2140" t="str">
        <f t="shared" si="224"/>
        <v/>
      </c>
      <c r="IM885" s="2140" t="str">
        <f t="shared" si="225"/>
        <v/>
      </c>
      <c r="IN885" s="2140" t="str">
        <f t="shared" si="226"/>
        <v/>
      </c>
      <c r="IO885" s="2140" t="str">
        <f t="shared" si="227"/>
        <v/>
      </c>
      <c r="IP885" s="2140" t="str">
        <f t="shared" si="228"/>
        <v/>
      </c>
      <c r="IQ885" s="2140" t="str">
        <f t="shared" si="229"/>
        <v/>
      </c>
      <c r="IR885" s="2140" t="str">
        <f t="shared" si="230"/>
        <v/>
      </c>
      <c r="IS885" s="2140" t="str">
        <f t="shared" si="231"/>
        <v/>
      </c>
      <c r="IT885" s="2140" t="str">
        <f t="shared" si="232"/>
        <v/>
      </c>
      <c r="IU885" s="2140" t="str">
        <f t="shared" si="233"/>
        <v/>
      </c>
      <c r="IV885" s="2140" t="str">
        <f t="shared" si="234"/>
        <v/>
      </c>
      <c r="IW885" s="2140" t="str">
        <f t="shared" si="235"/>
        <v/>
      </c>
      <c r="IX885" s="2140" t="str">
        <f t="shared" si="236"/>
        <v/>
      </c>
      <c r="IY885" s="2140" t="str">
        <f t="shared" si="237"/>
        <v/>
      </c>
      <c r="IZ885" s="2140" t="str">
        <f t="shared" si="238"/>
        <v/>
      </c>
      <c r="JA885" s="2140" t="str">
        <f t="shared" si="239"/>
        <v/>
      </c>
      <c r="JB885" s="2140" t="str">
        <f t="shared" si="240"/>
        <v/>
      </c>
      <c r="JC885" s="2140" t="str">
        <f t="shared" si="241"/>
        <v/>
      </c>
      <c r="JD885" s="2140" t="str">
        <f t="shared" si="242"/>
        <v/>
      </c>
      <c r="JE885" s="2140" t="str">
        <f t="shared" si="243"/>
        <v/>
      </c>
      <c r="JF885" s="2140" t="str">
        <f t="shared" si="244"/>
        <v/>
      </c>
      <c r="JG885" s="2140" t="str">
        <f t="shared" si="245"/>
        <v/>
      </c>
      <c r="JH885" s="2140" t="str">
        <f t="shared" si="246"/>
        <v/>
      </c>
      <c r="JI885" s="2140" t="str">
        <f t="shared" si="247"/>
        <v/>
      </c>
      <c r="JJ885" s="2140" t="str">
        <f t="shared" si="248"/>
        <v/>
      </c>
      <c r="JK885" s="2140" t="str">
        <f t="shared" si="249"/>
        <v/>
      </c>
      <c r="JL885" s="2140" t="str">
        <f t="shared" si="250"/>
        <v/>
      </c>
      <c r="JM885" s="2140" t="str">
        <f t="shared" si="251"/>
        <v/>
      </c>
      <c r="JN885" s="2140" t="str">
        <f t="shared" si="252"/>
        <v/>
      </c>
      <c r="JO885" s="2140" t="str">
        <f t="shared" si="253"/>
        <v/>
      </c>
      <c r="JP885" s="2140" t="str">
        <f t="shared" si="254"/>
        <v/>
      </c>
      <c r="JQ885" s="2140" t="str">
        <f t="shared" si="255"/>
        <v/>
      </c>
      <c r="JR885" s="2140" t="str">
        <f t="shared" si="256"/>
        <v/>
      </c>
      <c r="JS885" s="2140" t="str">
        <f t="shared" si="257"/>
        <v/>
      </c>
      <c r="JT885" s="2140" t="str">
        <f t="shared" si="258"/>
        <v/>
      </c>
      <c r="JU885" s="2140" t="str">
        <f t="shared" si="259"/>
        <v/>
      </c>
      <c r="JV885" s="2140" t="str">
        <f t="shared" si="260"/>
        <v/>
      </c>
      <c r="JW885" s="2140" t="str">
        <f t="shared" si="261"/>
        <v/>
      </c>
      <c r="JX885" s="2140" t="str">
        <f t="shared" si="262"/>
        <v/>
      </c>
      <c r="JY885" s="2140" t="str">
        <f t="shared" si="263"/>
        <v/>
      </c>
      <c r="JZ885" s="2140" t="str">
        <f t="shared" si="264"/>
        <v/>
      </c>
      <c r="KA885" s="2140" t="str">
        <f t="shared" si="265"/>
        <v/>
      </c>
      <c r="KB885" s="2140" t="str">
        <f t="shared" si="266"/>
        <v/>
      </c>
      <c r="KC885" s="2140" t="str">
        <f t="shared" si="267"/>
        <v/>
      </c>
      <c r="KD885" s="2140" t="str">
        <f t="shared" si="268"/>
        <v/>
      </c>
      <c r="KE885" s="2140" t="str">
        <f t="shared" si="269"/>
        <v/>
      </c>
      <c r="KF885" s="2140" t="str">
        <f t="shared" si="270"/>
        <v/>
      </c>
      <c r="KG885" s="2140" t="str">
        <f t="shared" si="271"/>
        <v/>
      </c>
      <c r="KH885" s="2140" t="str">
        <f t="shared" si="272"/>
        <v/>
      </c>
      <c r="KI885" s="2140" t="str">
        <f t="shared" si="273"/>
        <v/>
      </c>
      <c r="KJ885" s="2140" t="str">
        <f t="shared" si="274"/>
        <v/>
      </c>
      <c r="KK885" s="2140" t="str">
        <f t="shared" si="275"/>
        <v/>
      </c>
      <c r="KL885" s="2140" t="str">
        <f t="shared" si="276"/>
        <v/>
      </c>
      <c r="KM885" s="2140" t="str">
        <f t="shared" si="277"/>
        <v/>
      </c>
      <c r="KN885" s="2140" t="str">
        <f t="shared" si="278"/>
        <v/>
      </c>
      <c r="KO885" s="2140" t="str">
        <f t="shared" si="279"/>
        <v/>
      </c>
      <c r="KP885" s="2140" t="str">
        <f t="shared" si="280"/>
        <v/>
      </c>
      <c r="KQ885" s="2140" t="str">
        <f t="shared" si="281"/>
        <v/>
      </c>
      <c r="KR885" s="2140" t="str">
        <f t="shared" si="282"/>
        <v/>
      </c>
      <c r="KS885" s="2140" t="str">
        <f t="shared" si="283"/>
        <v/>
      </c>
      <c r="KT885" s="2140" t="str">
        <f t="shared" si="284"/>
        <v/>
      </c>
      <c r="KU885" s="2140" t="str">
        <f t="shared" si="285"/>
        <v/>
      </c>
      <c r="KV885" s="2140" t="str">
        <f t="shared" si="286"/>
        <v/>
      </c>
      <c r="KW885" s="2140" t="str">
        <f t="shared" si="287"/>
        <v/>
      </c>
      <c r="KX885" s="2140" t="str">
        <f t="shared" si="288"/>
        <v/>
      </c>
      <c r="KY885" s="2140" t="str">
        <f t="shared" si="289"/>
        <v/>
      </c>
      <c r="KZ885" s="2140" t="str">
        <f t="shared" si="290"/>
        <v/>
      </c>
      <c r="LA885" s="2140" t="str">
        <f t="shared" si="291"/>
        <v/>
      </c>
      <c r="LB885" s="2140" t="str">
        <f t="shared" si="292"/>
        <v/>
      </c>
      <c r="LC885" s="2140" t="str">
        <f t="shared" si="293"/>
        <v/>
      </c>
      <c r="LD885" s="2140" t="str">
        <f t="shared" si="294"/>
        <v/>
      </c>
      <c r="LE885" s="2140" t="str">
        <f t="shared" si="295"/>
        <v/>
      </c>
      <c r="LF885" s="2140" t="str">
        <f t="shared" si="296"/>
        <v/>
      </c>
      <c r="LG885" s="2051" t="str">
        <f t="shared" si="297"/>
        <v/>
      </c>
      <c r="LH885" s="2051" t="str">
        <f t="shared" si="298"/>
        <v/>
      </c>
      <c r="LI885" s="2051" t="str">
        <f t="shared" si="299"/>
        <v/>
      </c>
      <c r="LJ885" s="2051" t="str">
        <f t="shared" si="300"/>
        <v/>
      </c>
      <c r="LK885" s="2051" t="str">
        <f t="shared" si="301"/>
        <v/>
      </c>
      <c r="LL885" s="1852" t="str">
        <f t="shared" si="302"/>
        <v/>
      </c>
      <c r="LM885" s="1852" t="str">
        <f t="shared" si="303"/>
        <v/>
      </c>
      <c r="LN885" s="1852" t="str">
        <f t="shared" si="304"/>
        <v/>
      </c>
      <c r="LO885" s="1852" t="str">
        <f t="shared" si="305"/>
        <v/>
      </c>
      <c r="LP885" s="1852" t="str">
        <f t="shared" si="306"/>
        <v/>
      </c>
      <c r="LQ885" s="1852" t="str">
        <f t="shared" si="307"/>
        <v/>
      </c>
      <c r="LR885" s="1852" t="str">
        <f t="shared" si="308"/>
        <v/>
      </c>
      <c r="LS885" s="1852" t="str">
        <f t="shared" si="309"/>
        <v/>
      </c>
      <c r="LT885" s="1852" t="str">
        <f t="shared" si="310"/>
        <v/>
      </c>
      <c r="LU885" s="1852" t="str">
        <f t="shared" si="311"/>
        <v/>
      </c>
      <c r="LV885" s="1852" t="str">
        <f t="shared" si="312"/>
        <v/>
      </c>
      <c r="LW885" s="1852" t="str">
        <f t="shared" si="313"/>
        <v/>
      </c>
      <c r="LX885" s="1852" t="str">
        <f t="shared" si="314"/>
        <v/>
      </c>
      <c r="LY885" s="1852" t="str">
        <f t="shared" si="315"/>
        <v/>
      </c>
      <c r="LZ885" s="1852" t="str">
        <f t="shared" si="316"/>
        <v/>
      </c>
      <c r="MA885" s="1852" t="str">
        <f t="shared" si="317"/>
        <v/>
      </c>
      <c r="MB885" s="1852" t="str">
        <f t="shared" si="318"/>
        <v/>
      </c>
      <c r="MC885" s="1852" t="str">
        <f t="shared" si="319"/>
        <v/>
      </c>
      <c r="MD885" s="1852" t="str">
        <f t="shared" si="320"/>
        <v/>
      </c>
      <c r="ME885" s="1852" t="str">
        <f t="shared" si="321"/>
        <v/>
      </c>
      <c r="MF885" s="2051">
        <f t="shared" si="328"/>
        <v>0</v>
      </c>
      <c r="MG885" s="2051">
        <f t="shared" si="329"/>
        <v>0</v>
      </c>
      <c r="MH885" s="2051">
        <f t="shared" si="330"/>
        <v>0</v>
      </c>
      <c r="MI885" s="2051">
        <f t="shared" si="331"/>
        <v>0</v>
      </c>
      <c r="MJ885" s="2051">
        <f t="shared" si="332"/>
        <v>0</v>
      </c>
      <c r="MK885" s="2051">
        <f t="shared" si="333"/>
        <v>0</v>
      </c>
      <c r="ML885" s="2051">
        <f t="shared" si="334"/>
        <v>0</v>
      </c>
      <c r="MM885" s="2051">
        <f t="shared" si="335"/>
        <v>0</v>
      </c>
      <c r="MN885" s="2051">
        <f t="shared" si="336"/>
        <v>0</v>
      </c>
      <c r="MO885" s="2051">
        <f t="shared" si="337"/>
        <v>0</v>
      </c>
      <c r="MP885" s="2051">
        <f t="shared" si="322"/>
        <v>0</v>
      </c>
      <c r="MQ885" s="2051">
        <f t="shared" si="323"/>
        <v>0</v>
      </c>
      <c r="MR885" s="2051">
        <f t="shared" si="324"/>
        <v>0</v>
      </c>
      <c r="MS885" s="2051">
        <f t="shared" si="325"/>
        <v>0</v>
      </c>
      <c r="MT885" s="2051">
        <f t="shared" si="326"/>
        <v>0</v>
      </c>
      <c r="NP885" s="1924" t="s">
        <v>6754</v>
      </c>
    </row>
    <row r="886" spans="1:380" s="1852" customFormat="1" ht="13.9" customHeight="1">
      <c r="A886" s="2108" t="str">
        <f t="shared" si="327"/>
        <v/>
      </c>
      <c r="B886" s="2130">
        <f>'Part VI-Revenues &amp; Expenses'!B46</f>
        <v>0</v>
      </c>
      <c r="C886" s="2131">
        <f>'Part VI-Revenues &amp; Expenses'!C46</f>
        <v>0</v>
      </c>
      <c r="D886" s="2132">
        <f>'Part VI-Revenues &amp; Expenses'!D46</f>
        <v>0</v>
      </c>
      <c r="E886" s="2133">
        <f>'Part VI-Revenues &amp; Expenses'!E46</f>
        <v>0</v>
      </c>
      <c r="F886" s="2133">
        <f>'Part VI-Revenues &amp; Expenses'!F46</f>
        <v>0</v>
      </c>
      <c r="G886" s="2133">
        <f>'Part VI-Revenues &amp; Expenses'!G46</f>
        <v>0</v>
      </c>
      <c r="H886" s="2133">
        <f>'Part VI-Revenues &amp; Expenses'!H46</f>
        <v>0</v>
      </c>
      <c r="I886" s="2133">
        <f>'Part VI-Revenues &amp; Expenses'!I46</f>
        <v>0</v>
      </c>
      <c r="J886" s="2133">
        <f>'Part VI-Revenues &amp; Expenses'!J46</f>
        <v>0</v>
      </c>
      <c r="K886" s="2134">
        <f>'Part VI-Revenues &amp; Expenses'!K46</f>
        <v>0</v>
      </c>
      <c r="L886" s="2135">
        <f t="shared" si="0"/>
        <v>0</v>
      </c>
      <c r="M886" s="2135">
        <f t="shared" si="1"/>
        <v>0</v>
      </c>
      <c r="N886" s="1916">
        <f>'Part VI-Revenues &amp; Expenses'!N46</f>
        <v>0</v>
      </c>
      <c r="O886" s="2136">
        <f>'Part VI-Revenues &amp; Expenses'!O46</f>
        <v>0</v>
      </c>
      <c r="P886" s="1916">
        <f>'Part VI-Revenues &amp; Expenses'!P46</f>
        <v>0</v>
      </c>
      <c r="Q886" s="2137">
        <f>'Part VI-Revenues &amp; Expenses'!Q46</f>
        <v>0</v>
      </c>
      <c r="R886" s="2138"/>
      <c r="S886" s="2139"/>
      <c r="T886" s="2043"/>
      <c r="U886" s="2043"/>
      <c r="V886" s="2043"/>
      <c r="W886" s="2043"/>
      <c r="X886" s="1852" t="str">
        <f t="shared" si="2"/>
        <v/>
      </c>
      <c r="Y886" s="1852" t="str">
        <f t="shared" si="3"/>
        <v/>
      </c>
      <c r="Z886" s="1852" t="str">
        <f t="shared" si="4"/>
        <v/>
      </c>
      <c r="AA886" s="1852" t="str">
        <f t="shared" si="5"/>
        <v/>
      </c>
      <c r="AB886" s="1852" t="str">
        <f t="shared" si="6"/>
        <v/>
      </c>
      <c r="AC886" s="1852" t="str">
        <f t="shared" si="7"/>
        <v/>
      </c>
      <c r="AD886" s="1852" t="str">
        <f t="shared" si="8"/>
        <v/>
      </c>
      <c r="AE886" s="1852" t="str">
        <f t="shared" si="9"/>
        <v/>
      </c>
      <c r="AF886" s="1852" t="str">
        <f t="shared" si="10"/>
        <v/>
      </c>
      <c r="AG886" s="1852" t="str">
        <f t="shared" si="11"/>
        <v/>
      </c>
      <c r="AH886" s="1852" t="str">
        <f t="shared" si="12"/>
        <v/>
      </c>
      <c r="AI886" s="1852" t="str">
        <f t="shared" si="13"/>
        <v/>
      </c>
      <c r="AJ886" s="1852" t="str">
        <f t="shared" si="14"/>
        <v/>
      </c>
      <c r="AK886" s="1852" t="str">
        <f t="shared" si="15"/>
        <v/>
      </c>
      <c r="AL886" s="1852" t="str">
        <f t="shared" si="16"/>
        <v/>
      </c>
      <c r="AM886" s="1852" t="str">
        <f t="shared" si="17"/>
        <v/>
      </c>
      <c r="AN886" s="1852" t="str">
        <f t="shared" si="18"/>
        <v/>
      </c>
      <c r="AO886" s="1852" t="str">
        <f t="shared" si="19"/>
        <v/>
      </c>
      <c r="AP886" s="1852" t="str">
        <f t="shared" si="20"/>
        <v/>
      </c>
      <c r="AQ886" s="1852" t="str">
        <f t="shared" si="21"/>
        <v/>
      </c>
      <c r="AR886" s="1852" t="str">
        <f t="shared" si="22"/>
        <v/>
      </c>
      <c r="AS886" s="1852" t="str">
        <f t="shared" si="23"/>
        <v/>
      </c>
      <c r="AT886" s="1852" t="str">
        <f t="shared" si="24"/>
        <v/>
      </c>
      <c r="AU886" s="1852" t="str">
        <f t="shared" si="25"/>
        <v/>
      </c>
      <c r="AV886" s="1852" t="str">
        <f t="shared" si="26"/>
        <v/>
      </c>
      <c r="AW886" s="1852" t="str">
        <f t="shared" si="27"/>
        <v/>
      </c>
      <c r="AX886" s="1852" t="str">
        <f t="shared" si="28"/>
        <v/>
      </c>
      <c r="AY886" s="1852" t="str">
        <f t="shared" si="29"/>
        <v/>
      </c>
      <c r="AZ886" s="1852" t="str">
        <f t="shared" si="30"/>
        <v/>
      </c>
      <c r="BA886" s="1852" t="str">
        <f t="shared" si="31"/>
        <v/>
      </c>
      <c r="BB886" s="1852" t="str">
        <f t="shared" si="32"/>
        <v/>
      </c>
      <c r="BC886" s="1852" t="str">
        <f t="shared" si="33"/>
        <v/>
      </c>
      <c r="BD886" s="1852" t="str">
        <f t="shared" si="34"/>
        <v/>
      </c>
      <c r="BE886" s="1852" t="str">
        <f t="shared" si="35"/>
        <v/>
      </c>
      <c r="BF886" s="1852" t="str">
        <f t="shared" si="36"/>
        <v/>
      </c>
      <c r="BG886" s="1852" t="str">
        <f t="shared" si="37"/>
        <v/>
      </c>
      <c r="BH886" s="1852" t="str">
        <f t="shared" si="38"/>
        <v/>
      </c>
      <c r="BI886" s="1852" t="str">
        <f t="shared" si="39"/>
        <v/>
      </c>
      <c r="BJ886" s="1852" t="str">
        <f t="shared" si="40"/>
        <v/>
      </c>
      <c r="BK886" s="1852" t="str">
        <f t="shared" si="41"/>
        <v/>
      </c>
      <c r="BL886" s="1852" t="str">
        <f t="shared" si="42"/>
        <v/>
      </c>
      <c r="BM886" s="1852" t="str">
        <f t="shared" si="43"/>
        <v/>
      </c>
      <c r="BN886" s="1852" t="str">
        <f t="shared" si="44"/>
        <v/>
      </c>
      <c r="BO886" s="1852" t="str">
        <f t="shared" si="45"/>
        <v/>
      </c>
      <c r="BP886" s="1852" t="str">
        <f t="shared" si="46"/>
        <v/>
      </c>
      <c r="BQ886" s="1852" t="str">
        <f t="shared" si="47"/>
        <v/>
      </c>
      <c r="BR886" s="1852" t="str">
        <f t="shared" si="48"/>
        <v/>
      </c>
      <c r="BS886" s="1852" t="str">
        <f t="shared" si="49"/>
        <v/>
      </c>
      <c r="BT886" s="1852" t="str">
        <f t="shared" si="50"/>
        <v/>
      </c>
      <c r="BU886" s="1852" t="str">
        <f t="shared" si="51"/>
        <v/>
      </c>
      <c r="BV886" s="1852" t="str">
        <f t="shared" si="52"/>
        <v/>
      </c>
      <c r="BW886" s="1852" t="str">
        <f t="shared" si="53"/>
        <v/>
      </c>
      <c r="BX886" s="1852" t="str">
        <f t="shared" si="54"/>
        <v/>
      </c>
      <c r="BY886" s="1852" t="str">
        <f t="shared" si="55"/>
        <v/>
      </c>
      <c r="BZ886" s="1852" t="str">
        <f t="shared" si="56"/>
        <v/>
      </c>
      <c r="CA886" s="1852" t="str">
        <f t="shared" si="57"/>
        <v/>
      </c>
      <c r="CB886" s="1852" t="str">
        <f t="shared" si="58"/>
        <v/>
      </c>
      <c r="CC886" s="1852" t="str">
        <f t="shared" si="59"/>
        <v/>
      </c>
      <c r="CD886" s="1852" t="str">
        <f t="shared" si="60"/>
        <v/>
      </c>
      <c r="CE886" s="1852" t="str">
        <f t="shared" si="61"/>
        <v/>
      </c>
      <c r="CF886" s="1852" t="str">
        <f t="shared" si="62"/>
        <v/>
      </c>
      <c r="CG886" s="1852" t="str">
        <f t="shared" si="63"/>
        <v/>
      </c>
      <c r="CH886" s="1852" t="str">
        <f t="shared" si="64"/>
        <v/>
      </c>
      <c r="CI886" s="1852" t="str">
        <f t="shared" si="65"/>
        <v/>
      </c>
      <c r="CJ886" s="1852" t="str">
        <f t="shared" si="66"/>
        <v/>
      </c>
      <c r="CK886" s="1852" t="str">
        <f t="shared" si="67"/>
        <v/>
      </c>
      <c r="CL886" s="1852" t="str">
        <f t="shared" si="68"/>
        <v/>
      </c>
      <c r="CM886" s="1852" t="str">
        <f t="shared" si="69"/>
        <v/>
      </c>
      <c r="CN886" s="1852" t="str">
        <f t="shared" si="70"/>
        <v/>
      </c>
      <c r="CO886" s="1852" t="str">
        <f t="shared" si="71"/>
        <v/>
      </c>
      <c r="CP886" s="1852" t="str">
        <f t="shared" si="72"/>
        <v/>
      </c>
      <c r="CQ886" s="1852" t="str">
        <f t="shared" si="73"/>
        <v/>
      </c>
      <c r="CR886" s="1852" t="str">
        <f t="shared" si="74"/>
        <v/>
      </c>
      <c r="CS886" s="1852" t="str">
        <f t="shared" si="75"/>
        <v/>
      </c>
      <c r="CT886" s="1852" t="str">
        <f t="shared" si="76"/>
        <v/>
      </c>
      <c r="CU886" s="1852" t="str">
        <f t="shared" si="77"/>
        <v/>
      </c>
      <c r="CV886" s="1852" t="str">
        <f t="shared" si="78"/>
        <v/>
      </c>
      <c r="CW886" s="1852" t="str">
        <f t="shared" si="79"/>
        <v/>
      </c>
      <c r="CX886" s="1852" t="str">
        <f t="shared" si="80"/>
        <v/>
      </c>
      <c r="CY886" s="1852" t="str">
        <f t="shared" si="81"/>
        <v/>
      </c>
      <c r="CZ886" s="1852" t="str">
        <f t="shared" si="82"/>
        <v/>
      </c>
      <c r="DA886" s="1852" t="str">
        <f t="shared" si="83"/>
        <v/>
      </c>
      <c r="DB886" s="1852" t="str">
        <f t="shared" si="84"/>
        <v/>
      </c>
      <c r="DC886" s="1852" t="str">
        <f t="shared" si="85"/>
        <v/>
      </c>
      <c r="DD886" s="1852" t="str">
        <f t="shared" si="86"/>
        <v/>
      </c>
      <c r="DE886" s="1852" t="str">
        <f t="shared" si="87"/>
        <v/>
      </c>
      <c r="DF886" s="1852" t="str">
        <f t="shared" si="88"/>
        <v/>
      </c>
      <c r="DG886" s="1852" t="str">
        <f t="shared" si="89"/>
        <v/>
      </c>
      <c r="DH886" s="1852" t="str">
        <f t="shared" si="90"/>
        <v/>
      </c>
      <c r="DI886" s="1852" t="str">
        <f t="shared" si="91"/>
        <v/>
      </c>
      <c r="DJ886" s="1852" t="str">
        <f t="shared" si="92"/>
        <v/>
      </c>
      <c r="DK886" s="1852" t="str">
        <f t="shared" si="93"/>
        <v/>
      </c>
      <c r="DL886" s="1852" t="str">
        <f t="shared" si="94"/>
        <v/>
      </c>
      <c r="DM886" s="1852" t="str">
        <f t="shared" si="95"/>
        <v/>
      </c>
      <c r="DN886" s="1852" t="str">
        <f t="shared" si="96"/>
        <v/>
      </c>
      <c r="DO886" s="1852" t="str">
        <f t="shared" si="97"/>
        <v/>
      </c>
      <c r="DP886" s="1852" t="str">
        <f t="shared" si="98"/>
        <v/>
      </c>
      <c r="DQ886" s="1852" t="str">
        <f t="shared" si="99"/>
        <v/>
      </c>
      <c r="DR886" s="1852" t="str">
        <f t="shared" si="100"/>
        <v/>
      </c>
      <c r="DS886" s="1852" t="str">
        <f t="shared" si="101"/>
        <v/>
      </c>
      <c r="DT886" s="1852" t="str">
        <f t="shared" si="102"/>
        <v/>
      </c>
      <c r="DU886" s="1852" t="str">
        <f t="shared" si="103"/>
        <v/>
      </c>
      <c r="DV886" s="1852" t="str">
        <f t="shared" si="104"/>
        <v/>
      </c>
      <c r="DW886" s="1852" t="str">
        <f t="shared" si="105"/>
        <v/>
      </c>
      <c r="DX886" s="1852" t="str">
        <f t="shared" si="106"/>
        <v/>
      </c>
      <c r="DY886" s="1852" t="str">
        <f t="shared" si="107"/>
        <v/>
      </c>
      <c r="DZ886" s="1852" t="str">
        <f t="shared" si="108"/>
        <v/>
      </c>
      <c r="EA886" s="1852" t="str">
        <f t="shared" si="109"/>
        <v/>
      </c>
      <c r="EB886" s="1852" t="str">
        <f t="shared" si="110"/>
        <v/>
      </c>
      <c r="EC886" s="1852" t="str">
        <f t="shared" si="111"/>
        <v/>
      </c>
      <c r="ED886" s="1852" t="str">
        <f t="shared" si="112"/>
        <v/>
      </c>
      <c r="EE886" s="1852" t="str">
        <f t="shared" si="113"/>
        <v/>
      </c>
      <c r="EF886" s="1852" t="str">
        <f t="shared" si="114"/>
        <v/>
      </c>
      <c r="EG886" s="1852" t="str">
        <f t="shared" si="115"/>
        <v/>
      </c>
      <c r="EH886" s="1852" t="str">
        <f t="shared" si="116"/>
        <v/>
      </c>
      <c r="EI886" s="1852" t="str">
        <f t="shared" si="117"/>
        <v/>
      </c>
      <c r="EJ886" s="1852" t="str">
        <f t="shared" si="118"/>
        <v/>
      </c>
      <c r="EK886" s="1852" t="str">
        <f t="shared" si="119"/>
        <v/>
      </c>
      <c r="EL886" s="1852" t="str">
        <f t="shared" si="120"/>
        <v/>
      </c>
      <c r="EM886" s="1852" t="str">
        <f t="shared" si="121"/>
        <v/>
      </c>
      <c r="EN886" s="1852" t="str">
        <f t="shared" si="122"/>
        <v/>
      </c>
      <c r="EO886" s="1852" t="str">
        <f t="shared" si="123"/>
        <v/>
      </c>
      <c r="EP886" s="1852" t="str">
        <f t="shared" si="124"/>
        <v/>
      </c>
      <c r="EQ886" s="1852" t="str">
        <f t="shared" si="125"/>
        <v/>
      </c>
      <c r="ER886" s="1852" t="str">
        <f t="shared" si="126"/>
        <v/>
      </c>
      <c r="ES886" s="1852" t="str">
        <f t="shared" si="127"/>
        <v/>
      </c>
      <c r="ET886" s="1852" t="str">
        <f t="shared" si="128"/>
        <v/>
      </c>
      <c r="EU886" s="1852" t="str">
        <f t="shared" si="129"/>
        <v/>
      </c>
      <c r="EV886" s="1852" t="str">
        <f t="shared" si="130"/>
        <v/>
      </c>
      <c r="EW886" s="1852" t="str">
        <f t="shared" si="131"/>
        <v/>
      </c>
      <c r="EX886" s="1852" t="str">
        <f t="shared" si="132"/>
        <v/>
      </c>
      <c r="EY886" s="1852" t="str">
        <f t="shared" si="133"/>
        <v/>
      </c>
      <c r="EZ886" s="1852" t="str">
        <f t="shared" si="134"/>
        <v/>
      </c>
      <c r="FA886" s="1852" t="str">
        <f t="shared" si="135"/>
        <v/>
      </c>
      <c r="FB886" s="1852" t="str">
        <f t="shared" si="136"/>
        <v/>
      </c>
      <c r="FC886" s="1852" t="str">
        <f t="shared" si="137"/>
        <v/>
      </c>
      <c r="FD886" s="1852" t="str">
        <f t="shared" si="138"/>
        <v/>
      </c>
      <c r="FE886" s="1852" t="str">
        <f t="shared" si="139"/>
        <v/>
      </c>
      <c r="FF886" s="1852" t="str">
        <f t="shared" si="140"/>
        <v/>
      </c>
      <c r="FG886" s="1852" t="str">
        <f t="shared" si="141"/>
        <v/>
      </c>
      <c r="FH886" s="1852" t="str">
        <f t="shared" si="142"/>
        <v/>
      </c>
      <c r="FI886" s="1852" t="str">
        <f t="shared" si="143"/>
        <v/>
      </c>
      <c r="FJ886" s="1852" t="str">
        <f t="shared" si="144"/>
        <v/>
      </c>
      <c r="FK886" s="1852" t="str">
        <f t="shared" si="145"/>
        <v/>
      </c>
      <c r="FL886" s="1852" t="str">
        <f t="shared" si="146"/>
        <v/>
      </c>
      <c r="FM886" s="1852" t="str">
        <f t="shared" si="147"/>
        <v/>
      </c>
      <c r="FN886" s="1852" t="str">
        <f t="shared" si="148"/>
        <v/>
      </c>
      <c r="FO886" s="1852" t="str">
        <f t="shared" si="149"/>
        <v/>
      </c>
      <c r="FP886" s="1852" t="str">
        <f t="shared" si="150"/>
        <v/>
      </c>
      <c r="FQ886" s="1852" t="str">
        <f t="shared" si="151"/>
        <v/>
      </c>
      <c r="FR886" s="1852" t="str">
        <f t="shared" si="152"/>
        <v/>
      </c>
      <c r="FS886" s="1852" t="str">
        <f t="shared" si="153"/>
        <v/>
      </c>
      <c r="FT886" s="1852" t="str">
        <f t="shared" si="154"/>
        <v/>
      </c>
      <c r="FU886" s="1852" t="str">
        <f t="shared" si="155"/>
        <v/>
      </c>
      <c r="FV886" s="1852" t="str">
        <f t="shared" si="156"/>
        <v/>
      </c>
      <c r="FW886" s="1852" t="str">
        <f t="shared" si="157"/>
        <v/>
      </c>
      <c r="FX886" s="1852" t="str">
        <f t="shared" si="158"/>
        <v/>
      </c>
      <c r="FY886" s="1852" t="str">
        <f t="shared" si="159"/>
        <v/>
      </c>
      <c r="FZ886" s="1852" t="str">
        <f t="shared" si="160"/>
        <v/>
      </c>
      <c r="GA886" s="1852" t="str">
        <f t="shared" si="161"/>
        <v/>
      </c>
      <c r="GB886" s="1852" t="str">
        <f t="shared" si="162"/>
        <v/>
      </c>
      <c r="GC886" s="1852" t="str">
        <f t="shared" si="163"/>
        <v/>
      </c>
      <c r="GD886" s="1852" t="str">
        <f t="shared" si="164"/>
        <v/>
      </c>
      <c r="GE886" s="1852" t="str">
        <f t="shared" si="165"/>
        <v/>
      </c>
      <c r="GF886" s="1852" t="str">
        <f t="shared" si="166"/>
        <v/>
      </c>
      <c r="GG886" s="1852" t="str">
        <f t="shared" si="167"/>
        <v/>
      </c>
      <c r="GH886" s="1852" t="str">
        <f t="shared" si="168"/>
        <v/>
      </c>
      <c r="GI886" s="1852" t="str">
        <f t="shared" si="169"/>
        <v/>
      </c>
      <c r="GJ886" s="1852" t="str">
        <f t="shared" si="170"/>
        <v/>
      </c>
      <c r="GK886" s="1852" t="str">
        <f t="shared" si="171"/>
        <v/>
      </c>
      <c r="GL886" s="1852" t="str">
        <f t="shared" si="172"/>
        <v/>
      </c>
      <c r="GM886" s="1852" t="str">
        <f t="shared" si="173"/>
        <v/>
      </c>
      <c r="GN886" s="1852" t="str">
        <f t="shared" si="174"/>
        <v/>
      </c>
      <c r="GO886" s="1852" t="str">
        <f t="shared" si="175"/>
        <v/>
      </c>
      <c r="GP886" s="1852" t="str">
        <f t="shared" si="176"/>
        <v/>
      </c>
      <c r="GQ886" s="1852" t="str">
        <f t="shared" si="177"/>
        <v/>
      </c>
      <c r="GR886" s="1852" t="str">
        <f t="shared" si="178"/>
        <v/>
      </c>
      <c r="GS886" s="1852" t="str">
        <f t="shared" si="179"/>
        <v/>
      </c>
      <c r="GT886" s="1852" t="str">
        <f t="shared" si="180"/>
        <v/>
      </c>
      <c r="GU886" s="1852" t="str">
        <f t="shared" si="181"/>
        <v/>
      </c>
      <c r="GV886" s="1852" t="str">
        <f t="shared" si="182"/>
        <v/>
      </c>
      <c r="GW886" s="1852" t="str">
        <f t="shared" si="183"/>
        <v/>
      </c>
      <c r="GX886" s="1852" t="str">
        <f t="shared" si="184"/>
        <v/>
      </c>
      <c r="GY886" s="1852" t="str">
        <f t="shared" si="185"/>
        <v/>
      </c>
      <c r="GZ886" s="1852" t="str">
        <f t="shared" si="186"/>
        <v/>
      </c>
      <c r="HA886" s="1852" t="str">
        <f t="shared" si="187"/>
        <v/>
      </c>
      <c r="HB886" s="1852" t="str">
        <f t="shared" si="188"/>
        <v/>
      </c>
      <c r="HC886" s="1852" t="str">
        <f t="shared" si="189"/>
        <v/>
      </c>
      <c r="HD886" s="1852" t="str">
        <f t="shared" si="190"/>
        <v/>
      </c>
      <c r="HE886" s="1852" t="str">
        <f t="shared" si="191"/>
        <v/>
      </c>
      <c r="HF886" s="1852" t="str">
        <f t="shared" si="192"/>
        <v/>
      </c>
      <c r="HG886" s="1852" t="str">
        <f t="shared" si="193"/>
        <v/>
      </c>
      <c r="HH886" s="1852" t="str">
        <f t="shared" si="194"/>
        <v/>
      </c>
      <c r="HI886" s="1852" t="str">
        <f t="shared" si="195"/>
        <v/>
      </c>
      <c r="HJ886" s="1852" t="str">
        <f t="shared" si="196"/>
        <v/>
      </c>
      <c r="HK886" s="1852" t="str">
        <f t="shared" si="197"/>
        <v/>
      </c>
      <c r="HL886" s="1852" t="str">
        <f t="shared" si="198"/>
        <v/>
      </c>
      <c r="HM886" s="1852" t="str">
        <f t="shared" si="199"/>
        <v/>
      </c>
      <c r="HN886" s="1852" t="str">
        <f t="shared" si="200"/>
        <v/>
      </c>
      <c r="HO886" s="1852" t="str">
        <f t="shared" si="201"/>
        <v/>
      </c>
      <c r="HP886" s="1852" t="str">
        <f t="shared" si="202"/>
        <v/>
      </c>
      <c r="HQ886" s="1852" t="str">
        <f t="shared" si="203"/>
        <v/>
      </c>
      <c r="HR886" s="1852" t="str">
        <f t="shared" si="204"/>
        <v/>
      </c>
      <c r="HS886" s="1852" t="str">
        <f t="shared" si="205"/>
        <v/>
      </c>
      <c r="HT886" s="1852" t="str">
        <f t="shared" si="206"/>
        <v/>
      </c>
      <c r="HU886" s="1852" t="str">
        <f t="shared" si="207"/>
        <v/>
      </c>
      <c r="HV886" s="1852" t="str">
        <f t="shared" si="208"/>
        <v/>
      </c>
      <c r="HW886" s="1852" t="str">
        <f t="shared" si="209"/>
        <v/>
      </c>
      <c r="HX886" s="1852" t="str">
        <f t="shared" si="210"/>
        <v/>
      </c>
      <c r="HY886" s="1852" t="str">
        <f t="shared" si="211"/>
        <v/>
      </c>
      <c r="HZ886" s="2140" t="str">
        <f t="shared" si="212"/>
        <v/>
      </c>
      <c r="IA886" s="2140" t="str">
        <f t="shared" si="213"/>
        <v/>
      </c>
      <c r="IB886" s="2140" t="str">
        <f t="shared" si="214"/>
        <v/>
      </c>
      <c r="IC886" s="2140" t="str">
        <f t="shared" si="215"/>
        <v/>
      </c>
      <c r="ID886" s="2140" t="str">
        <f t="shared" si="216"/>
        <v/>
      </c>
      <c r="IE886" s="2140" t="str">
        <f t="shared" si="217"/>
        <v/>
      </c>
      <c r="IF886" s="2140" t="str">
        <f t="shared" si="218"/>
        <v/>
      </c>
      <c r="IG886" s="2140" t="str">
        <f t="shared" si="219"/>
        <v/>
      </c>
      <c r="IH886" s="2140" t="str">
        <f t="shared" si="220"/>
        <v/>
      </c>
      <c r="II886" s="2140" t="str">
        <f t="shared" si="221"/>
        <v/>
      </c>
      <c r="IJ886" s="2140" t="str">
        <f t="shared" si="222"/>
        <v/>
      </c>
      <c r="IK886" s="2140" t="str">
        <f t="shared" si="223"/>
        <v/>
      </c>
      <c r="IL886" s="2140" t="str">
        <f t="shared" si="224"/>
        <v/>
      </c>
      <c r="IM886" s="2140" t="str">
        <f t="shared" si="225"/>
        <v/>
      </c>
      <c r="IN886" s="2140" t="str">
        <f t="shared" si="226"/>
        <v/>
      </c>
      <c r="IO886" s="2140" t="str">
        <f t="shared" si="227"/>
        <v/>
      </c>
      <c r="IP886" s="2140" t="str">
        <f t="shared" si="228"/>
        <v/>
      </c>
      <c r="IQ886" s="2140" t="str">
        <f t="shared" si="229"/>
        <v/>
      </c>
      <c r="IR886" s="2140" t="str">
        <f t="shared" si="230"/>
        <v/>
      </c>
      <c r="IS886" s="2140" t="str">
        <f t="shared" si="231"/>
        <v/>
      </c>
      <c r="IT886" s="2140" t="str">
        <f t="shared" si="232"/>
        <v/>
      </c>
      <c r="IU886" s="2140" t="str">
        <f t="shared" si="233"/>
        <v/>
      </c>
      <c r="IV886" s="2140" t="str">
        <f t="shared" si="234"/>
        <v/>
      </c>
      <c r="IW886" s="2140" t="str">
        <f t="shared" si="235"/>
        <v/>
      </c>
      <c r="IX886" s="2140" t="str">
        <f t="shared" si="236"/>
        <v/>
      </c>
      <c r="IY886" s="2140" t="str">
        <f t="shared" si="237"/>
        <v/>
      </c>
      <c r="IZ886" s="2140" t="str">
        <f t="shared" si="238"/>
        <v/>
      </c>
      <c r="JA886" s="2140" t="str">
        <f t="shared" si="239"/>
        <v/>
      </c>
      <c r="JB886" s="2140" t="str">
        <f t="shared" si="240"/>
        <v/>
      </c>
      <c r="JC886" s="2140" t="str">
        <f t="shared" si="241"/>
        <v/>
      </c>
      <c r="JD886" s="2140" t="str">
        <f t="shared" si="242"/>
        <v/>
      </c>
      <c r="JE886" s="2140" t="str">
        <f t="shared" si="243"/>
        <v/>
      </c>
      <c r="JF886" s="2140" t="str">
        <f t="shared" si="244"/>
        <v/>
      </c>
      <c r="JG886" s="2140" t="str">
        <f t="shared" si="245"/>
        <v/>
      </c>
      <c r="JH886" s="2140" t="str">
        <f t="shared" si="246"/>
        <v/>
      </c>
      <c r="JI886" s="2140" t="str">
        <f t="shared" si="247"/>
        <v/>
      </c>
      <c r="JJ886" s="2140" t="str">
        <f t="shared" si="248"/>
        <v/>
      </c>
      <c r="JK886" s="2140" t="str">
        <f t="shared" si="249"/>
        <v/>
      </c>
      <c r="JL886" s="2140" t="str">
        <f t="shared" si="250"/>
        <v/>
      </c>
      <c r="JM886" s="2140" t="str">
        <f t="shared" si="251"/>
        <v/>
      </c>
      <c r="JN886" s="2140" t="str">
        <f t="shared" si="252"/>
        <v/>
      </c>
      <c r="JO886" s="2140" t="str">
        <f t="shared" si="253"/>
        <v/>
      </c>
      <c r="JP886" s="2140" t="str">
        <f t="shared" si="254"/>
        <v/>
      </c>
      <c r="JQ886" s="2140" t="str">
        <f t="shared" si="255"/>
        <v/>
      </c>
      <c r="JR886" s="2140" t="str">
        <f t="shared" si="256"/>
        <v/>
      </c>
      <c r="JS886" s="2140" t="str">
        <f t="shared" si="257"/>
        <v/>
      </c>
      <c r="JT886" s="2140" t="str">
        <f t="shared" si="258"/>
        <v/>
      </c>
      <c r="JU886" s="2140" t="str">
        <f t="shared" si="259"/>
        <v/>
      </c>
      <c r="JV886" s="2140" t="str">
        <f t="shared" si="260"/>
        <v/>
      </c>
      <c r="JW886" s="2140" t="str">
        <f t="shared" si="261"/>
        <v/>
      </c>
      <c r="JX886" s="2140" t="str">
        <f t="shared" si="262"/>
        <v/>
      </c>
      <c r="JY886" s="2140" t="str">
        <f t="shared" si="263"/>
        <v/>
      </c>
      <c r="JZ886" s="2140" t="str">
        <f t="shared" si="264"/>
        <v/>
      </c>
      <c r="KA886" s="2140" t="str">
        <f t="shared" si="265"/>
        <v/>
      </c>
      <c r="KB886" s="2140" t="str">
        <f t="shared" si="266"/>
        <v/>
      </c>
      <c r="KC886" s="2140" t="str">
        <f t="shared" si="267"/>
        <v/>
      </c>
      <c r="KD886" s="2140" t="str">
        <f t="shared" si="268"/>
        <v/>
      </c>
      <c r="KE886" s="2140" t="str">
        <f t="shared" si="269"/>
        <v/>
      </c>
      <c r="KF886" s="2140" t="str">
        <f t="shared" si="270"/>
        <v/>
      </c>
      <c r="KG886" s="2140" t="str">
        <f t="shared" si="271"/>
        <v/>
      </c>
      <c r="KH886" s="2140" t="str">
        <f t="shared" si="272"/>
        <v/>
      </c>
      <c r="KI886" s="2140" t="str">
        <f t="shared" si="273"/>
        <v/>
      </c>
      <c r="KJ886" s="2140" t="str">
        <f t="shared" si="274"/>
        <v/>
      </c>
      <c r="KK886" s="2140" t="str">
        <f t="shared" si="275"/>
        <v/>
      </c>
      <c r="KL886" s="2140" t="str">
        <f t="shared" si="276"/>
        <v/>
      </c>
      <c r="KM886" s="2140" t="str">
        <f t="shared" si="277"/>
        <v/>
      </c>
      <c r="KN886" s="2140" t="str">
        <f t="shared" si="278"/>
        <v/>
      </c>
      <c r="KO886" s="2140" t="str">
        <f t="shared" si="279"/>
        <v/>
      </c>
      <c r="KP886" s="2140" t="str">
        <f t="shared" si="280"/>
        <v/>
      </c>
      <c r="KQ886" s="2140" t="str">
        <f t="shared" si="281"/>
        <v/>
      </c>
      <c r="KR886" s="2140" t="str">
        <f t="shared" si="282"/>
        <v/>
      </c>
      <c r="KS886" s="2140" t="str">
        <f t="shared" si="283"/>
        <v/>
      </c>
      <c r="KT886" s="2140" t="str">
        <f t="shared" si="284"/>
        <v/>
      </c>
      <c r="KU886" s="2140" t="str">
        <f t="shared" si="285"/>
        <v/>
      </c>
      <c r="KV886" s="2140" t="str">
        <f t="shared" si="286"/>
        <v/>
      </c>
      <c r="KW886" s="2140" t="str">
        <f t="shared" si="287"/>
        <v/>
      </c>
      <c r="KX886" s="2140" t="str">
        <f t="shared" si="288"/>
        <v/>
      </c>
      <c r="KY886" s="2140" t="str">
        <f t="shared" si="289"/>
        <v/>
      </c>
      <c r="KZ886" s="2140" t="str">
        <f t="shared" si="290"/>
        <v/>
      </c>
      <c r="LA886" s="2140" t="str">
        <f t="shared" si="291"/>
        <v/>
      </c>
      <c r="LB886" s="2140" t="str">
        <f t="shared" si="292"/>
        <v/>
      </c>
      <c r="LC886" s="2140" t="str">
        <f t="shared" si="293"/>
        <v/>
      </c>
      <c r="LD886" s="2140" t="str">
        <f t="shared" si="294"/>
        <v/>
      </c>
      <c r="LE886" s="2140" t="str">
        <f t="shared" si="295"/>
        <v/>
      </c>
      <c r="LF886" s="2140" t="str">
        <f t="shared" si="296"/>
        <v/>
      </c>
      <c r="LG886" s="2051" t="str">
        <f t="shared" si="297"/>
        <v/>
      </c>
      <c r="LH886" s="2051" t="str">
        <f t="shared" si="298"/>
        <v/>
      </c>
      <c r="LI886" s="2051" t="str">
        <f t="shared" si="299"/>
        <v/>
      </c>
      <c r="LJ886" s="2051" t="str">
        <f t="shared" si="300"/>
        <v/>
      </c>
      <c r="LK886" s="2051" t="str">
        <f t="shared" si="301"/>
        <v/>
      </c>
      <c r="LL886" s="1852" t="str">
        <f t="shared" si="302"/>
        <v/>
      </c>
      <c r="LM886" s="1852" t="str">
        <f t="shared" si="303"/>
        <v/>
      </c>
      <c r="LN886" s="1852" t="str">
        <f t="shared" si="304"/>
        <v/>
      </c>
      <c r="LO886" s="1852" t="str">
        <f t="shared" si="305"/>
        <v/>
      </c>
      <c r="LP886" s="1852" t="str">
        <f t="shared" si="306"/>
        <v/>
      </c>
      <c r="LQ886" s="1852" t="str">
        <f t="shared" si="307"/>
        <v/>
      </c>
      <c r="LR886" s="1852" t="str">
        <f t="shared" si="308"/>
        <v/>
      </c>
      <c r="LS886" s="1852" t="str">
        <f t="shared" si="309"/>
        <v/>
      </c>
      <c r="LT886" s="1852" t="str">
        <f t="shared" si="310"/>
        <v/>
      </c>
      <c r="LU886" s="1852" t="str">
        <f t="shared" si="311"/>
        <v/>
      </c>
      <c r="LV886" s="1852" t="str">
        <f t="shared" si="312"/>
        <v/>
      </c>
      <c r="LW886" s="1852" t="str">
        <f t="shared" si="313"/>
        <v/>
      </c>
      <c r="LX886" s="1852" t="str">
        <f t="shared" si="314"/>
        <v/>
      </c>
      <c r="LY886" s="1852" t="str">
        <f t="shared" si="315"/>
        <v/>
      </c>
      <c r="LZ886" s="1852" t="str">
        <f t="shared" si="316"/>
        <v/>
      </c>
      <c r="MA886" s="1852" t="str">
        <f t="shared" si="317"/>
        <v/>
      </c>
      <c r="MB886" s="1852" t="str">
        <f t="shared" si="318"/>
        <v/>
      </c>
      <c r="MC886" s="1852" t="str">
        <f t="shared" si="319"/>
        <v/>
      </c>
      <c r="MD886" s="1852" t="str">
        <f t="shared" si="320"/>
        <v/>
      </c>
      <c r="ME886" s="1852" t="str">
        <f t="shared" si="321"/>
        <v/>
      </c>
      <c r="MF886" s="2051">
        <f t="shared" si="328"/>
        <v>0</v>
      </c>
      <c r="MG886" s="2051">
        <f t="shared" si="329"/>
        <v>0</v>
      </c>
      <c r="MH886" s="2051">
        <f t="shared" si="330"/>
        <v>0</v>
      </c>
      <c r="MI886" s="2051">
        <f t="shared" si="331"/>
        <v>0</v>
      </c>
      <c r="MJ886" s="2051">
        <f t="shared" si="332"/>
        <v>0</v>
      </c>
      <c r="MK886" s="2051">
        <f t="shared" si="333"/>
        <v>0</v>
      </c>
      <c r="ML886" s="2051">
        <f t="shared" si="334"/>
        <v>0</v>
      </c>
      <c r="MM886" s="2051">
        <f t="shared" si="335"/>
        <v>0</v>
      </c>
      <c r="MN886" s="2051">
        <f t="shared" si="336"/>
        <v>0</v>
      </c>
      <c r="MO886" s="2051">
        <f t="shared" si="337"/>
        <v>0</v>
      </c>
      <c r="MP886" s="2051">
        <f t="shared" si="322"/>
        <v>0</v>
      </c>
      <c r="MQ886" s="2051">
        <f t="shared" si="323"/>
        <v>0</v>
      </c>
      <c r="MR886" s="2051">
        <f t="shared" si="324"/>
        <v>0</v>
      </c>
      <c r="MS886" s="2051">
        <f t="shared" si="325"/>
        <v>0</v>
      </c>
      <c r="MT886" s="2051">
        <f t="shared" si="326"/>
        <v>0</v>
      </c>
      <c r="NP886" s="1924" t="s">
        <v>6755</v>
      </c>
    </row>
    <row r="887" spans="1:380" s="1852" customFormat="1" ht="13.9" customHeight="1">
      <c r="A887" s="2108" t="str">
        <f t="shared" si="327"/>
        <v/>
      </c>
      <c r="B887" s="2130">
        <f>'Part VI-Revenues &amp; Expenses'!B47</f>
        <v>0</v>
      </c>
      <c r="C887" s="2131">
        <f>'Part VI-Revenues &amp; Expenses'!C47</f>
        <v>0</v>
      </c>
      <c r="D887" s="2132">
        <f>'Part VI-Revenues &amp; Expenses'!D47</f>
        <v>0</v>
      </c>
      <c r="E887" s="2133">
        <f>'Part VI-Revenues &amp; Expenses'!E47</f>
        <v>0</v>
      </c>
      <c r="F887" s="2133">
        <f>'Part VI-Revenues &amp; Expenses'!F47</f>
        <v>0</v>
      </c>
      <c r="G887" s="2133">
        <f>'Part VI-Revenues &amp; Expenses'!G47</f>
        <v>0</v>
      </c>
      <c r="H887" s="2133">
        <f>'Part VI-Revenues &amp; Expenses'!H47</f>
        <v>0</v>
      </c>
      <c r="I887" s="2133">
        <f>'Part VI-Revenues &amp; Expenses'!I47</f>
        <v>0</v>
      </c>
      <c r="J887" s="2133">
        <f>'Part VI-Revenues &amp; Expenses'!J47</f>
        <v>0</v>
      </c>
      <c r="K887" s="2134">
        <f>'Part VI-Revenues &amp; Expenses'!K47</f>
        <v>0</v>
      </c>
      <c r="L887" s="2135">
        <f t="shared" si="0"/>
        <v>0</v>
      </c>
      <c r="M887" s="2135">
        <f t="shared" si="1"/>
        <v>0</v>
      </c>
      <c r="N887" s="1916">
        <f>'Part VI-Revenues &amp; Expenses'!N47</f>
        <v>0</v>
      </c>
      <c r="O887" s="2136">
        <f>'Part VI-Revenues &amp; Expenses'!O47</f>
        <v>0</v>
      </c>
      <c r="P887" s="1916">
        <f>'Part VI-Revenues &amp; Expenses'!P47</f>
        <v>0</v>
      </c>
      <c r="Q887" s="2137">
        <f>'Part VI-Revenues &amp; Expenses'!Q47</f>
        <v>0</v>
      </c>
      <c r="R887" s="2138"/>
      <c r="S887" s="2139"/>
      <c r="T887" s="2043"/>
      <c r="U887" s="2043"/>
      <c r="V887" s="2043"/>
      <c r="W887" s="2043"/>
      <c r="X887" s="1852" t="str">
        <f t="shared" si="2"/>
        <v/>
      </c>
      <c r="Y887" s="1852" t="str">
        <f t="shared" si="3"/>
        <v/>
      </c>
      <c r="Z887" s="1852" t="str">
        <f t="shared" si="4"/>
        <v/>
      </c>
      <c r="AA887" s="1852" t="str">
        <f t="shared" si="5"/>
        <v/>
      </c>
      <c r="AB887" s="1852" t="str">
        <f t="shared" si="6"/>
        <v/>
      </c>
      <c r="AC887" s="1852" t="str">
        <f t="shared" si="7"/>
        <v/>
      </c>
      <c r="AD887" s="1852" t="str">
        <f t="shared" si="8"/>
        <v/>
      </c>
      <c r="AE887" s="1852" t="str">
        <f t="shared" si="9"/>
        <v/>
      </c>
      <c r="AF887" s="1852" t="str">
        <f t="shared" si="10"/>
        <v/>
      </c>
      <c r="AG887" s="1852" t="str">
        <f t="shared" si="11"/>
        <v/>
      </c>
      <c r="AH887" s="1852" t="str">
        <f t="shared" si="12"/>
        <v/>
      </c>
      <c r="AI887" s="1852" t="str">
        <f t="shared" si="13"/>
        <v/>
      </c>
      <c r="AJ887" s="1852" t="str">
        <f t="shared" si="14"/>
        <v/>
      </c>
      <c r="AK887" s="1852" t="str">
        <f t="shared" si="15"/>
        <v/>
      </c>
      <c r="AL887" s="1852" t="str">
        <f t="shared" si="16"/>
        <v/>
      </c>
      <c r="AM887" s="1852" t="str">
        <f t="shared" si="17"/>
        <v/>
      </c>
      <c r="AN887" s="1852" t="str">
        <f t="shared" si="18"/>
        <v/>
      </c>
      <c r="AO887" s="1852" t="str">
        <f t="shared" si="19"/>
        <v/>
      </c>
      <c r="AP887" s="1852" t="str">
        <f t="shared" si="20"/>
        <v/>
      </c>
      <c r="AQ887" s="1852" t="str">
        <f t="shared" si="21"/>
        <v/>
      </c>
      <c r="AR887" s="1852" t="str">
        <f t="shared" si="22"/>
        <v/>
      </c>
      <c r="AS887" s="1852" t="str">
        <f t="shared" si="23"/>
        <v/>
      </c>
      <c r="AT887" s="1852" t="str">
        <f t="shared" si="24"/>
        <v/>
      </c>
      <c r="AU887" s="1852" t="str">
        <f t="shared" si="25"/>
        <v/>
      </c>
      <c r="AV887" s="1852" t="str">
        <f t="shared" si="26"/>
        <v/>
      </c>
      <c r="AW887" s="1852" t="str">
        <f t="shared" si="27"/>
        <v/>
      </c>
      <c r="AX887" s="1852" t="str">
        <f t="shared" si="28"/>
        <v/>
      </c>
      <c r="AY887" s="1852" t="str">
        <f t="shared" si="29"/>
        <v/>
      </c>
      <c r="AZ887" s="1852" t="str">
        <f t="shared" si="30"/>
        <v/>
      </c>
      <c r="BA887" s="1852" t="str">
        <f t="shared" si="31"/>
        <v/>
      </c>
      <c r="BB887" s="1852" t="str">
        <f t="shared" si="32"/>
        <v/>
      </c>
      <c r="BC887" s="1852" t="str">
        <f t="shared" si="33"/>
        <v/>
      </c>
      <c r="BD887" s="1852" t="str">
        <f t="shared" si="34"/>
        <v/>
      </c>
      <c r="BE887" s="1852" t="str">
        <f t="shared" si="35"/>
        <v/>
      </c>
      <c r="BF887" s="1852" t="str">
        <f t="shared" si="36"/>
        <v/>
      </c>
      <c r="BG887" s="1852" t="str">
        <f t="shared" si="37"/>
        <v/>
      </c>
      <c r="BH887" s="1852" t="str">
        <f t="shared" si="38"/>
        <v/>
      </c>
      <c r="BI887" s="1852" t="str">
        <f t="shared" si="39"/>
        <v/>
      </c>
      <c r="BJ887" s="1852" t="str">
        <f t="shared" si="40"/>
        <v/>
      </c>
      <c r="BK887" s="1852" t="str">
        <f t="shared" si="41"/>
        <v/>
      </c>
      <c r="BL887" s="1852" t="str">
        <f t="shared" si="42"/>
        <v/>
      </c>
      <c r="BM887" s="1852" t="str">
        <f t="shared" si="43"/>
        <v/>
      </c>
      <c r="BN887" s="1852" t="str">
        <f t="shared" si="44"/>
        <v/>
      </c>
      <c r="BO887" s="1852" t="str">
        <f t="shared" si="45"/>
        <v/>
      </c>
      <c r="BP887" s="1852" t="str">
        <f t="shared" si="46"/>
        <v/>
      </c>
      <c r="BQ887" s="1852" t="str">
        <f t="shared" si="47"/>
        <v/>
      </c>
      <c r="BR887" s="1852" t="str">
        <f t="shared" si="48"/>
        <v/>
      </c>
      <c r="BS887" s="1852" t="str">
        <f t="shared" si="49"/>
        <v/>
      </c>
      <c r="BT887" s="1852" t="str">
        <f t="shared" si="50"/>
        <v/>
      </c>
      <c r="BU887" s="1852" t="str">
        <f t="shared" si="51"/>
        <v/>
      </c>
      <c r="BV887" s="1852" t="str">
        <f t="shared" si="52"/>
        <v/>
      </c>
      <c r="BW887" s="1852" t="str">
        <f t="shared" si="53"/>
        <v/>
      </c>
      <c r="BX887" s="1852" t="str">
        <f t="shared" si="54"/>
        <v/>
      </c>
      <c r="BY887" s="1852" t="str">
        <f t="shared" si="55"/>
        <v/>
      </c>
      <c r="BZ887" s="1852" t="str">
        <f t="shared" si="56"/>
        <v/>
      </c>
      <c r="CA887" s="1852" t="str">
        <f t="shared" si="57"/>
        <v/>
      </c>
      <c r="CB887" s="1852" t="str">
        <f t="shared" si="58"/>
        <v/>
      </c>
      <c r="CC887" s="1852" t="str">
        <f t="shared" si="59"/>
        <v/>
      </c>
      <c r="CD887" s="1852" t="str">
        <f t="shared" si="60"/>
        <v/>
      </c>
      <c r="CE887" s="1852" t="str">
        <f t="shared" si="61"/>
        <v/>
      </c>
      <c r="CF887" s="1852" t="str">
        <f t="shared" si="62"/>
        <v/>
      </c>
      <c r="CG887" s="1852" t="str">
        <f t="shared" si="63"/>
        <v/>
      </c>
      <c r="CH887" s="1852" t="str">
        <f t="shared" si="64"/>
        <v/>
      </c>
      <c r="CI887" s="1852" t="str">
        <f t="shared" si="65"/>
        <v/>
      </c>
      <c r="CJ887" s="1852" t="str">
        <f t="shared" si="66"/>
        <v/>
      </c>
      <c r="CK887" s="1852" t="str">
        <f t="shared" si="67"/>
        <v/>
      </c>
      <c r="CL887" s="1852" t="str">
        <f t="shared" si="68"/>
        <v/>
      </c>
      <c r="CM887" s="1852" t="str">
        <f t="shared" si="69"/>
        <v/>
      </c>
      <c r="CN887" s="1852" t="str">
        <f t="shared" si="70"/>
        <v/>
      </c>
      <c r="CO887" s="1852" t="str">
        <f t="shared" si="71"/>
        <v/>
      </c>
      <c r="CP887" s="1852" t="str">
        <f t="shared" si="72"/>
        <v/>
      </c>
      <c r="CQ887" s="1852" t="str">
        <f t="shared" si="73"/>
        <v/>
      </c>
      <c r="CR887" s="1852" t="str">
        <f t="shared" si="74"/>
        <v/>
      </c>
      <c r="CS887" s="1852" t="str">
        <f t="shared" si="75"/>
        <v/>
      </c>
      <c r="CT887" s="1852" t="str">
        <f t="shared" si="76"/>
        <v/>
      </c>
      <c r="CU887" s="1852" t="str">
        <f t="shared" si="77"/>
        <v/>
      </c>
      <c r="CV887" s="1852" t="str">
        <f t="shared" si="78"/>
        <v/>
      </c>
      <c r="CW887" s="1852" t="str">
        <f t="shared" si="79"/>
        <v/>
      </c>
      <c r="CX887" s="1852" t="str">
        <f t="shared" si="80"/>
        <v/>
      </c>
      <c r="CY887" s="1852" t="str">
        <f t="shared" si="81"/>
        <v/>
      </c>
      <c r="CZ887" s="1852" t="str">
        <f t="shared" si="82"/>
        <v/>
      </c>
      <c r="DA887" s="1852" t="str">
        <f t="shared" si="83"/>
        <v/>
      </c>
      <c r="DB887" s="1852" t="str">
        <f t="shared" si="84"/>
        <v/>
      </c>
      <c r="DC887" s="1852" t="str">
        <f t="shared" si="85"/>
        <v/>
      </c>
      <c r="DD887" s="1852" t="str">
        <f t="shared" si="86"/>
        <v/>
      </c>
      <c r="DE887" s="1852" t="str">
        <f t="shared" si="87"/>
        <v/>
      </c>
      <c r="DF887" s="1852" t="str">
        <f t="shared" si="88"/>
        <v/>
      </c>
      <c r="DG887" s="1852" t="str">
        <f t="shared" si="89"/>
        <v/>
      </c>
      <c r="DH887" s="1852" t="str">
        <f t="shared" si="90"/>
        <v/>
      </c>
      <c r="DI887" s="1852" t="str">
        <f t="shared" si="91"/>
        <v/>
      </c>
      <c r="DJ887" s="1852" t="str">
        <f t="shared" si="92"/>
        <v/>
      </c>
      <c r="DK887" s="1852" t="str">
        <f t="shared" si="93"/>
        <v/>
      </c>
      <c r="DL887" s="1852" t="str">
        <f t="shared" si="94"/>
        <v/>
      </c>
      <c r="DM887" s="1852" t="str">
        <f t="shared" si="95"/>
        <v/>
      </c>
      <c r="DN887" s="1852" t="str">
        <f t="shared" si="96"/>
        <v/>
      </c>
      <c r="DO887" s="1852" t="str">
        <f t="shared" si="97"/>
        <v/>
      </c>
      <c r="DP887" s="1852" t="str">
        <f t="shared" si="98"/>
        <v/>
      </c>
      <c r="DQ887" s="1852" t="str">
        <f t="shared" si="99"/>
        <v/>
      </c>
      <c r="DR887" s="1852" t="str">
        <f t="shared" si="100"/>
        <v/>
      </c>
      <c r="DS887" s="1852" t="str">
        <f t="shared" si="101"/>
        <v/>
      </c>
      <c r="DT887" s="1852" t="str">
        <f t="shared" si="102"/>
        <v/>
      </c>
      <c r="DU887" s="1852" t="str">
        <f t="shared" si="103"/>
        <v/>
      </c>
      <c r="DV887" s="1852" t="str">
        <f t="shared" si="104"/>
        <v/>
      </c>
      <c r="DW887" s="1852" t="str">
        <f t="shared" si="105"/>
        <v/>
      </c>
      <c r="DX887" s="1852" t="str">
        <f t="shared" si="106"/>
        <v/>
      </c>
      <c r="DY887" s="1852" t="str">
        <f t="shared" si="107"/>
        <v/>
      </c>
      <c r="DZ887" s="1852" t="str">
        <f t="shared" si="108"/>
        <v/>
      </c>
      <c r="EA887" s="1852" t="str">
        <f t="shared" si="109"/>
        <v/>
      </c>
      <c r="EB887" s="1852" t="str">
        <f t="shared" si="110"/>
        <v/>
      </c>
      <c r="EC887" s="1852" t="str">
        <f t="shared" si="111"/>
        <v/>
      </c>
      <c r="ED887" s="1852" t="str">
        <f t="shared" si="112"/>
        <v/>
      </c>
      <c r="EE887" s="1852" t="str">
        <f t="shared" si="113"/>
        <v/>
      </c>
      <c r="EF887" s="1852" t="str">
        <f t="shared" si="114"/>
        <v/>
      </c>
      <c r="EG887" s="1852" t="str">
        <f t="shared" si="115"/>
        <v/>
      </c>
      <c r="EH887" s="1852" t="str">
        <f t="shared" si="116"/>
        <v/>
      </c>
      <c r="EI887" s="1852" t="str">
        <f t="shared" si="117"/>
        <v/>
      </c>
      <c r="EJ887" s="1852" t="str">
        <f t="shared" si="118"/>
        <v/>
      </c>
      <c r="EK887" s="1852" t="str">
        <f t="shared" si="119"/>
        <v/>
      </c>
      <c r="EL887" s="1852" t="str">
        <f t="shared" si="120"/>
        <v/>
      </c>
      <c r="EM887" s="1852" t="str">
        <f t="shared" si="121"/>
        <v/>
      </c>
      <c r="EN887" s="1852" t="str">
        <f t="shared" si="122"/>
        <v/>
      </c>
      <c r="EO887" s="1852" t="str">
        <f t="shared" si="123"/>
        <v/>
      </c>
      <c r="EP887" s="1852" t="str">
        <f t="shared" si="124"/>
        <v/>
      </c>
      <c r="EQ887" s="1852" t="str">
        <f t="shared" si="125"/>
        <v/>
      </c>
      <c r="ER887" s="1852" t="str">
        <f t="shared" si="126"/>
        <v/>
      </c>
      <c r="ES887" s="1852" t="str">
        <f t="shared" si="127"/>
        <v/>
      </c>
      <c r="ET887" s="1852" t="str">
        <f t="shared" si="128"/>
        <v/>
      </c>
      <c r="EU887" s="1852" t="str">
        <f t="shared" si="129"/>
        <v/>
      </c>
      <c r="EV887" s="1852" t="str">
        <f t="shared" si="130"/>
        <v/>
      </c>
      <c r="EW887" s="1852" t="str">
        <f t="shared" si="131"/>
        <v/>
      </c>
      <c r="EX887" s="1852" t="str">
        <f t="shared" si="132"/>
        <v/>
      </c>
      <c r="EY887" s="1852" t="str">
        <f t="shared" si="133"/>
        <v/>
      </c>
      <c r="EZ887" s="1852" t="str">
        <f t="shared" si="134"/>
        <v/>
      </c>
      <c r="FA887" s="1852" t="str">
        <f t="shared" si="135"/>
        <v/>
      </c>
      <c r="FB887" s="1852" t="str">
        <f t="shared" si="136"/>
        <v/>
      </c>
      <c r="FC887" s="1852" t="str">
        <f t="shared" si="137"/>
        <v/>
      </c>
      <c r="FD887" s="1852" t="str">
        <f t="shared" si="138"/>
        <v/>
      </c>
      <c r="FE887" s="1852" t="str">
        <f t="shared" si="139"/>
        <v/>
      </c>
      <c r="FF887" s="1852" t="str">
        <f t="shared" si="140"/>
        <v/>
      </c>
      <c r="FG887" s="1852" t="str">
        <f t="shared" si="141"/>
        <v/>
      </c>
      <c r="FH887" s="1852" t="str">
        <f t="shared" si="142"/>
        <v/>
      </c>
      <c r="FI887" s="1852" t="str">
        <f t="shared" si="143"/>
        <v/>
      </c>
      <c r="FJ887" s="1852" t="str">
        <f t="shared" si="144"/>
        <v/>
      </c>
      <c r="FK887" s="1852" t="str">
        <f t="shared" si="145"/>
        <v/>
      </c>
      <c r="FL887" s="1852" t="str">
        <f t="shared" si="146"/>
        <v/>
      </c>
      <c r="FM887" s="1852" t="str">
        <f t="shared" si="147"/>
        <v/>
      </c>
      <c r="FN887" s="1852" t="str">
        <f t="shared" si="148"/>
        <v/>
      </c>
      <c r="FO887" s="1852" t="str">
        <f t="shared" si="149"/>
        <v/>
      </c>
      <c r="FP887" s="1852" t="str">
        <f t="shared" si="150"/>
        <v/>
      </c>
      <c r="FQ887" s="1852" t="str">
        <f t="shared" si="151"/>
        <v/>
      </c>
      <c r="FR887" s="1852" t="str">
        <f t="shared" si="152"/>
        <v/>
      </c>
      <c r="FS887" s="1852" t="str">
        <f t="shared" si="153"/>
        <v/>
      </c>
      <c r="FT887" s="1852" t="str">
        <f t="shared" si="154"/>
        <v/>
      </c>
      <c r="FU887" s="1852" t="str">
        <f t="shared" si="155"/>
        <v/>
      </c>
      <c r="FV887" s="1852" t="str">
        <f t="shared" si="156"/>
        <v/>
      </c>
      <c r="FW887" s="1852" t="str">
        <f t="shared" si="157"/>
        <v/>
      </c>
      <c r="FX887" s="1852" t="str">
        <f t="shared" si="158"/>
        <v/>
      </c>
      <c r="FY887" s="1852" t="str">
        <f t="shared" si="159"/>
        <v/>
      </c>
      <c r="FZ887" s="1852" t="str">
        <f t="shared" si="160"/>
        <v/>
      </c>
      <c r="GA887" s="1852" t="str">
        <f t="shared" si="161"/>
        <v/>
      </c>
      <c r="GB887" s="1852" t="str">
        <f t="shared" si="162"/>
        <v/>
      </c>
      <c r="GC887" s="1852" t="str">
        <f t="shared" si="163"/>
        <v/>
      </c>
      <c r="GD887" s="1852" t="str">
        <f t="shared" si="164"/>
        <v/>
      </c>
      <c r="GE887" s="1852" t="str">
        <f t="shared" si="165"/>
        <v/>
      </c>
      <c r="GF887" s="1852" t="str">
        <f t="shared" si="166"/>
        <v/>
      </c>
      <c r="GG887" s="1852" t="str">
        <f t="shared" si="167"/>
        <v/>
      </c>
      <c r="GH887" s="1852" t="str">
        <f t="shared" si="168"/>
        <v/>
      </c>
      <c r="GI887" s="1852" t="str">
        <f t="shared" si="169"/>
        <v/>
      </c>
      <c r="GJ887" s="1852" t="str">
        <f t="shared" si="170"/>
        <v/>
      </c>
      <c r="GK887" s="1852" t="str">
        <f t="shared" si="171"/>
        <v/>
      </c>
      <c r="GL887" s="1852" t="str">
        <f t="shared" si="172"/>
        <v/>
      </c>
      <c r="GM887" s="1852" t="str">
        <f t="shared" si="173"/>
        <v/>
      </c>
      <c r="GN887" s="1852" t="str">
        <f t="shared" si="174"/>
        <v/>
      </c>
      <c r="GO887" s="1852" t="str">
        <f t="shared" si="175"/>
        <v/>
      </c>
      <c r="GP887" s="1852" t="str">
        <f t="shared" si="176"/>
        <v/>
      </c>
      <c r="GQ887" s="1852" t="str">
        <f t="shared" si="177"/>
        <v/>
      </c>
      <c r="GR887" s="1852" t="str">
        <f t="shared" si="178"/>
        <v/>
      </c>
      <c r="GS887" s="1852" t="str">
        <f t="shared" si="179"/>
        <v/>
      </c>
      <c r="GT887" s="1852" t="str">
        <f t="shared" si="180"/>
        <v/>
      </c>
      <c r="GU887" s="1852" t="str">
        <f t="shared" si="181"/>
        <v/>
      </c>
      <c r="GV887" s="1852" t="str">
        <f t="shared" si="182"/>
        <v/>
      </c>
      <c r="GW887" s="1852" t="str">
        <f t="shared" si="183"/>
        <v/>
      </c>
      <c r="GX887" s="1852" t="str">
        <f t="shared" si="184"/>
        <v/>
      </c>
      <c r="GY887" s="1852" t="str">
        <f t="shared" si="185"/>
        <v/>
      </c>
      <c r="GZ887" s="1852" t="str">
        <f t="shared" si="186"/>
        <v/>
      </c>
      <c r="HA887" s="1852" t="str">
        <f t="shared" si="187"/>
        <v/>
      </c>
      <c r="HB887" s="1852" t="str">
        <f t="shared" si="188"/>
        <v/>
      </c>
      <c r="HC887" s="1852" t="str">
        <f t="shared" si="189"/>
        <v/>
      </c>
      <c r="HD887" s="1852" t="str">
        <f t="shared" si="190"/>
        <v/>
      </c>
      <c r="HE887" s="1852" t="str">
        <f t="shared" si="191"/>
        <v/>
      </c>
      <c r="HF887" s="1852" t="str">
        <f t="shared" si="192"/>
        <v/>
      </c>
      <c r="HG887" s="1852" t="str">
        <f t="shared" si="193"/>
        <v/>
      </c>
      <c r="HH887" s="1852" t="str">
        <f t="shared" si="194"/>
        <v/>
      </c>
      <c r="HI887" s="1852" t="str">
        <f t="shared" si="195"/>
        <v/>
      </c>
      <c r="HJ887" s="1852" t="str">
        <f t="shared" si="196"/>
        <v/>
      </c>
      <c r="HK887" s="1852" t="str">
        <f t="shared" si="197"/>
        <v/>
      </c>
      <c r="HL887" s="1852" t="str">
        <f t="shared" si="198"/>
        <v/>
      </c>
      <c r="HM887" s="1852" t="str">
        <f t="shared" si="199"/>
        <v/>
      </c>
      <c r="HN887" s="1852" t="str">
        <f t="shared" si="200"/>
        <v/>
      </c>
      <c r="HO887" s="1852" t="str">
        <f t="shared" si="201"/>
        <v/>
      </c>
      <c r="HP887" s="1852" t="str">
        <f t="shared" si="202"/>
        <v/>
      </c>
      <c r="HQ887" s="1852" t="str">
        <f t="shared" si="203"/>
        <v/>
      </c>
      <c r="HR887" s="1852" t="str">
        <f t="shared" si="204"/>
        <v/>
      </c>
      <c r="HS887" s="1852" t="str">
        <f t="shared" si="205"/>
        <v/>
      </c>
      <c r="HT887" s="1852" t="str">
        <f t="shared" si="206"/>
        <v/>
      </c>
      <c r="HU887" s="1852" t="str">
        <f t="shared" si="207"/>
        <v/>
      </c>
      <c r="HV887" s="1852" t="str">
        <f t="shared" si="208"/>
        <v/>
      </c>
      <c r="HW887" s="1852" t="str">
        <f t="shared" si="209"/>
        <v/>
      </c>
      <c r="HX887" s="1852" t="str">
        <f t="shared" si="210"/>
        <v/>
      </c>
      <c r="HY887" s="1852" t="str">
        <f t="shared" si="211"/>
        <v/>
      </c>
      <c r="HZ887" s="2140" t="str">
        <f t="shared" si="212"/>
        <v/>
      </c>
      <c r="IA887" s="2140" t="str">
        <f t="shared" si="213"/>
        <v/>
      </c>
      <c r="IB887" s="2140" t="str">
        <f t="shared" si="214"/>
        <v/>
      </c>
      <c r="IC887" s="2140" t="str">
        <f t="shared" si="215"/>
        <v/>
      </c>
      <c r="ID887" s="2140" t="str">
        <f t="shared" si="216"/>
        <v/>
      </c>
      <c r="IE887" s="2140" t="str">
        <f t="shared" si="217"/>
        <v/>
      </c>
      <c r="IF887" s="2140" t="str">
        <f t="shared" si="218"/>
        <v/>
      </c>
      <c r="IG887" s="2140" t="str">
        <f t="shared" si="219"/>
        <v/>
      </c>
      <c r="IH887" s="2140" t="str">
        <f t="shared" si="220"/>
        <v/>
      </c>
      <c r="II887" s="2140" t="str">
        <f t="shared" si="221"/>
        <v/>
      </c>
      <c r="IJ887" s="2140" t="str">
        <f t="shared" si="222"/>
        <v/>
      </c>
      <c r="IK887" s="2140" t="str">
        <f t="shared" si="223"/>
        <v/>
      </c>
      <c r="IL887" s="2140" t="str">
        <f t="shared" si="224"/>
        <v/>
      </c>
      <c r="IM887" s="2140" t="str">
        <f t="shared" si="225"/>
        <v/>
      </c>
      <c r="IN887" s="2140" t="str">
        <f t="shared" si="226"/>
        <v/>
      </c>
      <c r="IO887" s="2140" t="str">
        <f t="shared" si="227"/>
        <v/>
      </c>
      <c r="IP887" s="2140" t="str">
        <f t="shared" si="228"/>
        <v/>
      </c>
      <c r="IQ887" s="2140" t="str">
        <f t="shared" si="229"/>
        <v/>
      </c>
      <c r="IR887" s="2140" t="str">
        <f t="shared" si="230"/>
        <v/>
      </c>
      <c r="IS887" s="2140" t="str">
        <f t="shared" si="231"/>
        <v/>
      </c>
      <c r="IT887" s="2140" t="str">
        <f t="shared" si="232"/>
        <v/>
      </c>
      <c r="IU887" s="2140" t="str">
        <f t="shared" si="233"/>
        <v/>
      </c>
      <c r="IV887" s="2140" t="str">
        <f t="shared" si="234"/>
        <v/>
      </c>
      <c r="IW887" s="2140" t="str">
        <f t="shared" si="235"/>
        <v/>
      </c>
      <c r="IX887" s="2140" t="str">
        <f t="shared" si="236"/>
        <v/>
      </c>
      <c r="IY887" s="2140" t="str">
        <f t="shared" si="237"/>
        <v/>
      </c>
      <c r="IZ887" s="2140" t="str">
        <f t="shared" si="238"/>
        <v/>
      </c>
      <c r="JA887" s="2140" t="str">
        <f t="shared" si="239"/>
        <v/>
      </c>
      <c r="JB887" s="2140" t="str">
        <f t="shared" si="240"/>
        <v/>
      </c>
      <c r="JC887" s="2140" t="str">
        <f t="shared" si="241"/>
        <v/>
      </c>
      <c r="JD887" s="2140" t="str">
        <f t="shared" si="242"/>
        <v/>
      </c>
      <c r="JE887" s="2140" t="str">
        <f t="shared" si="243"/>
        <v/>
      </c>
      <c r="JF887" s="2140" t="str">
        <f t="shared" si="244"/>
        <v/>
      </c>
      <c r="JG887" s="2140" t="str">
        <f t="shared" si="245"/>
        <v/>
      </c>
      <c r="JH887" s="2140" t="str">
        <f t="shared" si="246"/>
        <v/>
      </c>
      <c r="JI887" s="2140" t="str">
        <f t="shared" si="247"/>
        <v/>
      </c>
      <c r="JJ887" s="2140" t="str">
        <f t="shared" si="248"/>
        <v/>
      </c>
      <c r="JK887" s="2140" t="str">
        <f t="shared" si="249"/>
        <v/>
      </c>
      <c r="JL887" s="2140" t="str">
        <f t="shared" si="250"/>
        <v/>
      </c>
      <c r="JM887" s="2140" t="str">
        <f t="shared" si="251"/>
        <v/>
      </c>
      <c r="JN887" s="2140" t="str">
        <f t="shared" si="252"/>
        <v/>
      </c>
      <c r="JO887" s="2140" t="str">
        <f t="shared" si="253"/>
        <v/>
      </c>
      <c r="JP887" s="2140" t="str">
        <f t="shared" si="254"/>
        <v/>
      </c>
      <c r="JQ887" s="2140" t="str">
        <f t="shared" si="255"/>
        <v/>
      </c>
      <c r="JR887" s="2140" t="str">
        <f t="shared" si="256"/>
        <v/>
      </c>
      <c r="JS887" s="2140" t="str">
        <f t="shared" si="257"/>
        <v/>
      </c>
      <c r="JT887" s="2140" t="str">
        <f t="shared" si="258"/>
        <v/>
      </c>
      <c r="JU887" s="2140" t="str">
        <f t="shared" si="259"/>
        <v/>
      </c>
      <c r="JV887" s="2140" t="str">
        <f t="shared" si="260"/>
        <v/>
      </c>
      <c r="JW887" s="2140" t="str">
        <f t="shared" si="261"/>
        <v/>
      </c>
      <c r="JX887" s="2140" t="str">
        <f t="shared" si="262"/>
        <v/>
      </c>
      <c r="JY887" s="2140" t="str">
        <f t="shared" si="263"/>
        <v/>
      </c>
      <c r="JZ887" s="2140" t="str">
        <f t="shared" si="264"/>
        <v/>
      </c>
      <c r="KA887" s="2140" t="str">
        <f t="shared" si="265"/>
        <v/>
      </c>
      <c r="KB887" s="2140" t="str">
        <f t="shared" si="266"/>
        <v/>
      </c>
      <c r="KC887" s="2140" t="str">
        <f t="shared" si="267"/>
        <v/>
      </c>
      <c r="KD887" s="2140" t="str">
        <f t="shared" si="268"/>
        <v/>
      </c>
      <c r="KE887" s="2140" t="str">
        <f t="shared" si="269"/>
        <v/>
      </c>
      <c r="KF887" s="2140" t="str">
        <f t="shared" si="270"/>
        <v/>
      </c>
      <c r="KG887" s="2140" t="str">
        <f t="shared" si="271"/>
        <v/>
      </c>
      <c r="KH887" s="2140" t="str">
        <f t="shared" si="272"/>
        <v/>
      </c>
      <c r="KI887" s="2140" t="str">
        <f t="shared" si="273"/>
        <v/>
      </c>
      <c r="KJ887" s="2140" t="str">
        <f t="shared" si="274"/>
        <v/>
      </c>
      <c r="KK887" s="2140" t="str">
        <f t="shared" si="275"/>
        <v/>
      </c>
      <c r="KL887" s="2140" t="str">
        <f t="shared" si="276"/>
        <v/>
      </c>
      <c r="KM887" s="2140" t="str">
        <f t="shared" si="277"/>
        <v/>
      </c>
      <c r="KN887" s="2140" t="str">
        <f t="shared" si="278"/>
        <v/>
      </c>
      <c r="KO887" s="2140" t="str">
        <f t="shared" si="279"/>
        <v/>
      </c>
      <c r="KP887" s="2140" t="str">
        <f t="shared" si="280"/>
        <v/>
      </c>
      <c r="KQ887" s="2140" t="str">
        <f t="shared" si="281"/>
        <v/>
      </c>
      <c r="KR887" s="2140" t="str">
        <f t="shared" si="282"/>
        <v/>
      </c>
      <c r="KS887" s="2140" t="str">
        <f t="shared" si="283"/>
        <v/>
      </c>
      <c r="KT887" s="2140" t="str">
        <f t="shared" si="284"/>
        <v/>
      </c>
      <c r="KU887" s="2140" t="str">
        <f t="shared" si="285"/>
        <v/>
      </c>
      <c r="KV887" s="2140" t="str">
        <f t="shared" si="286"/>
        <v/>
      </c>
      <c r="KW887" s="2140" t="str">
        <f t="shared" si="287"/>
        <v/>
      </c>
      <c r="KX887" s="2140" t="str">
        <f t="shared" si="288"/>
        <v/>
      </c>
      <c r="KY887" s="2140" t="str">
        <f t="shared" si="289"/>
        <v/>
      </c>
      <c r="KZ887" s="2140" t="str">
        <f t="shared" si="290"/>
        <v/>
      </c>
      <c r="LA887" s="2140" t="str">
        <f t="shared" si="291"/>
        <v/>
      </c>
      <c r="LB887" s="2140" t="str">
        <f t="shared" si="292"/>
        <v/>
      </c>
      <c r="LC887" s="2140" t="str">
        <f t="shared" si="293"/>
        <v/>
      </c>
      <c r="LD887" s="2140" t="str">
        <f t="shared" si="294"/>
        <v/>
      </c>
      <c r="LE887" s="2140" t="str">
        <f t="shared" si="295"/>
        <v/>
      </c>
      <c r="LF887" s="2140" t="str">
        <f t="shared" si="296"/>
        <v/>
      </c>
      <c r="LG887" s="2051" t="str">
        <f t="shared" si="297"/>
        <v/>
      </c>
      <c r="LH887" s="2051" t="str">
        <f t="shared" si="298"/>
        <v/>
      </c>
      <c r="LI887" s="2051" t="str">
        <f t="shared" si="299"/>
        <v/>
      </c>
      <c r="LJ887" s="2051" t="str">
        <f t="shared" si="300"/>
        <v/>
      </c>
      <c r="LK887" s="2051" t="str">
        <f t="shared" si="301"/>
        <v/>
      </c>
      <c r="LL887" s="1852" t="str">
        <f t="shared" si="302"/>
        <v/>
      </c>
      <c r="LM887" s="1852" t="str">
        <f t="shared" si="303"/>
        <v/>
      </c>
      <c r="LN887" s="1852" t="str">
        <f t="shared" si="304"/>
        <v/>
      </c>
      <c r="LO887" s="1852" t="str">
        <f t="shared" si="305"/>
        <v/>
      </c>
      <c r="LP887" s="1852" t="str">
        <f t="shared" si="306"/>
        <v/>
      </c>
      <c r="LQ887" s="1852" t="str">
        <f t="shared" si="307"/>
        <v/>
      </c>
      <c r="LR887" s="1852" t="str">
        <f t="shared" si="308"/>
        <v/>
      </c>
      <c r="LS887" s="1852" t="str">
        <f t="shared" si="309"/>
        <v/>
      </c>
      <c r="LT887" s="1852" t="str">
        <f t="shared" si="310"/>
        <v/>
      </c>
      <c r="LU887" s="1852" t="str">
        <f t="shared" si="311"/>
        <v/>
      </c>
      <c r="LV887" s="1852" t="str">
        <f t="shared" si="312"/>
        <v/>
      </c>
      <c r="LW887" s="1852" t="str">
        <f t="shared" si="313"/>
        <v/>
      </c>
      <c r="LX887" s="1852" t="str">
        <f t="shared" si="314"/>
        <v/>
      </c>
      <c r="LY887" s="1852" t="str">
        <f t="shared" si="315"/>
        <v/>
      </c>
      <c r="LZ887" s="1852" t="str">
        <f t="shared" si="316"/>
        <v/>
      </c>
      <c r="MA887" s="1852" t="str">
        <f t="shared" si="317"/>
        <v/>
      </c>
      <c r="MB887" s="1852" t="str">
        <f t="shared" si="318"/>
        <v/>
      </c>
      <c r="MC887" s="1852" t="str">
        <f t="shared" si="319"/>
        <v/>
      </c>
      <c r="MD887" s="1852" t="str">
        <f t="shared" si="320"/>
        <v/>
      </c>
      <c r="ME887" s="1852" t="str">
        <f t="shared" si="321"/>
        <v/>
      </c>
      <c r="MF887" s="2051">
        <f t="shared" si="328"/>
        <v>0</v>
      </c>
      <c r="MG887" s="2051">
        <f t="shared" si="329"/>
        <v>0</v>
      </c>
      <c r="MH887" s="2051">
        <f t="shared" si="330"/>
        <v>0</v>
      </c>
      <c r="MI887" s="2051">
        <f t="shared" si="331"/>
        <v>0</v>
      </c>
      <c r="MJ887" s="2051">
        <f t="shared" si="332"/>
        <v>0</v>
      </c>
      <c r="MK887" s="2051">
        <f t="shared" si="333"/>
        <v>0</v>
      </c>
      <c r="ML887" s="2051">
        <f t="shared" si="334"/>
        <v>0</v>
      </c>
      <c r="MM887" s="2051">
        <f t="shared" si="335"/>
        <v>0</v>
      </c>
      <c r="MN887" s="2051">
        <f t="shared" si="336"/>
        <v>0</v>
      </c>
      <c r="MO887" s="2051">
        <f t="shared" si="337"/>
        <v>0</v>
      </c>
      <c r="MP887" s="2051">
        <f t="shared" si="322"/>
        <v>0</v>
      </c>
      <c r="MQ887" s="2051">
        <f t="shared" si="323"/>
        <v>0</v>
      </c>
      <c r="MR887" s="2051">
        <f t="shared" si="324"/>
        <v>0</v>
      </c>
      <c r="MS887" s="2051">
        <f t="shared" si="325"/>
        <v>0</v>
      </c>
      <c r="MT887" s="2051">
        <f t="shared" si="326"/>
        <v>0</v>
      </c>
      <c r="NP887" s="1924" t="s">
        <v>6756</v>
      </c>
    </row>
    <row r="888" spans="1:380" s="1852" customFormat="1" ht="13.9" customHeight="1">
      <c r="A888" s="2108" t="str">
        <f t="shared" si="327"/>
        <v/>
      </c>
      <c r="B888" s="2130">
        <f>'Part VI-Revenues &amp; Expenses'!B48</f>
        <v>0</v>
      </c>
      <c r="C888" s="2131">
        <f>'Part VI-Revenues &amp; Expenses'!C48</f>
        <v>0</v>
      </c>
      <c r="D888" s="2132">
        <f>'Part VI-Revenues &amp; Expenses'!D48</f>
        <v>0</v>
      </c>
      <c r="E888" s="2133">
        <f>'Part VI-Revenues &amp; Expenses'!E48</f>
        <v>0</v>
      </c>
      <c r="F888" s="2133">
        <f>'Part VI-Revenues &amp; Expenses'!F48</f>
        <v>0</v>
      </c>
      <c r="G888" s="2133">
        <f>'Part VI-Revenues &amp; Expenses'!G48</f>
        <v>0</v>
      </c>
      <c r="H888" s="2133">
        <f>'Part VI-Revenues &amp; Expenses'!H48</f>
        <v>0</v>
      </c>
      <c r="I888" s="2133">
        <f>'Part VI-Revenues &amp; Expenses'!I48</f>
        <v>0</v>
      </c>
      <c r="J888" s="2133">
        <f>'Part VI-Revenues &amp; Expenses'!J48</f>
        <v>0</v>
      </c>
      <c r="K888" s="2134">
        <f>'Part VI-Revenues &amp; Expenses'!K48</f>
        <v>0</v>
      </c>
      <c r="L888" s="2135">
        <f t="shared" si="0"/>
        <v>0</v>
      </c>
      <c r="M888" s="2135">
        <f t="shared" si="1"/>
        <v>0</v>
      </c>
      <c r="N888" s="1916">
        <f>'Part VI-Revenues &amp; Expenses'!N48</f>
        <v>0</v>
      </c>
      <c r="O888" s="2136">
        <f>'Part VI-Revenues &amp; Expenses'!O48</f>
        <v>0</v>
      </c>
      <c r="P888" s="1916">
        <f>'Part VI-Revenues &amp; Expenses'!P48</f>
        <v>0</v>
      </c>
      <c r="Q888" s="2137">
        <f>'Part VI-Revenues &amp; Expenses'!Q48</f>
        <v>0</v>
      </c>
      <c r="R888" s="2138"/>
      <c r="S888" s="2139"/>
      <c r="T888" s="2043"/>
      <c r="U888" s="2043"/>
      <c r="V888" s="2043"/>
      <c r="W888" s="2043"/>
      <c r="X888" s="1852" t="str">
        <f t="shared" si="2"/>
        <v/>
      </c>
      <c r="Y888" s="1852" t="str">
        <f t="shared" si="3"/>
        <v/>
      </c>
      <c r="Z888" s="1852" t="str">
        <f t="shared" si="4"/>
        <v/>
      </c>
      <c r="AA888" s="1852" t="str">
        <f t="shared" si="5"/>
        <v/>
      </c>
      <c r="AB888" s="1852" t="str">
        <f t="shared" si="6"/>
        <v/>
      </c>
      <c r="AC888" s="1852" t="str">
        <f t="shared" si="7"/>
        <v/>
      </c>
      <c r="AD888" s="1852" t="str">
        <f t="shared" si="8"/>
        <v/>
      </c>
      <c r="AE888" s="1852" t="str">
        <f t="shared" si="9"/>
        <v/>
      </c>
      <c r="AF888" s="1852" t="str">
        <f t="shared" si="10"/>
        <v/>
      </c>
      <c r="AG888" s="1852" t="str">
        <f t="shared" si="11"/>
        <v/>
      </c>
      <c r="AH888" s="1852" t="str">
        <f t="shared" si="12"/>
        <v/>
      </c>
      <c r="AI888" s="1852" t="str">
        <f t="shared" si="13"/>
        <v/>
      </c>
      <c r="AJ888" s="1852" t="str">
        <f t="shared" si="14"/>
        <v/>
      </c>
      <c r="AK888" s="1852" t="str">
        <f t="shared" si="15"/>
        <v/>
      </c>
      <c r="AL888" s="1852" t="str">
        <f t="shared" si="16"/>
        <v/>
      </c>
      <c r="AM888" s="1852" t="str">
        <f t="shared" si="17"/>
        <v/>
      </c>
      <c r="AN888" s="1852" t="str">
        <f t="shared" si="18"/>
        <v/>
      </c>
      <c r="AO888" s="1852" t="str">
        <f t="shared" si="19"/>
        <v/>
      </c>
      <c r="AP888" s="1852" t="str">
        <f t="shared" si="20"/>
        <v/>
      </c>
      <c r="AQ888" s="1852" t="str">
        <f t="shared" si="21"/>
        <v/>
      </c>
      <c r="AR888" s="1852" t="str">
        <f t="shared" si="22"/>
        <v/>
      </c>
      <c r="AS888" s="1852" t="str">
        <f t="shared" si="23"/>
        <v/>
      </c>
      <c r="AT888" s="1852" t="str">
        <f t="shared" si="24"/>
        <v/>
      </c>
      <c r="AU888" s="1852" t="str">
        <f t="shared" si="25"/>
        <v/>
      </c>
      <c r="AV888" s="1852" t="str">
        <f t="shared" si="26"/>
        <v/>
      </c>
      <c r="AW888" s="1852" t="str">
        <f t="shared" si="27"/>
        <v/>
      </c>
      <c r="AX888" s="1852" t="str">
        <f t="shared" si="28"/>
        <v/>
      </c>
      <c r="AY888" s="1852" t="str">
        <f t="shared" si="29"/>
        <v/>
      </c>
      <c r="AZ888" s="1852" t="str">
        <f t="shared" si="30"/>
        <v/>
      </c>
      <c r="BA888" s="1852" t="str">
        <f t="shared" si="31"/>
        <v/>
      </c>
      <c r="BB888" s="1852" t="str">
        <f t="shared" si="32"/>
        <v/>
      </c>
      <c r="BC888" s="1852" t="str">
        <f t="shared" si="33"/>
        <v/>
      </c>
      <c r="BD888" s="1852" t="str">
        <f t="shared" si="34"/>
        <v/>
      </c>
      <c r="BE888" s="1852" t="str">
        <f t="shared" si="35"/>
        <v/>
      </c>
      <c r="BF888" s="1852" t="str">
        <f t="shared" si="36"/>
        <v/>
      </c>
      <c r="BG888" s="1852" t="str">
        <f t="shared" si="37"/>
        <v/>
      </c>
      <c r="BH888" s="1852" t="str">
        <f t="shared" si="38"/>
        <v/>
      </c>
      <c r="BI888" s="1852" t="str">
        <f t="shared" si="39"/>
        <v/>
      </c>
      <c r="BJ888" s="1852" t="str">
        <f t="shared" si="40"/>
        <v/>
      </c>
      <c r="BK888" s="1852" t="str">
        <f t="shared" si="41"/>
        <v/>
      </c>
      <c r="BL888" s="1852" t="str">
        <f t="shared" si="42"/>
        <v/>
      </c>
      <c r="BM888" s="1852" t="str">
        <f t="shared" si="43"/>
        <v/>
      </c>
      <c r="BN888" s="1852" t="str">
        <f t="shared" si="44"/>
        <v/>
      </c>
      <c r="BO888" s="1852" t="str">
        <f t="shared" si="45"/>
        <v/>
      </c>
      <c r="BP888" s="1852" t="str">
        <f t="shared" si="46"/>
        <v/>
      </c>
      <c r="BQ888" s="1852" t="str">
        <f t="shared" si="47"/>
        <v/>
      </c>
      <c r="BR888" s="1852" t="str">
        <f t="shared" si="48"/>
        <v/>
      </c>
      <c r="BS888" s="1852" t="str">
        <f t="shared" si="49"/>
        <v/>
      </c>
      <c r="BT888" s="1852" t="str">
        <f t="shared" si="50"/>
        <v/>
      </c>
      <c r="BU888" s="1852" t="str">
        <f t="shared" si="51"/>
        <v/>
      </c>
      <c r="BV888" s="1852" t="str">
        <f t="shared" si="52"/>
        <v/>
      </c>
      <c r="BW888" s="1852" t="str">
        <f t="shared" si="53"/>
        <v/>
      </c>
      <c r="BX888" s="1852" t="str">
        <f t="shared" si="54"/>
        <v/>
      </c>
      <c r="BY888" s="1852" t="str">
        <f t="shared" si="55"/>
        <v/>
      </c>
      <c r="BZ888" s="1852" t="str">
        <f t="shared" si="56"/>
        <v/>
      </c>
      <c r="CA888" s="1852" t="str">
        <f t="shared" si="57"/>
        <v/>
      </c>
      <c r="CB888" s="1852" t="str">
        <f t="shared" si="58"/>
        <v/>
      </c>
      <c r="CC888" s="1852" t="str">
        <f t="shared" si="59"/>
        <v/>
      </c>
      <c r="CD888" s="1852" t="str">
        <f t="shared" si="60"/>
        <v/>
      </c>
      <c r="CE888" s="1852" t="str">
        <f t="shared" si="61"/>
        <v/>
      </c>
      <c r="CF888" s="1852" t="str">
        <f t="shared" si="62"/>
        <v/>
      </c>
      <c r="CG888" s="1852" t="str">
        <f t="shared" si="63"/>
        <v/>
      </c>
      <c r="CH888" s="1852" t="str">
        <f t="shared" si="64"/>
        <v/>
      </c>
      <c r="CI888" s="1852" t="str">
        <f t="shared" si="65"/>
        <v/>
      </c>
      <c r="CJ888" s="1852" t="str">
        <f t="shared" si="66"/>
        <v/>
      </c>
      <c r="CK888" s="1852" t="str">
        <f t="shared" si="67"/>
        <v/>
      </c>
      <c r="CL888" s="1852" t="str">
        <f t="shared" si="68"/>
        <v/>
      </c>
      <c r="CM888" s="1852" t="str">
        <f t="shared" si="69"/>
        <v/>
      </c>
      <c r="CN888" s="1852" t="str">
        <f t="shared" si="70"/>
        <v/>
      </c>
      <c r="CO888" s="1852" t="str">
        <f t="shared" si="71"/>
        <v/>
      </c>
      <c r="CP888" s="1852" t="str">
        <f t="shared" si="72"/>
        <v/>
      </c>
      <c r="CQ888" s="1852" t="str">
        <f t="shared" si="73"/>
        <v/>
      </c>
      <c r="CR888" s="1852" t="str">
        <f t="shared" si="74"/>
        <v/>
      </c>
      <c r="CS888" s="1852" t="str">
        <f t="shared" si="75"/>
        <v/>
      </c>
      <c r="CT888" s="1852" t="str">
        <f t="shared" si="76"/>
        <v/>
      </c>
      <c r="CU888" s="1852" t="str">
        <f t="shared" si="77"/>
        <v/>
      </c>
      <c r="CV888" s="1852" t="str">
        <f t="shared" si="78"/>
        <v/>
      </c>
      <c r="CW888" s="1852" t="str">
        <f t="shared" si="79"/>
        <v/>
      </c>
      <c r="CX888" s="1852" t="str">
        <f t="shared" si="80"/>
        <v/>
      </c>
      <c r="CY888" s="1852" t="str">
        <f t="shared" si="81"/>
        <v/>
      </c>
      <c r="CZ888" s="1852" t="str">
        <f t="shared" si="82"/>
        <v/>
      </c>
      <c r="DA888" s="1852" t="str">
        <f t="shared" si="83"/>
        <v/>
      </c>
      <c r="DB888" s="1852" t="str">
        <f t="shared" si="84"/>
        <v/>
      </c>
      <c r="DC888" s="1852" t="str">
        <f t="shared" si="85"/>
        <v/>
      </c>
      <c r="DD888" s="1852" t="str">
        <f t="shared" si="86"/>
        <v/>
      </c>
      <c r="DE888" s="1852" t="str">
        <f t="shared" si="87"/>
        <v/>
      </c>
      <c r="DF888" s="1852" t="str">
        <f t="shared" si="88"/>
        <v/>
      </c>
      <c r="DG888" s="1852" t="str">
        <f t="shared" si="89"/>
        <v/>
      </c>
      <c r="DH888" s="1852" t="str">
        <f t="shared" si="90"/>
        <v/>
      </c>
      <c r="DI888" s="1852" t="str">
        <f t="shared" si="91"/>
        <v/>
      </c>
      <c r="DJ888" s="1852" t="str">
        <f t="shared" si="92"/>
        <v/>
      </c>
      <c r="DK888" s="1852" t="str">
        <f t="shared" si="93"/>
        <v/>
      </c>
      <c r="DL888" s="1852" t="str">
        <f t="shared" si="94"/>
        <v/>
      </c>
      <c r="DM888" s="1852" t="str">
        <f t="shared" si="95"/>
        <v/>
      </c>
      <c r="DN888" s="1852" t="str">
        <f t="shared" si="96"/>
        <v/>
      </c>
      <c r="DO888" s="1852" t="str">
        <f t="shared" si="97"/>
        <v/>
      </c>
      <c r="DP888" s="1852" t="str">
        <f t="shared" si="98"/>
        <v/>
      </c>
      <c r="DQ888" s="1852" t="str">
        <f t="shared" si="99"/>
        <v/>
      </c>
      <c r="DR888" s="1852" t="str">
        <f t="shared" si="100"/>
        <v/>
      </c>
      <c r="DS888" s="1852" t="str">
        <f t="shared" si="101"/>
        <v/>
      </c>
      <c r="DT888" s="1852" t="str">
        <f t="shared" si="102"/>
        <v/>
      </c>
      <c r="DU888" s="1852" t="str">
        <f t="shared" si="103"/>
        <v/>
      </c>
      <c r="DV888" s="1852" t="str">
        <f t="shared" si="104"/>
        <v/>
      </c>
      <c r="DW888" s="1852" t="str">
        <f t="shared" si="105"/>
        <v/>
      </c>
      <c r="DX888" s="1852" t="str">
        <f t="shared" si="106"/>
        <v/>
      </c>
      <c r="DY888" s="1852" t="str">
        <f t="shared" si="107"/>
        <v/>
      </c>
      <c r="DZ888" s="1852" t="str">
        <f t="shared" si="108"/>
        <v/>
      </c>
      <c r="EA888" s="1852" t="str">
        <f t="shared" si="109"/>
        <v/>
      </c>
      <c r="EB888" s="1852" t="str">
        <f t="shared" si="110"/>
        <v/>
      </c>
      <c r="EC888" s="1852" t="str">
        <f t="shared" si="111"/>
        <v/>
      </c>
      <c r="ED888" s="1852" t="str">
        <f t="shared" si="112"/>
        <v/>
      </c>
      <c r="EE888" s="1852" t="str">
        <f t="shared" si="113"/>
        <v/>
      </c>
      <c r="EF888" s="1852" t="str">
        <f t="shared" si="114"/>
        <v/>
      </c>
      <c r="EG888" s="1852" t="str">
        <f t="shared" si="115"/>
        <v/>
      </c>
      <c r="EH888" s="1852" t="str">
        <f t="shared" si="116"/>
        <v/>
      </c>
      <c r="EI888" s="1852" t="str">
        <f t="shared" si="117"/>
        <v/>
      </c>
      <c r="EJ888" s="1852" t="str">
        <f t="shared" si="118"/>
        <v/>
      </c>
      <c r="EK888" s="1852" t="str">
        <f t="shared" si="119"/>
        <v/>
      </c>
      <c r="EL888" s="1852" t="str">
        <f t="shared" si="120"/>
        <v/>
      </c>
      <c r="EM888" s="1852" t="str">
        <f t="shared" si="121"/>
        <v/>
      </c>
      <c r="EN888" s="1852" t="str">
        <f t="shared" si="122"/>
        <v/>
      </c>
      <c r="EO888" s="1852" t="str">
        <f t="shared" si="123"/>
        <v/>
      </c>
      <c r="EP888" s="1852" t="str">
        <f t="shared" si="124"/>
        <v/>
      </c>
      <c r="EQ888" s="1852" t="str">
        <f t="shared" si="125"/>
        <v/>
      </c>
      <c r="ER888" s="1852" t="str">
        <f t="shared" si="126"/>
        <v/>
      </c>
      <c r="ES888" s="1852" t="str">
        <f t="shared" si="127"/>
        <v/>
      </c>
      <c r="ET888" s="1852" t="str">
        <f t="shared" si="128"/>
        <v/>
      </c>
      <c r="EU888" s="1852" t="str">
        <f t="shared" si="129"/>
        <v/>
      </c>
      <c r="EV888" s="1852" t="str">
        <f t="shared" si="130"/>
        <v/>
      </c>
      <c r="EW888" s="1852" t="str">
        <f t="shared" si="131"/>
        <v/>
      </c>
      <c r="EX888" s="1852" t="str">
        <f t="shared" si="132"/>
        <v/>
      </c>
      <c r="EY888" s="1852" t="str">
        <f t="shared" si="133"/>
        <v/>
      </c>
      <c r="EZ888" s="1852" t="str">
        <f t="shared" si="134"/>
        <v/>
      </c>
      <c r="FA888" s="1852" t="str">
        <f t="shared" si="135"/>
        <v/>
      </c>
      <c r="FB888" s="1852" t="str">
        <f t="shared" si="136"/>
        <v/>
      </c>
      <c r="FC888" s="1852" t="str">
        <f t="shared" si="137"/>
        <v/>
      </c>
      <c r="FD888" s="1852" t="str">
        <f t="shared" si="138"/>
        <v/>
      </c>
      <c r="FE888" s="1852" t="str">
        <f t="shared" si="139"/>
        <v/>
      </c>
      <c r="FF888" s="1852" t="str">
        <f t="shared" si="140"/>
        <v/>
      </c>
      <c r="FG888" s="1852" t="str">
        <f t="shared" si="141"/>
        <v/>
      </c>
      <c r="FH888" s="1852" t="str">
        <f t="shared" si="142"/>
        <v/>
      </c>
      <c r="FI888" s="1852" t="str">
        <f t="shared" si="143"/>
        <v/>
      </c>
      <c r="FJ888" s="1852" t="str">
        <f t="shared" si="144"/>
        <v/>
      </c>
      <c r="FK888" s="1852" t="str">
        <f t="shared" si="145"/>
        <v/>
      </c>
      <c r="FL888" s="1852" t="str">
        <f t="shared" si="146"/>
        <v/>
      </c>
      <c r="FM888" s="1852" t="str">
        <f t="shared" si="147"/>
        <v/>
      </c>
      <c r="FN888" s="1852" t="str">
        <f t="shared" si="148"/>
        <v/>
      </c>
      <c r="FO888" s="1852" t="str">
        <f t="shared" si="149"/>
        <v/>
      </c>
      <c r="FP888" s="1852" t="str">
        <f t="shared" si="150"/>
        <v/>
      </c>
      <c r="FQ888" s="1852" t="str">
        <f t="shared" si="151"/>
        <v/>
      </c>
      <c r="FR888" s="1852" t="str">
        <f t="shared" si="152"/>
        <v/>
      </c>
      <c r="FS888" s="1852" t="str">
        <f t="shared" si="153"/>
        <v/>
      </c>
      <c r="FT888" s="1852" t="str">
        <f t="shared" si="154"/>
        <v/>
      </c>
      <c r="FU888" s="1852" t="str">
        <f t="shared" si="155"/>
        <v/>
      </c>
      <c r="FV888" s="1852" t="str">
        <f t="shared" si="156"/>
        <v/>
      </c>
      <c r="FW888" s="1852" t="str">
        <f t="shared" si="157"/>
        <v/>
      </c>
      <c r="FX888" s="1852" t="str">
        <f t="shared" si="158"/>
        <v/>
      </c>
      <c r="FY888" s="1852" t="str">
        <f t="shared" si="159"/>
        <v/>
      </c>
      <c r="FZ888" s="1852" t="str">
        <f t="shared" si="160"/>
        <v/>
      </c>
      <c r="GA888" s="1852" t="str">
        <f t="shared" si="161"/>
        <v/>
      </c>
      <c r="GB888" s="1852" t="str">
        <f t="shared" si="162"/>
        <v/>
      </c>
      <c r="GC888" s="1852" t="str">
        <f t="shared" si="163"/>
        <v/>
      </c>
      <c r="GD888" s="1852" t="str">
        <f t="shared" si="164"/>
        <v/>
      </c>
      <c r="GE888" s="1852" t="str">
        <f t="shared" si="165"/>
        <v/>
      </c>
      <c r="GF888" s="1852" t="str">
        <f t="shared" si="166"/>
        <v/>
      </c>
      <c r="GG888" s="1852" t="str">
        <f t="shared" si="167"/>
        <v/>
      </c>
      <c r="GH888" s="1852" t="str">
        <f t="shared" si="168"/>
        <v/>
      </c>
      <c r="GI888" s="1852" t="str">
        <f t="shared" si="169"/>
        <v/>
      </c>
      <c r="GJ888" s="1852" t="str">
        <f t="shared" si="170"/>
        <v/>
      </c>
      <c r="GK888" s="1852" t="str">
        <f t="shared" si="171"/>
        <v/>
      </c>
      <c r="GL888" s="1852" t="str">
        <f t="shared" si="172"/>
        <v/>
      </c>
      <c r="GM888" s="1852" t="str">
        <f t="shared" si="173"/>
        <v/>
      </c>
      <c r="GN888" s="1852" t="str">
        <f t="shared" si="174"/>
        <v/>
      </c>
      <c r="GO888" s="1852" t="str">
        <f t="shared" si="175"/>
        <v/>
      </c>
      <c r="GP888" s="1852" t="str">
        <f t="shared" si="176"/>
        <v/>
      </c>
      <c r="GQ888" s="1852" t="str">
        <f t="shared" si="177"/>
        <v/>
      </c>
      <c r="GR888" s="1852" t="str">
        <f t="shared" si="178"/>
        <v/>
      </c>
      <c r="GS888" s="1852" t="str">
        <f t="shared" si="179"/>
        <v/>
      </c>
      <c r="GT888" s="1852" t="str">
        <f t="shared" si="180"/>
        <v/>
      </c>
      <c r="GU888" s="1852" t="str">
        <f t="shared" si="181"/>
        <v/>
      </c>
      <c r="GV888" s="1852" t="str">
        <f t="shared" si="182"/>
        <v/>
      </c>
      <c r="GW888" s="1852" t="str">
        <f t="shared" si="183"/>
        <v/>
      </c>
      <c r="GX888" s="1852" t="str">
        <f t="shared" si="184"/>
        <v/>
      </c>
      <c r="GY888" s="1852" t="str">
        <f t="shared" si="185"/>
        <v/>
      </c>
      <c r="GZ888" s="1852" t="str">
        <f t="shared" si="186"/>
        <v/>
      </c>
      <c r="HA888" s="1852" t="str">
        <f t="shared" si="187"/>
        <v/>
      </c>
      <c r="HB888" s="1852" t="str">
        <f t="shared" si="188"/>
        <v/>
      </c>
      <c r="HC888" s="1852" t="str">
        <f t="shared" si="189"/>
        <v/>
      </c>
      <c r="HD888" s="1852" t="str">
        <f t="shared" si="190"/>
        <v/>
      </c>
      <c r="HE888" s="1852" t="str">
        <f t="shared" si="191"/>
        <v/>
      </c>
      <c r="HF888" s="1852" t="str">
        <f t="shared" si="192"/>
        <v/>
      </c>
      <c r="HG888" s="1852" t="str">
        <f t="shared" si="193"/>
        <v/>
      </c>
      <c r="HH888" s="1852" t="str">
        <f t="shared" si="194"/>
        <v/>
      </c>
      <c r="HI888" s="1852" t="str">
        <f t="shared" si="195"/>
        <v/>
      </c>
      <c r="HJ888" s="1852" t="str">
        <f t="shared" si="196"/>
        <v/>
      </c>
      <c r="HK888" s="1852" t="str">
        <f t="shared" si="197"/>
        <v/>
      </c>
      <c r="HL888" s="1852" t="str">
        <f t="shared" si="198"/>
        <v/>
      </c>
      <c r="HM888" s="1852" t="str">
        <f t="shared" si="199"/>
        <v/>
      </c>
      <c r="HN888" s="1852" t="str">
        <f t="shared" si="200"/>
        <v/>
      </c>
      <c r="HO888" s="1852" t="str">
        <f t="shared" si="201"/>
        <v/>
      </c>
      <c r="HP888" s="1852" t="str">
        <f t="shared" si="202"/>
        <v/>
      </c>
      <c r="HQ888" s="1852" t="str">
        <f t="shared" si="203"/>
        <v/>
      </c>
      <c r="HR888" s="1852" t="str">
        <f t="shared" si="204"/>
        <v/>
      </c>
      <c r="HS888" s="1852" t="str">
        <f t="shared" si="205"/>
        <v/>
      </c>
      <c r="HT888" s="1852" t="str">
        <f t="shared" si="206"/>
        <v/>
      </c>
      <c r="HU888" s="1852" t="str">
        <f t="shared" si="207"/>
        <v/>
      </c>
      <c r="HV888" s="1852" t="str">
        <f t="shared" si="208"/>
        <v/>
      </c>
      <c r="HW888" s="1852" t="str">
        <f t="shared" si="209"/>
        <v/>
      </c>
      <c r="HX888" s="1852" t="str">
        <f t="shared" si="210"/>
        <v/>
      </c>
      <c r="HY888" s="1852" t="str">
        <f t="shared" si="211"/>
        <v/>
      </c>
      <c r="HZ888" s="2140" t="str">
        <f t="shared" si="212"/>
        <v/>
      </c>
      <c r="IA888" s="2140" t="str">
        <f t="shared" si="213"/>
        <v/>
      </c>
      <c r="IB888" s="2140" t="str">
        <f t="shared" si="214"/>
        <v/>
      </c>
      <c r="IC888" s="2140" t="str">
        <f t="shared" si="215"/>
        <v/>
      </c>
      <c r="ID888" s="2140" t="str">
        <f t="shared" si="216"/>
        <v/>
      </c>
      <c r="IE888" s="2140" t="str">
        <f t="shared" si="217"/>
        <v/>
      </c>
      <c r="IF888" s="2140" t="str">
        <f t="shared" si="218"/>
        <v/>
      </c>
      <c r="IG888" s="2140" t="str">
        <f t="shared" si="219"/>
        <v/>
      </c>
      <c r="IH888" s="2140" t="str">
        <f t="shared" si="220"/>
        <v/>
      </c>
      <c r="II888" s="2140" t="str">
        <f t="shared" si="221"/>
        <v/>
      </c>
      <c r="IJ888" s="2140" t="str">
        <f t="shared" si="222"/>
        <v/>
      </c>
      <c r="IK888" s="2140" t="str">
        <f t="shared" si="223"/>
        <v/>
      </c>
      <c r="IL888" s="2140" t="str">
        <f t="shared" si="224"/>
        <v/>
      </c>
      <c r="IM888" s="2140" t="str">
        <f t="shared" si="225"/>
        <v/>
      </c>
      <c r="IN888" s="2140" t="str">
        <f t="shared" si="226"/>
        <v/>
      </c>
      <c r="IO888" s="2140" t="str">
        <f t="shared" si="227"/>
        <v/>
      </c>
      <c r="IP888" s="2140" t="str">
        <f t="shared" si="228"/>
        <v/>
      </c>
      <c r="IQ888" s="2140" t="str">
        <f t="shared" si="229"/>
        <v/>
      </c>
      <c r="IR888" s="2140" t="str">
        <f t="shared" si="230"/>
        <v/>
      </c>
      <c r="IS888" s="2140" t="str">
        <f t="shared" si="231"/>
        <v/>
      </c>
      <c r="IT888" s="2140" t="str">
        <f t="shared" si="232"/>
        <v/>
      </c>
      <c r="IU888" s="2140" t="str">
        <f t="shared" si="233"/>
        <v/>
      </c>
      <c r="IV888" s="2140" t="str">
        <f t="shared" si="234"/>
        <v/>
      </c>
      <c r="IW888" s="2140" t="str">
        <f t="shared" si="235"/>
        <v/>
      </c>
      <c r="IX888" s="2140" t="str">
        <f t="shared" si="236"/>
        <v/>
      </c>
      <c r="IY888" s="2140" t="str">
        <f t="shared" si="237"/>
        <v/>
      </c>
      <c r="IZ888" s="2140" t="str">
        <f t="shared" si="238"/>
        <v/>
      </c>
      <c r="JA888" s="2140" t="str">
        <f t="shared" si="239"/>
        <v/>
      </c>
      <c r="JB888" s="2140" t="str">
        <f t="shared" si="240"/>
        <v/>
      </c>
      <c r="JC888" s="2140" t="str">
        <f t="shared" si="241"/>
        <v/>
      </c>
      <c r="JD888" s="2140" t="str">
        <f t="shared" si="242"/>
        <v/>
      </c>
      <c r="JE888" s="2140" t="str">
        <f t="shared" si="243"/>
        <v/>
      </c>
      <c r="JF888" s="2140" t="str">
        <f t="shared" si="244"/>
        <v/>
      </c>
      <c r="JG888" s="2140" t="str">
        <f t="shared" si="245"/>
        <v/>
      </c>
      <c r="JH888" s="2140" t="str">
        <f t="shared" si="246"/>
        <v/>
      </c>
      <c r="JI888" s="2140" t="str">
        <f t="shared" si="247"/>
        <v/>
      </c>
      <c r="JJ888" s="2140" t="str">
        <f t="shared" si="248"/>
        <v/>
      </c>
      <c r="JK888" s="2140" t="str">
        <f t="shared" si="249"/>
        <v/>
      </c>
      <c r="JL888" s="2140" t="str">
        <f t="shared" si="250"/>
        <v/>
      </c>
      <c r="JM888" s="2140" t="str">
        <f t="shared" si="251"/>
        <v/>
      </c>
      <c r="JN888" s="2140" t="str">
        <f t="shared" si="252"/>
        <v/>
      </c>
      <c r="JO888" s="2140" t="str">
        <f t="shared" si="253"/>
        <v/>
      </c>
      <c r="JP888" s="2140" t="str">
        <f t="shared" si="254"/>
        <v/>
      </c>
      <c r="JQ888" s="2140" t="str">
        <f t="shared" si="255"/>
        <v/>
      </c>
      <c r="JR888" s="2140" t="str">
        <f t="shared" si="256"/>
        <v/>
      </c>
      <c r="JS888" s="2140" t="str">
        <f t="shared" si="257"/>
        <v/>
      </c>
      <c r="JT888" s="2140" t="str">
        <f t="shared" si="258"/>
        <v/>
      </c>
      <c r="JU888" s="2140" t="str">
        <f t="shared" si="259"/>
        <v/>
      </c>
      <c r="JV888" s="2140" t="str">
        <f t="shared" si="260"/>
        <v/>
      </c>
      <c r="JW888" s="2140" t="str">
        <f t="shared" si="261"/>
        <v/>
      </c>
      <c r="JX888" s="2140" t="str">
        <f t="shared" si="262"/>
        <v/>
      </c>
      <c r="JY888" s="2140" t="str">
        <f t="shared" si="263"/>
        <v/>
      </c>
      <c r="JZ888" s="2140" t="str">
        <f t="shared" si="264"/>
        <v/>
      </c>
      <c r="KA888" s="2140" t="str">
        <f t="shared" si="265"/>
        <v/>
      </c>
      <c r="KB888" s="2140" t="str">
        <f t="shared" si="266"/>
        <v/>
      </c>
      <c r="KC888" s="2140" t="str">
        <f t="shared" si="267"/>
        <v/>
      </c>
      <c r="KD888" s="2140" t="str">
        <f t="shared" si="268"/>
        <v/>
      </c>
      <c r="KE888" s="2140" t="str">
        <f t="shared" si="269"/>
        <v/>
      </c>
      <c r="KF888" s="2140" t="str">
        <f t="shared" si="270"/>
        <v/>
      </c>
      <c r="KG888" s="2140" t="str">
        <f t="shared" si="271"/>
        <v/>
      </c>
      <c r="KH888" s="2140" t="str">
        <f t="shared" si="272"/>
        <v/>
      </c>
      <c r="KI888" s="2140" t="str">
        <f t="shared" si="273"/>
        <v/>
      </c>
      <c r="KJ888" s="2140" t="str">
        <f t="shared" si="274"/>
        <v/>
      </c>
      <c r="KK888" s="2140" t="str">
        <f t="shared" si="275"/>
        <v/>
      </c>
      <c r="KL888" s="2140" t="str">
        <f t="shared" si="276"/>
        <v/>
      </c>
      <c r="KM888" s="2140" t="str">
        <f t="shared" si="277"/>
        <v/>
      </c>
      <c r="KN888" s="2140" t="str">
        <f t="shared" si="278"/>
        <v/>
      </c>
      <c r="KO888" s="2140" t="str">
        <f t="shared" si="279"/>
        <v/>
      </c>
      <c r="KP888" s="2140" t="str">
        <f t="shared" si="280"/>
        <v/>
      </c>
      <c r="KQ888" s="2140" t="str">
        <f t="shared" si="281"/>
        <v/>
      </c>
      <c r="KR888" s="2140" t="str">
        <f t="shared" si="282"/>
        <v/>
      </c>
      <c r="KS888" s="2140" t="str">
        <f t="shared" si="283"/>
        <v/>
      </c>
      <c r="KT888" s="2140" t="str">
        <f t="shared" si="284"/>
        <v/>
      </c>
      <c r="KU888" s="2140" t="str">
        <f t="shared" si="285"/>
        <v/>
      </c>
      <c r="KV888" s="2140" t="str">
        <f t="shared" si="286"/>
        <v/>
      </c>
      <c r="KW888" s="2140" t="str">
        <f t="shared" si="287"/>
        <v/>
      </c>
      <c r="KX888" s="2140" t="str">
        <f t="shared" si="288"/>
        <v/>
      </c>
      <c r="KY888" s="2140" t="str">
        <f t="shared" si="289"/>
        <v/>
      </c>
      <c r="KZ888" s="2140" t="str">
        <f t="shared" si="290"/>
        <v/>
      </c>
      <c r="LA888" s="2140" t="str">
        <f t="shared" si="291"/>
        <v/>
      </c>
      <c r="LB888" s="2140" t="str">
        <f t="shared" si="292"/>
        <v/>
      </c>
      <c r="LC888" s="2140" t="str">
        <f t="shared" si="293"/>
        <v/>
      </c>
      <c r="LD888" s="2140" t="str">
        <f t="shared" si="294"/>
        <v/>
      </c>
      <c r="LE888" s="2140" t="str">
        <f t="shared" si="295"/>
        <v/>
      </c>
      <c r="LF888" s="2140" t="str">
        <f t="shared" si="296"/>
        <v/>
      </c>
      <c r="LG888" s="2051" t="str">
        <f t="shared" si="297"/>
        <v/>
      </c>
      <c r="LH888" s="2051" t="str">
        <f t="shared" si="298"/>
        <v/>
      </c>
      <c r="LI888" s="2051" t="str">
        <f t="shared" si="299"/>
        <v/>
      </c>
      <c r="LJ888" s="2051" t="str">
        <f t="shared" si="300"/>
        <v/>
      </c>
      <c r="LK888" s="2051" t="str">
        <f t="shared" si="301"/>
        <v/>
      </c>
      <c r="LL888" s="1852" t="str">
        <f t="shared" si="302"/>
        <v/>
      </c>
      <c r="LM888" s="1852" t="str">
        <f t="shared" si="303"/>
        <v/>
      </c>
      <c r="LN888" s="1852" t="str">
        <f t="shared" si="304"/>
        <v/>
      </c>
      <c r="LO888" s="1852" t="str">
        <f t="shared" si="305"/>
        <v/>
      </c>
      <c r="LP888" s="1852" t="str">
        <f t="shared" si="306"/>
        <v/>
      </c>
      <c r="LQ888" s="1852" t="str">
        <f t="shared" si="307"/>
        <v/>
      </c>
      <c r="LR888" s="1852" t="str">
        <f t="shared" si="308"/>
        <v/>
      </c>
      <c r="LS888" s="1852" t="str">
        <f t="shared" si="309"/>
        <v/>
      </c>
      <c r="LT888" s="1852" t="str">
        <f t="shared" si="310"/>
        <v/>
      </c>
      <c r="LU888" s="1852" t="str">
        <f t="shared" si="311"/>
        <v/>
      </c>
      <c r="LV888" s="1852" t="str">
        <f t="shared" si="312"/>
        <v/>
      </c>
      <c r="LW888" s="1852" t="str">
        <f t="shared" si="313"/>
        <v/>
      </c>
      <c r="LX888" s="1852" t="str">
        <f t="shared" si="314"/>
        <v/>
      </c>
      <c r="LY888" s="1852" t="str">
        <f t="shared" si="315"/>
        <v/>
      </c>
      <c r="LZ888" s="1852" t="str">
        <f t="shared" si="316"/>
        <v/>
      </c>
      <c r="MA888" s="1852" t="str">
        <f t="shared" si="317"/>
        <v/>
      </c>
      <c r="MB888" s="1852" t="str">
        <f t="shared" si="318"/>
        <v/>
      </c>
      <c r="MC888" s="1852" t="str">
        <f t="shared" si="319"/>
        <v/>
      </c>
      <c r="MD888" s="1852" t="str">
        <f t="shared" si="320"/>
        <v/>
      </c>
      <c r="ME888" s="1852" t="str">
        <f t="shared" si="321"/>
        <v/>
      </c>
      <c r="MF888" s="2051">
        <f t="shared" si="328"/>
        <v>0</v>
      </c>
      <c r="MG888" s="2051">
        <f t="shared" si="329"/>
        <v>0</v>
      </c>
      <c r="MH888" s="2051">
        <f t="shared" si="330"/>
        <v>0</v>
      </c>
      <c r="MI888" s="2051">
        <f t="shared" si="331"/>
        <v>0</v>
      </c>
      <c r="MJ888" s="2051">
        <f t="shared" si="332"/>
        <v>0</v>
      </c>
      <c r="MK888" s="2051">
        <f t="shared" si="333"/>
        <v>0</v>
      </c>
      <c r="ML888" s="2051">
        <f t="shared" si="334"/>
        <v>0</v>
      </c>
      <c r="MM888" s="2051">
        <f t="shared" si="335"/>
        <v>0</v>
      </c>
      <c r="MN888" s="2051">
        <f t="shared" si="336"/>
        <v>0</v>
      </c>
      <c r="MO888" s="2051">
        <f t="shared" si="337"/>
        <v>0</v>
      </c>
      <c r="MP888" s="2051">
        <f t="shared" si="322"/>
        <v>0</v>
      </c>
      <c r="MQ888" s="2051">
        <f t="shared" si="323"/>
        <v>0</v>
      </c>
      <c r="MR888" s="2051">
        <f t="shared" si="324"/>
        <v>0</v>
      </c>
      <c r="MS888" s="2051">
        <f t="shared" si="325"/>
        <v>0</v>
      </c>
      <c r="MT888" s="2051">
        <f t="shared" si="326"/>
        <v>0</v>
      </c>
      <c r="NP888" s="1924" t="s">
        <v>6757</v>
      </c>
    </row>
    <row r="889" spans="1:380" s="1852" customFormat="1" ht="13.9" customHeight="1">
      <c r="A889" s="2108">
        <f>COUNT(A851,A852,A853,A854,A855,A856,A857,A858,A859,A860,A861,A862,A863,A864,A865,A866,A867,A868,A869,A870,A871,A872,A873,A874,A875,A876,A877,A878,A879,A880)</f>
        <v>0</v>
      </c>
      <c r="B889" s="435" t="s">
        <v>3924</v>
      </c>
      <c r="C889" s="435"/>
      <c r="D889" s="2141" t="s">
        <v>979</v>
      </c>
      <c r="E889" s="2142">
        <f>SUM(E851:E888)</f>
        <v>48</v>
      </c>
      <c r="F889" s="2143">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51564</v>
      </c>
      <c r="H889" s="2144" t="s">
        <v>3921</v>
      </c>
      <c r="I889" s="2145" t="s">
        <v>3922</v>
      </c>
      <c r="J889" s="2146" t="str">
        <f>IF(P907=0,"",IF(SUM(P898:P902)/P907&gt;=0.4,"Pass","Fail"))</f>
        <v>Pass</v>
      </c>
      <c r="K889" s="436"/>
      <c r="L889" s="2141" t="s">
        <v>1254</v>
      </c>
      <c r="M889" s="2147">
        <f>SUM(M851:M888)</f>
        <v>30460</v>
      </c>
      <c r="N889" s="1818"/>
      <c r="O889" s="1818"/>
      <c r="P889" s="1818"/>
      <c r="Q889" s="1818"/>
      <c r="R889" s="1818"/>
      <c r="S889" s="1818"/>
      <c r="T889" s="1818"/>
      <c r="U889" s="1818"/>
      <c r="V889" s="2117"/>
      <c r="W889" s="2140"/>
      <c r="X889" s="2140">
        <f t="shared" ref="X889:FA889" si="338">SUM(X851:X888)</f>
        <v>0</v>
      </c>
      <c r="Y889" s="2140">
        <f t="shared" si="338"/>
        <v>0</v>
      </c>
      <c r="Z889" s="2140">
        <f t="shared" si="338"/>
        <v>0</v>
      </c>
      <c r="AA889" s="2140">
        <f t="shared" si="338"/>
        <v>0</v>
      </c>
      <c r="AB889" s="2140">
        <f t="shared" si="338"/>
        <v>0</v>
      </c>
      <c r="AC889" s="2140">
        <f t="shared" si="338"/>
        <v>0</v>
      </c>
      <c r="AD889" s="2140">
        <f t="shared" si="338"/>
        <v>2</v>
      </c>
      <c r="AE889" s="2140">
        <f t="shared" si="338"/>
        <v>2</v>
      </c>
      <c r="AF889" s="2140">
        <f t="shared" si="338"/>
        <v>2</v>
      </c>
      <c r="AG889" s="2140">
        <f t="shared" si="338"/>
        <v>0</v>
      </c>
      <c r="AH889" s="2140">
        <f t="shared" si="338"/>
        <v>0</v>
      </c>
      <c r="AI889" s="2140">
        <f t="shared" si="338"/>
        <v>4</v>
      </c>
      <c r="AJ889" s="2140">
        <f t="shared" si="338"/>
        <v>13</v>
      </c>
      <c r="AK889" s="2140">
        <f t="shared" si="338"/>
        <v>6</v>
      </c>
      <c r="AL889" s="2140">
        <f t="shared" si="338"/>
        <v>0</v>
      </c>
      <c r="AM889" s="2140">
        <f>SUM(AM851:AM888)</f>
        <v>0</v>
      </c>
      <c r="AN889" s="2140">
        <f>SUM(AN851:AN888)</f>
        <v>6</v>
      </c>
      <c r="AO889" s="2140">
        <f>SUM(AO851:AO888)</f>
        <v>9</v>
      </c>
      <c r="AP889" s="2140">
        <f>SUM(AP851:AP888)</f>
        <v>4</v>
      </c>
      <c r="AQ889" s="2140">
        <f>SUM(AQ851:AQ888)</f>
        <v>0</v>
      </c>
      <c r="AR889" s="2140">
        <f t="shared" si="338"/>
        <v>0</v>
      </c>
      <c r="AS889" s="2140">
        <f t="shared" si="338"/>
        <v>0</v>
      </c>
      <c r="AT889" s="2140">
        <f t="shared" si="338"/>
        <v>0</v>
      </c>
      <c r="AU889" s="2140">
        <f t="shared" si="338"/>
        <v>0</v>
      </c>
      <c r="AV889" s="2140">
        <f t="shared" si="338"/>
        <v>0</v>
      </c>
      <c r="AW889" s="2140">
        <f t="shared" si="338"/>
        <v>0</v>
      </c>
      <c r="AX889" s="2140">
        <f t="shared" si="338"/>
        <v>0</v>
      </c>
      <c r="AY889" s="2140">
        <f t="shared" si="338"/>
        <v>0</v>
      </c>
      <c r="AZ889" s="2140">
        <f t="shared" si="338"/>
        <v>0</v>
      </c>
      <c r="BA889" s="2140">
        <f t="shared" si="338"/>
        <v>0</v>
      </c>
      <c r="BB889" s="2140">
        <f>SUM(BB851:BB888)</f>
        <v>0</v>
      </c>
      <c r="BC889" s="2140">
        <f>SUM(BC851:BC888)</f>
        <v>0</v>
      </c>
      <c r="BD889" s="2140">
        <f>SUM(BD851:BD888)</f>
        <v>0</v>
      </c>
      <c r="BE889" s="2140">
        <f>SUM(BE851:BE888)</f>
        <v>0</v>
      </c>
      <c r="BF889" s="2140">
        <f>SUM(BF851:BF888)</f>
        <v>0</v>
      </c>
      <c r="BG889" s="2140">
        <f t="shared" si="338"/>
        <v>0</v>
      </c>
      <c r="BH889" s="2140">
        <f t="shared" si="338"/>
        <v>0</v>
      </c>
      <c r="BI889" s="2140">
        <f t="shared" si="338"/>
        <v>0</v>
      </c>
      <c r="BJ889" s="2140">
        <f t="shared" si="338"/>
        <v>0</v>
      </c>
      <c r="BK889" s="2140">
        <f t="shared" si="338"/>
        <v>0</v>
      </c>
      <c r="BL889" s="2140">
        <f>SUM(BL851:BL888)</f>
        <v>0</v>
      </c>
      <c r="BM889" s="2140">
        <f>SUM(BM851:BM888)</f>
        <v>0</v>
      </c>
      <c r="BN889" s="2140">
        <f>SUM(BN851:BN888)</f>
        <v>0</v>
      </c>
      <c r="BO889" s="2140">
        <f>SUM(BO851:BO888)</f>
        <v>0</v>
      </c>
      <c r="BP889" s="2140">
        <f>SUM(BP851:BP888)</f>
        <v>0</v>
      </c>
      <c r="BQ889" s="2140">
        <f t="shared" si="338"/>
        <v>0</v>
      </c>
      <c r="BR889" s="2140">
        <f t="shared" si="338"/>
        <v>0</v>
      </c>
      <c r="BS889" s="2140">
        <f t="shared" si="338"/>
        <v>0</v>
      </c>
      <c r="BT889" s="2140">
        <f t="shared" si="338"/>
        <v>0</v>
      </c>
      <c r="BU889" s="2140">
        <f t="shared" si="338"/>
        <v>0</v>
      </c>
      <c r="BV889" s="2140">
        <f>SUM(BV851:BV888)</f>
        <v>0</v>
      </c>
      <c r="BW889" s="2140">
        <f>SUM(BW851:BW888)</f>
        <v>0</v>
      </c>
      <c r="BX889" s="2140">
        <f>SUM(BX851:BX888)</f>
        <v>0</v>
      </c>
      <c r="BY889" s="2140">
        <f>SUM(BY851:BY888)</f>
        <v>0</v>
      </c>
      <c r="BZ889" s="2140">
        <f>SUM(BZ851:BZ888)</f>
        <v>0</v>
      </c>
      <c r="CA889" s="2140">
        <f t="shared" si="338"/>
        <v>0</v>
      </c>
      <c r="CB889" s="2140">
        <f t="shared" si="338"/>
        <v>0</v>
      </c>
      <c r="CC889" s="2140">
        <f t="shared" si="338"/>
        <v>0</v>
      </c>
      <c r="CD889" s="2140">
        <f t="shared" si="338"/>
        <v>0</v>
      </c>
      <c r="CE889" s="2140">
        <f t="shared" si="338"/>
        <v>0</v>
      </c>
      <c r="CF889" s="2140">
        <f t="shared" si="338"/>
        <v>0</v>
      </c>
      <c r="CG889" s="2140">
        <f t="shared" si="338"/>
        <v>0</v>
      </c>
      <c r="CH889" s="2140">
        <f t="shared" si="338"/>
        <v>0</v>
      </c>
      <c r="CI889" s="2140">
        <f t="shared" si="338"/>
        <v>0</v>
      </c>
      <c r="CJ889" s="2140">
        <f t="shared" si="338"/>
        <v>0</v>
      </c>
      <c r="CK889" s="2140">
        <f>SUM(CK851:CK888)</f>
        <v>0</v>
      </c>
      <c r="CL889" s="2140">
        <f>SUM(CL851:CL888)</f>
        <v>2</v>
      </c>
      <c r="CM889" s="2140">
        <f>SUM(CM851:CM888)</f>
        <v>2</v>
      </c>
      <c r="CN889" s="2140">
        <f>SUM(CN851:CN888)</f>
        <v>2</v>
      </c>
      <c r="CO889" s="2140">
        <f>SUM(CO851:CO888)</f>
        <v>0</v>
      </c>
      <c r="CP889" s="2140">
        <f t="shared" ref="CP889:CY889" si="339">SUM(CP851:CP888)</f>
        <v>0</v>
      </c>
      <c r="CQ889" s="2140">
        <f t="shared" si="339"/>
        <v>0</v>
      </c>
      <c r="CR889" s="2140">
        <f t="shared" si="339"/>
        <v>0</v>
      </c>
      <c r="CS889" s="2140">
        <f t="shared" si="339"/>
        <v>0</v>
      </c>
      <c r="CT889" s="2140">
        <f t="shared" si="339"/>
        <v>0</v>
      </c>
      <c r="CU889" s="2140">
        <f t="shared" si="339"/>
        <v>0</v>
      </c>
      <c r="CV889" s="2140">
        <f t="shared" si="339"/>
        <v>0</v>
      </c>
      <c r="CW889" s="2140">
        <f t="shared" si="339"/>
        <v>0</v>
      </c>
      <c r="CX889" s="2140">
        <f t="shared" si="339"/>
        <v>0</v>
      </c>
      <c r="CY889" s="2140">
        <f t="shared" si="339"/>
        <v>0</v>
      </c>
      <c r="CZ889" s="2140">
        <f t="shared" si="338"/>
        <v>0</v>
      </c>
      <c r="DA889" s="2140">
        <f t="shared" si="338"/>
        <v>0</v>
      </c>
      <c r="DB889" s="2140">
        <f t="shared" si="338"/>
        <v>0</v>
      </c>
      <c r="DC889" s="2140">
        <f t="shared" si="338"/>
        <v>0</v>
      </c>
      <c r="DD889" s="2140">
        <f t="shared" si="338"/>
        <v>0</v>
      </c>
      <c r="DE889" s="2140">
        <f t="shared" si="338"/>
        <v>0</v>
      </c>
      <c r="DF889" s="2140">
        <f t="shared" si="338"/>
        <v>0</v>
      </c>
      <c r="DG889" s="2140">
        <f t="shared" si="338"/>
        <v>0</v>
      </c>
      <c r="DH889" s="2140">
        <f t="shared" si="338"/>
        <v>0</v>
      </c>
      <c r="DI889" s="2140">
        <f t="shared" si="338"/>
        <v>0</v>
      </c>
      <c r="DJ889" s="2140">
        <f t="shared" si="338"/>
        <v>0</v>
      </c>
      <c r="DK889" s="2140">
        <f t="shared" si="338"/>
        <v>0</v>
      </c>
      <c r="DL889" s="2140">
        <f t="shared" si="338"/>
        <v>0</v>
      </c>
      <c r="DM889" s="2140">
        <f t="shared" si="338"/>
        <v>0</v>
      </c>
      <c r="DN889" s="2140">
        <f t="shared" si="338"/>
        <v>0</v>
      </c>
      <c r="DO889" s="2140">
        <f t="shared" si="338"/>
        <v>0</v>
      </c>
      <c r="DP889" s="2140">
        <f t="shared" si="338"/>
        <v>0</v>
      </c>
      <c r="DQ889" s="2140">
        <f t="shared" si="338"/>
        <v>0</v>
      </c>
      <c r="DR889" s="2140">
        <f t="shared" si="338"/>
        <v>0</v>
      </c>
      <c r="DS889" s="2140">
        <f t="shared" si="338"/>
        <v>0</v>
      </c>
      <c r="DT889" s="2140">
        <f t="shared" si="338"/>
        <v>0</v>
      </c>
      <c r="DU889" s="2140">
        <f t="shared" si="338"/>
        <v>0</v>
      </c>
      <c r="DV889" s="2140">
        <f t="shared" si="338"/>
        <v>0</v>
      </c>
      <c r="DW889" s="2140">
        <f t="shared" si="338"/>
        <v>0</v>
      </c>
      <c r="DX889" s="2140">
        <f t="shared" si="338"/>
        <v>0</v>
      </c>
      <c r="DY889" s="2140">
        <f t="shared" si="338"/>
        <v>0</v>
      </c>
      <c r="DZ889" s="2140">
        <f t="shared" si="338"/>
        <v>0</v>
      </c>
      <c r="EA889" s="2140">
        <f t="shared" si="338"/>
        <v>0</v>
      </c>
      <c r="EB889" s="2140">
        <f t="shared" si="338"/>
        <v>0</v>
      </c>
      <c r="EC889" s="2140">
        <f t="shared" si="338"/>
        <v>0</v>
      </c>
      <c r="ED889" s="2140">
        <f t="shared" si="338"/>
        <v>0</v>
      </c>
      <c r="EE889" s="2140">
        <f t="shared" si="338"/>
        <v>0</v>
      </c>
      <c r="EF889" s="2140">
        <f t="shared" si="338"/>
        <v>0</v>
      </c>
      <c r="EG889" s="2140">
        <f t="shared" si="338"/>
        <v>0</v>
      </c>
      <c r="EH889" s="2140">
        <f t="shared" si="338"/>
        <v>0</v>
      </c>
      <c r="EI889" s="2140">
        <f t="shared" si="338"/>
        <v>0</v>
      </c>
      <c r="EJ889" s="2140">
        <f t="shared" si="338"/>
        <v>0</v>
      </c>
      <c r="EK889" s="2140">
        <f t="shared" si="338"/>
        <v>0</v>
      </c>
      <c r="EL889" s="2140">
        <f t="shared" si="338"/>
        <v>0</v>
      </c>
      <c r="EM889" s="2140">
        <f t="shared" si="338"/>
        <v>0</v>
      </c>
      <c r="EN889" s="2140">
        <f t="shared" si="338"/>
        <v>0</v>
      </c>
      <c r="EO889" s="2140">
        <f t="shared" si="338"/>
        <v>1660</v>
      </c>
      <c r="EP889" s="2140">
        <f t="shared" si="338"/>
        <v>2166</v>
      </c>
      <c r="EQ889" s="2140">
        <f t="shared" si="338"/>
        <v>2602</v>
      </c>
      <c r="ER889" s="2140">
        <f t="shared" si="338"/>
        <v>0</v>
      </c>
      <c r="ES889" s="2140">
        <f t="shared" si="338"/>
        <v>0</v>
      </c>
      <c r="ET889" s="2140">
        <f t="shared" si="338"/>
        <v>3320</v>
      </c>
      <c r="EU889" s="2140">
        <f t="shared" si="338"/>
        <v>14079</v>
      </c>
      <c r="EV889" s="2140">
        <f t="shared" si="338"/>
        <v>7806</v>
      </c>
      <c r="EW889" s="2140">
        <f t="shared" si="338"/>
        <v>0</v>
      </c>
      <c r="EX889" s="2140">
        <f t="shared" si="338"/>
        <v>0</v>
      </c>
      <c r="EY889" s="2140">
        <f t="shared" si="338"/>
        <v>4980</v>
      </c>
      <c r="EZ889" s="2140">
        <f t="shared" si="338"/>
        <v>9747</v>
      </c>
      <c r="FA889" s="2140">
        <f t="shared" si="338"/>
        <v>5204</v>
      </c>
      <c r="FB889" s="2140">
        <f t="shared" ref="FB889:HW889" si="340">SUM(FB851:FB888)</f>
        <v>0</v>
      </c>
      <c r="FC889" s="2140">
        <f>SUM(FC851:FC888)</f>
        <v>0</v>
      </c>
      <c r="FD889" s="2140">
        <f>SUM(FD851:FD888)</f>
        <v>0</v>
      </c>
      <c r="FE889" s="2140">
        <f>SUM(FE851:FE888)</f>
        <v>0</v>
      </c>
      <c r="FF889" s="2140">
        <f>SUM(FF851:FF888)</f>
        <v>0</v>
      </c>
      <c r="FG889" s="2140">
        <f>SUM(FG851:FG888)</f>
        <v>0</v>
      </c>
      <c r="FH889" s="2140">
        <f t="shared" si="340"/>
        <v>0</v>
      </c>
      <c r="FI889" s="2140">
        <f t="shared" si="340"/>
        <v>0</v>
      </c>
      <c r="FJ889" s="2140">
        <f t="shared" si="340"/>
        <v>0</v>
      </c>
      <c r="FK889" s="2140">
        <f t="shared" si="340"/>
        <v>0</v>
      </c>
      <c r="FL889" s="2140">
        <f t="shared" si="340"/>
        <v>0</v>
      </c>
      <c r="FM889" s="2140">
        <f>SUM(FM851:FM888)</f>
        <v>0</v>
      </c>
      <c r="FN889" s="2140">
        <f>SUM(FN851:FN888)</f>
        <v>0</v>
      </c>
      <c r="FO889" s="2140">
        <f>SUM(FO851:FO888)</f>
        <v>0</v>
      </c>
      <c r="FP889" s="2140">
        <f>SUM(FP851:FP888)</f>
        <v>0</v>
      </c>
      <c r="FQ889" s="2140">
        <f>SUM(FQ851:FQ888)</f>
        <v>0</v>
      </c>
      <c r="FR889" s="2140">
        <f t="shared" si="340"/>
        <v>0</v>
      </c>
      <c r="FS889" s="2140">
        <f t="shared" si="340"/>
        <v>0</v>
      </c>
      <c r="FT889" s="2140">
        <f t="shared" si="340"/>
        <v>0</v>
      </c>
      <c r="FU889" s="2140">
        <f t="shared" si="340"/>
        <v>0</v>
      </c>
      <c r="FV889" s="2140">
        <f t="shared" si="340"/>
        <v>0</v>
      </c>
      <c r="FW889" s="2140">
        <f t="shared" si="340"/>
        <v>0</v>
      </c>
      <c r="FX889" s="2140">
        <f t="shared" si="340"/>
        <v>0</v>
      </c>
      <c r="FY889" s="2140">
        <f t="shared" si="340"/>
        <v>0</v>
      </c>
      <c r="FZ889" s="2140">
        <f t="shared" si="340"/>
        <v>0</v>
      </c>
      <c r="GA889" s="2140">
        <f t="shared" si="340"/>
        <v>0</v>
      </c>
      <c r="GB889" s="2140">
        <f t="shared" si="340"/>
        <v>0</v>
      </c>
      <c r="GC889" s="2140">
        <f t="shared" si="340"/>
        <v>0</v>
      </c>
      <c r="GD889" s="2140">
        <f t="shared" si="340"/>
        <v>0</v>
      </c>
      <c r="GE889" s="2140">
        <f t="shared" si="340"/>
        <v>0</v>
      </c>
      <c r="GF889" s="2140">
        <f t="shared" si="340"/>
        <v>0</v>
      </c>
      <c r="GG889" s="2140">
        <f t="shared" si="340"/>
        <v>0</v>
      </c>
      <c r="GH889" s="2140">
        <f t="shared" si="340"/>
        <v>12</v>
      </c>
      <c r="GI889" s="2140">
        <f t="shared" si="340"/>
        <v>24</v>
      </c>
      <c r="GJ889" s="2140">
        <f t="shared" si="340"/>
        <v>12</v>
      </c>
      <c r="GK889" s="2140">
        <f t="shared" si="340"/>
        <v>0</v>
      </c>
      <c r="GL889" s="2140">
        <f t="shared" si="340"/>
        <v>0</v>
      </c>
      <c r="GM889" s="2140">
        <f t="shared" si="340"/>
        <v>0</v>
      </c>
      <c r="GN889" s="2140">
        <f t="shared" si="340"/>
        <v>0</v>
      </c>
      <c r="GO889" s="2140">
        <f t="shared" si="340"/>
        <v>0</v>
      </c>
      <c r="GP889" s="2140">
        <f t="shared" si="340"/>
        <v>0</v>
      </c>
      <c r="GQ889" s="2140">
        <f t="shared" si="340"/>
        <v>0</v>
      </c>
      <c r="GR889" s="2140">
        <f t="shared" si="340"/>
        <v>0</v>
      </c>
      <c r="GS889" s="2140">
        <f t="shared" si="340"/>
        <v>0</v>
      </c>
      <c r="GT889" s="2140">
        <f t="shared" si="340"/>
        <v>0</v>
      </c>
      <c r="GU889" s="2140">
        <f t="shared" si="340"/>
        <v>0</v>
      </c>
      <c r="GV889" s="2140">
        <f t="shared" si="340"/>
        <v>0</v>
      </c>
      <c r="GW889" s="2140">
        <f t="shared" si="340"/>
        <v>0</v>
      </c>
      <c r="GX889" s="2140">
        <f t="shared" si="340"/>
        <v>0</v>
      </c>
      <c r="GY889" s="2140">
        <f t="shared" si="340"/>
        <v>0</v>
      </c>
      <c r="GZ889" s="2140">
        <f t="shared" si="340"/>
        <v>0</v>
      </c>
      <c r="HA889" s="2140">
        <f t="shared" si="340"/>
        <v>0</v>
      </c>
      <c r="HB889" s="2140">
        <f t="shared" si="340"/>
        <v>0</v>
      </c>
      <c r="HC889" s="2140">
        <f t="shared" si="340"/>
        <v>0</v>
      </c>
      <c r="HD889" s="2140">
        <f t="shared" si="340"/>
        <v>0</v>
      </c>
      <c r="HE889" s="2140">
        <f t="shared" si="340"/>
        <v>0</v>
      </c>
      <c r="HF889" s="2140">
        <f t="shared" si="340"/>
        <v>0</v>
      </c>
      <c r="HG889" s="2140">
        <f t="shared" si="340"/>
        <v>0</v>
      </c>
      <c r="HH889" s="2140">
        <f t="shared" si="340"/>
        <v>0</v>
      </c>
      <c r="HI889" s="2140">
        <f t="shared" si="340"/>
        <v>0</v>
      </c>
      <c r="HJ889" s="2140">
        <f t="shared" si="340"/>
        <v>0</v>
      </c>
      <c r="HK889" s="2140">
        <f t="shared" si="340"/>
        <v>0</v>
      </c>
      <c r="HL889" s="2140">
        <f t="shared" si="340"/>
        <v>0</v>
      </c>
      <c r="HM889" s="2140">
        <f t="shared" si="340"/>
        <v>0</v>
      </c>
      <c r="HN889" s="2140">
        <f t="shared" si="340"/>
        <v>0</v>
      </c>
      <c r="HO889" s="2140">
        <f t="shared" si="340"/>
        <v>0</v>
      </c>
      <c r="HP889" s="2140">
        <f t="shared" si="340"/>
        <v>0</v>
      </c>
      <c r="HQ889" s="2140">
        <f t="shared" si="340"/>
        <v>0</v>
      </c>
      <c r="HR889" s="2140">
        <f t="shared" si="340"/>
        <v>0</v>
      </c>
      <c r="HS889" s="2140">
        <f t="shared" si="340"/>
        <v>0</v>
      </c>
      <c r="HT889" s="2140">
        <f t="shared" si="340"/>
        <v>0</v>
      </c>
      <c r="HU889" s="2140">
        <f t="shared" si="340"/>
        <v>0</v>
      </c>
      <c r="HV889" s="2140">
        <f t="shared" si="340"/>
        <v>0</v>
      </c>
      <c r="HW889" s="2140">
        <f t="shared" si="340"/>
        <v>0</v>
      </c>
      <c r="HX889" s="2140">
        <f t="shared" ref="HX889:KI889" si="341">SUM(HX851:HX888)</f>
        <v>0</v>
      </c>
      <c r="HY889" s="2140">
        <f t="shared" si="341"/>
        <v>0</v>
      </c>
      <c r="HZ889" s="2140">
        <f t="shared" si="341"/>
        <v>0</v>
      </c>
      <c r="IA889" s="2140">
        <f t="shared" si="341"/>
        <v>12</v>
      </c>
      <c r="IB889" s="2140">
        <f t="shared" si="341"/>
        <v>24</v>
      </c>
      <c r="IC889" s="2140">
        <f t="shared" si="341"/>
        <v>12</v>
      </c>
      <c r="ID889" s="2140">
        <f t="shared" si="341"/>
        <v>0</v>
      </c>
      <c r="IE889" s="2140">
        <f t="shared" si="341"/>
        <v>0</v>
      </c>
      <c r="IF889" s="2140">
        <f t="shared" si="341"/>
        <v>0</v>
      </c>
      <c r="IG889" s="2140">
        <f t="shared" si="341"/>
        <v>0</v>
      </c>
      <c r="IH889" s="2140">
        <f t="shared" si="341"/>
        <v>0</v>
      </c>
      <c r="II889" s="2140">
        <f t="shared" si="341"/>
        <v>0</v>
      </c>
      <c r="IJ889" s="2140">
        <f t="shared" si="341"/>
        <v>0</v>
      </c>
      <c r="IK889" s="2140">
        <f t="shared" si="341"/>
        <v>0</v>
      </c>
      <c r="IL889" s="2140">
        <f t="shared" si="341"/>
        <v>0</v>
      </c>
      <c r="IM889" s="2140">
        <f t="shared" si="341"/>
        <v>0</v>
      </c>
      <c r="IN889" s="2140">
        <f t="shared" si="341"/>
        <v>0</v>
      </c>
      <c r="IO889" s="2140">
        <f t="shared" si="341"/>
        <v>0</v>
      </c>
      <c r="IP889" s="2140">
        <f t="shared" si="341"/>
        <v>0</v>
      </c>
      <c r="IQ889" s="2140">
        <f t="shared" si="341"/>
        <v>0</v>
      </c>
      <c r="IR889" s="2140">
        <f t="shared" si="341"/>
        <v>0</v>
      </c>
      <c r="IS889" s="2140">
        <f t="shared" si="341"/>
        <v>0</v>
      </c>
      <c r="IT889" s="2140">
        <f t="shared" si="341"/>
        <v>0</v>
      </c>
      <c r="IU889" s="2140">
        <f t="shared" si="341"/>
        <v>0</v>
      </c>
      <c r="IV889" s="2140">
        <f t="shared" si="341"/>
        <v>0</v>
      </c>
      <c r="IW889" s="2140">
        <f t="shared" si="341"/>
        <v>0</v>
      </c>
      <c r="IX889" s="2140">
        <f t="shared" si="341"/>
        <v>0</v>
      </c>
      <c r="IY889" s="2140">
        <f t="shared" si="341"/>
        <v>0</v>
      </c>
      <c r="IZ889" s="2140">
        <f t="shared" si="341"/>
        <v>0</v>
      </c>
      <c r="JA889" s="2140">
        <f t="shared" si="341"/>
        <v>0</v>
      </c>
      <c r="JB889" s="2140">
        <f t="shared" si="341"/>
        <v>0</v>
      </c>
      <c r="JC889" s="2140">
        <f t="shared" si="341"/>
        <v>0</v>
      </c>
      <c r="JD889" s="2140">
        <f t="shared" si="341"/>
        <v>0</v>
      </c>
      <c r="JE889" s="2140">
        <f t="shared" si="341"/>
        <v>0</v>
      </c>
      <c r="JF889" s="2140">
        <f t="shared" si="341"/>
        <v>0</v>
      </c>
      <c r="JG889" s="2140">
        <f t="shared" si="341"/>
        <v>0</v>
      </c>
      <c r="JH889" s="2140">
        <f t="shared" si="341"/>
        <v>0</v>
      </c>
      <c r="JI889" s="2140">
        <f t="shared" si="341"/>
        <v>0</v>
      </c>
      <c r="JJ889" s="2140">
        <f t="shared" si="341"/>
        <v>0</v>
      </c>
      <c r="JK889" s="2140">
        <f t="shared" si="341"/>
        <v>0</v>
      </c>
      <c r="JL889" s="2140">
        <f t="shared" si="341"/>
        <v>0</v>
      </c>
      <c r="JM889" s="2140">
        <f t="shared" si="341"/>
        <v>0</v>
      </c>
      <c r="JN889" s="2140">
        <f t="shared" si="341"/>
        <v>0</v>
      </c>
      <c r="JO889" s="2140">
        <f t="shared" si="341"/>
        <v>0</v>
      </c>
      <c r="JP889" s="2140">
        <f t="shared" si="341"/>
        <v>0</v>
      </c>
      <c r="JQ889" s="2140">
        <f t="shared" si="341"/>
        <v>0</v>
      </c>
      <c r="JR889" s="2140">
        <f t="shared" si="341"/>
        <v>0</v>
      </c>
      <c r="JS889" s="2140">
        <f t="shared" si="341"/>
        <v>0</v>
      </c>
      <c r="JT889" s="2140">
        <f t="shared" si="341"/>
        <v>12</v>
      </c>
      <c r="JU889" s="2140">
        <f t="shared" si="341"/>
        <v>24</v>
      </c>
      <c r="JV889" s="2140">
        <f t="shared" si="341"/>
        <v>12</v>
      </c>
      <c r="JW889" s="2140">
        <f t="shared" si="341"/>
        <v>0</v>
      </c>
      <c r="JX889" s="2140">
        <f t="shared" si="341"/>
        <v>0</v>
      </c>
      <c r="JY889" s="2140">
        <f t="shared" si="341"/>
        <v>0</v>
      </c>
      <c r="JZ889" s="2140">
        <f t="shared" si="341"/>
        <v>0</v>
      </c>
      <c r="KA889" s="2140">
        <f t="shared" si="341"/>
        <v>0</v>
      </c>
      <c r="KB889" s="2140">
        <f t="shared" si="341"/>
        <v>0</v>
      </c>
      <c r="KC889" s="2140">
        <f t="shared" si="341"/>
        <v>0</v>
      </c>
      <c r="KD889" s="2140">
        <f t="shared" si="341"/>
        <v>0</v>
      </c>
      <c r="KE889" s="2140">
        <f t="shared" si="341"/>
        <v>0</v>
      </c>
      <c r="KF889" s="2140">
        <f t="shared" si="341"/>
        <v>0</v>
      </c>
      <c r="KG889" s="2140">
        <f t="shared" si="341"/>
        <v>0</v>
      </c>
      <c r="KH889" s="2140">
        <f t="shared" si="341"/>
        <v>0</v>
      </c>
      <c r="KI889" s="2140">
        <f t="shared" si="341"/>
        <v>0</v>
      </c>
      <c r="KJ889" s="2140">
        <f t="shared" ref="KJ889:MU889" si="342">SUM(KJ851:KJ888)</f>
        <v>0</v>
      </c>
      <c r="KK889" s="2140">
        <f t="shared" si="342"/>
        <v>0</v>
      </c>
      <c r="KL889" s="2140">
        <f t="shared" si="342"/>
        <v>0</v>
      </c>
      <c r="KM889" s="2140">
        <f t="shared" si="342"/>
        <v>0</v>
      </c>
      <c r="KN889" s="2140">
        <f t="shared" si="342"/>
        <v>0</v>
      </c>
      <c r="KO889" s="2140">
        <f t="shared" si="342"/>
        <v>0</v>
      </c>
      <c r="KP889" s="2140">
        <f t="shared" si="342"/>
        <v>0</v>
      </c>
      <c r="KQ889" s="2140">
        <f t="shared" si="342"/>
        <v>0</v>
      </c>
      <c r="KR889" s="2140">
        <f t="shared" si="342"/>
        <v>0</v>
      </c>
      <c r="KS889" s="2140">
        <f t="shared" si="342"/>
        <v>0</v>
      </c>
      <c r="KT889" s="2140">
        <f t="shared" si="342"/>
        <v>0</v>
      </c>
      <c r="KU889" s="2140">
        <f t="shared" si="342"/>
        <v>0</v>
      </c>
      <c r="KV889" s="2140">
        <f t="shared" si="342"/>
        <v>0</v>
      </c>
      <c r="KW889" s="2140">
        <f t="shared" si="342"/>
        <v>0</v>
      </c>
      <c r="KX889" s="2140">
        <f t="shared" si="342"/>
        <v>0</v>
      </c>
      <c r="KY889" s="2140">
        <f t="shared" si="342"/>
        <v>0</v>
      </c>
      <c r="KZ889" s="2140">
        <f t="shared" si="342"/>
        <v>0</v>
      </c>
      <c r="LA889" s="2140">
        <f t="shared" si="342"/>
        <v>0</v>
      </c>
      <c r="LB889" s="2140">
        <f t="shared" si="342"/>
        <v>0</v>
      </c>
      <c r="LC889" s="2140">
        <f t="shared" si="342"/>
        <v>0</v>
      </c>
      <c r="LD889" s="2140">
        <f t="shared" si="342"/>
        <v>0</v>
      </c>
      <c r="LE889" s="2140">
        <f t="shared" si="342"/>
        <v>0</v>
      </c>
      <c r="LF889" s="2140">
        <f t="shared" si="342"/>
        <v>0</v>
      </c>
      <c r="LG889" s="2140">
        <f t="shared" si="342"/>
        <v>0</v>
      </c>
      <c r="LH889" s="2140">
        <f t="shared" si="342"/>
        <v>0</v>
      </c>
      <c r="LI889" s="2140">
        <f t="shared" si="342"/>
        <v>0</v>
      </c>
      <c r="LJ889" s="2140">
        <f t="shared" si="342"/>
        <v>0</v>
      </c>
      <c r="LK889" s="2140">
        <f t="shared" si="342"/>
        <v>0</v>
      </c>
      <c r="LL889" s="2140">
        <f t="shared" si="342"/>
        <v>0</v>
      </c>
      <c r="LM889" s="2140">
        <f t="shared" si="342"/>
        <v>0</v>
      </c>
      <c r="LN889" s="2140">
        <f t="shared" si="342"/>
        <v>0</v>
      </c>
      <c r="LO889" s="2140">
        <f t="shared" si="342"/>
        <v>0</v>
      </c>
      <c r="LP889" s="2140">
        <f t="shared" si="342"/>
        <v>0</v>
      </c>
      <c r="LQ889" s="2140">
        <f t="shared" si="342"/>
        <v>0</v>
      </c>
      <c r="LR889" s="2140">
        <f t="shared" si="342"/>
        <v>0</v>
      </c>
      <c r="LS889" s="2140">
        <f t="shared" si="342"/>
        <v>0</v>
      </c>
      <c r="LT889" s="2140">
        <f t="shared" si="342"/>
        <v>0</v>
      </c>
      <c r="LU889" s="2140">
        <f t="shared" si="342"/>
        <v>0</v>
      </c>
      <c r="LV889" s="2140">
        <f t="shared" si="342"/>
        <v>0</v>
      </c>
      <c r="LW889" s="2140">
        <f t="shared" si="342"/>
        <v>0</v>
      </c>
      <c r="LX889" s="2140">
        <f t="shared" si="342"/>
        <v>0</v>
      </c>
      <c r="LY889" s="2140">
        <f t="shared" si="342"/>
        <v>0</v>
      </c>
      <c r="LZ889" s="2140">
        <f t="shared" si="342"/>
        <v>0</v>
      </c>
      <c r="MA889" s="2140">
        <f t="shared" si="342"/>
        <v>0</v>
      </c>
      <c r="MB889" s="2140">
        <f t="shared" si="342"/>
        <v>0</v>
      </c>
      <c r="MC889" s="2140">
        <f t="shared" si="342"/>
        <v>0</v>
      </c>
      <c r="MD889" s="2140">
        <f t="shared" si="342"/>
        <v>0</v>
      </c>
      <c r="ME889" s="2140">
        <f t="shared" si="342"/>
        <v>0</v>
      </c>
      <c r="MF889" s="2140">
        <f t="shared" si="342"/>
        <v>0</v>
      </c>
      <c r="MG889" s="2140">
        <f t="shared" si="342"/>
        <v>0</v>
      </c>
      <c r="MH889" s="2140">
        <f t="shared" si="342"/>
        <v>0</v>
      </c>
      <c r="MI889" s="2140">
        <f t="shared" si="342"/>
        <v>0</v>
      </c>
      <c r="MJ889" s="2140">
        <f t="shared" si="342"/>
        <v>0</v>
      </c>
      <c r="MK889" s="2140">
        <f t="shared" si="342"/>
        <v>0</v>
      </c>
      <c r="ML889" s="2140">
        <f t="shared" si="342"/>
        <v>12</v>
      </c>
      <c r="MM889" s="2140">
        <f t="shared" si="342"/>
        <v>24</v>
      </c>
      <c r="MN889" s="2140">
        <f t="shared" si="342"/>
        <v>12</v>
      </c>
      <c r="MO889" s="2140">
        <f t="shared" si="342"/>
        <v>0</v>
      </c>
      <c r="MP889" s="2140">
        <f t="shared" si="342"/>
        <v>0</v>
      </c>
      <c r="MQ889" s="2140">
        <f t="shared" si="342"/>
        <v>0</v>
      </c>
      <c r="MR889" s="2140">
        <f t="shared" si="342"/>
        <v>0</v>
      </c>
      <c r="MS889" s="2140">
        <f t="shared" si="342"/>
        <v>0</v>
      </c>
      <c r="MT889" s="2140">
        <f t="shared" si="342"/>
        <v>0</v>
      </c>
      <c r="MU889" s="2140">
        <f t="shared" si="342"/>
        <v>0</v>
      </c>
      <c r="NP889" s="1924" t="s">
        <v>6758</v>
      </c>
    </row>
    <row r="890" spans="1:380" s="1852" customFormat="1" ht="13.9" customHeight="1">
      <c r="B890" s="2148">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57.291666666666664</v>
      </c>
      <c r="C890" s="2148"/>
      <c r="D890" s="2108" t="s">
        <v>3831</v>
      </c>
      <c r="E890" s="2142">
        <f>SUM(E858:E888)</f>
        <v>48</v>
      </c>
      <c r="F890" s="2143">
        <f>(E858*F858+E859*F859+E860*F860+E861*F861+E862*F862+E863*F863+E864*F864+E865*F865+E866*F866+E867*F867+E868*F868+E869*F869+E870*F870+E871*F871+E872*F872+E873*F873+E874*F874+E875*F875+E876*F876+E877*F877+E878*F878+E879*F879+E880*F880+E881*F881+E882*F882+E883*F883+E884*F884+E885*F885+E886*F886+E887*F887+E888*F888)</f>
        <v>51564</v>
      </c>
      <c r="H890" s="2144"/>
      <c r="I890" s="2145" t="s">
        <v>3923</v>
      </c>
      <c r="J890" s="2146" t="str">
        <f>IF(P907=0,"",IF(SUM(P899:P902)/P907&gt;=0.2,"Pass","Fail"))</f>
        <v>Pass</v>
      </c>
      <c r="K890" s="436"/>
      <c r="L890" s="2141" t="s">
        <v>781</v>
      </c>
      <c r="M890" s="2147">
        <f>M889*12</f>
        <v>365520</v>
      </c>
      <c r="N890" s="1818"/>
      <c r="O890" s="1818"/>
      <c r="P890" s="1818"/>
      <c r="Q890" s="1818"/>
      <c r="R890" s="1818"/>
      <c r="S890" s="1818"/>
      <c r="T890" s="1818"/>
      <c r="U890" s="1818"/>
      <c r="V890" s="1818"/>
      <c r="W890" s="2140"/>
      <c r="X890" s="2140"/>
      <c r="Y890" s="2140"/>
      <c r="Z890" s="2140"/>
      <c r="AA890" s="2140"/>
      <c r="AB890" s="2140"/>
      <c r="AC890" s="2140"/>
      <c r="AD890" s="2140"/>
      <c r="AE890" s="2140"/>
      <c r="AF890" s="2140"/>
      <c r="AG890" s="2140"/>
      <c r="AH890" s="2140"/>
      <c r="AI890" s="2140"/>
      <c r="AJ890" s="2140"/>
      <c r="AK890" s="2140"/>
      <c r="AL890" s="2140"/>
      <c r="AM890" s="2140"/>
      <c r="AN890" s="2140"/>
      <c r="AO890" s="2140"/>
      <c r="AP890" s="2140"/>
      <c r="AQ890" s="2140"/>
      <c r="AR890" s="2140"/>
      <c r="AS890" s="2140"/>
      <c r="AT890" s="2140"/>
      <c r="AU890" s="2140"/>
      <c r="AV890" s="2140"/>
      <c r="AW890" s="2140"/>
      <c r="AX890" s="2140"/>
      <c r="AY890" s="2140"/>
      <c r="AZ890" s="2140"/>
      <c r="BA890" s="2140"/>
      <c r="BB890" s="2140"/>
      <c r="BC890" s="2140"/>
      <c r="BD890" s="2140"/>
      <c r="BE890" s="2140"/>
      <c r="BF890" s="2140"/>
      <c r="BG890" s="2140"/>
      <c r="BH890" s="2140"/>
      <c r="BI890" s="2140"/>
      <c r="BJ890" s="2140"/>
      <c r="BK890" s="2140"/>
      <c r="BL890" s="2140"/>
      <c r="BM890" s="2140"/>
      <c r="BN890" s="2140"/>
      <c r="BO890" s="2140"/>
      <c r="BP890" s="2140"/>
      <c r="BQ890" s="2140"/>
      <c r="BR890" s="2140"/>
      <c r="BS890" s="2140"/>
      <c r="BT890" s="2140"/>
      <c r="BU890" s="2140"/>
      <c r="BV890" s="2140"/>
      <c r="BW890" s="2140"/>
      <c r="BX890" s="2140"/>
      <c r="BY890" s="2140"/>
      <c r="BZ890" s="2140"/>
      <c r="CA890" s="2140"/>
      <c r="CB890" s="2140"/>
      <c r="CC890" s="2140"/>
      <c r="CD890" s="2140"/>
      <c r="CE890" s="2140"/>
      <c r="CF890" s="2140"/>
      <c r="CG890" s="2140"/>
      <c r="CH890" s="2140"/>
      <c r="CI890" s="2140"/>
      <c r="CJ890" s="2140"/>
      <c r="CK890" s="2140"/>
      <c r="CL890" s="2140"/>
      <c r="CM890" s="2140"/>
      <c r="CN890" s="2140"/>
      <c r="CO890" s="2140"/>
      <c r="CP890" s="2140"/>
      <c r="CQ890" s="2140"/>
      <c r="CR890" s="2140"/>
      <c r="CS890" s="2140"/>
      <c r="CT890" s="2140"/>
      <c r="CU890" s="2140"/>
      <c r="CV890" s="2140"/>
      <c r="CW890" s="2140"/>
      <c r="CX890" s="2140"/>
      <c r="CY890" s="2140"/>
      <c r="CZ890" s="2140"/>
      <c r="DA890" s="2140"/>
      <c r="DB890" s="2140"/>
      <c r="DC890" s="2140"/>
      <c r="DD890" s="2140"/>
      <c r="DE890" s="2140"/>
      <c r="DF890" s="2140"/>
      <c r="DG890" s="2140"/>
      <c r="DH890" s="2140"/>
      <c r="DI890" s="2140"/>
      <c r="DJ890" s="2140"/>
      <c r="DK890" s="2140"/>
      <c r="DL890" s="2140"/>
      <c r="DM890" s="2140"/>
      <c r="DN890" s="2140"/>
      <c r="DO890" s="2140"/>
      <c r="DP890" s="2140"/>
      <c r="DQ890" s="2140"/>
      <c r="DR890" s="2140"/>
      <c r="DS890" s="2140"/>
      <c r="DT890" s="2140"/>
      <c r="DU890" s="2140"/>
      <c r="DV890" s="2140"/>
      <c r="DW890" s="2140"/>
      <c r="DX890" s="2140"/>
      <c r="DY890" s="2140"/>
      <c r="DZ890" s="2140"/>
      <c r="EA890" s="2140"/>
      <c r="EB890" s="2140"/>
      <c r="EC890" s="2140"/>
      <c r="ED890" s="2140"/>
      <c r="EE890" s="2140"/>
      <c r="EF890" s="2140"/>
      <c r="EG890" s="2140"/>
      <c r="EH890" s="2140"/>
      <c r="EI890" s="2140"/>
      <c r="EJ890" s="2140"/>
      <c r="EK890" s="2140"/>
      <c r="EL890" s="2140"/>
      <c r="EM890" s="2140"/>
      <c r="EN890" s="2140"/>
      <c r="EO890" s="2140"/>
      <c r="EP890" s="2140"/>
      <c r="EQ890" s="2140"/>
      <c r="ER890" s="2140"/>
      <c r="ES890" s="2140"/>
      <c r="ET890" s="2140"/>
      <c r="EU890" s="2140"/>
      <c r="EV890" s="2140"/>
      <c r="EW890" s="2140"/>
      <c r="EX890" s="2140"/>
      <c r="EY890" s="2140"/>
      <c r="EZ890" s="2140"/>
      <c r="FA890" s="2140"/>
      <c r="FB890" s="2140"/>
      <c r="FC890" s="2140"/>
      <c r="FD890" s="2140"/>
      <c r="FE890" s="2140"/>
      <c r="FF890" s="2140"/>
      <c r="FG890" s="2140"/>
      <c r="FH890" s="2140"/>
      <c r="FI890" s="2140"/>
      <c r="FJ890" s="2140"/>
      <c r="FK890" s="2140"/>
      <c r="FL890" s="2140"/>
      <c r="FM890" s="2140"/>
      <c r="FN890" s="2140"/>
      <c r="FO890" s="2140"/>
      <c r="FP890" s="2140"/>
      <c r="FQ890" s="2140"/>
      <c r="FR890" s="2140"/>
      <c r="FS890" s="2140"/>
      <c r="FT890" s="2140"/>
      <c r="FU890" s="2140"/>
      <c r="FV890" s="2140"/>
      <c r="FW890" s="2140"/>
      <c r="FX890" s="2140"/>
      <c r="FY890" s="2140"/>
      <c r="FZ890" s="2140"/>
      <c r="GA890" s="2140"/>
      <c r="GB890" s="2140"/>
      <c r="GC890" s="2140"/>
      <c r="GD890" s="2140"/>
      <c r="GE890" s="2140"/>
      <c r="GF890" s="2140"/>
      <c r="GG890" s="2140"/>
      <c r="GH890" s="2140"/>
      <c r="GI890" s="2140"/>
      <c r="GJ890" s="2140"/>
      <c r="GK890" s="2140"/>
      <c r="GL890" s="2140"/>
      <c r="GM890" s="2140"/>
      <c r="GN890" s="2140"/>
      <c r="GO890" s="2140"/>
      <c r="GP890" s="2140"/>
      <c r="GQ890" s="2140"/>
      <c r="GR890" s="2140"/>
      <c r="GS890" s="2140"/>
      <c r="GT890" s="2140"/>
      <c r="GU890" s="2140"/>
      <c r="GV890" s="2140"/>
      <c r="GW890" s="2140"/>
      <c r="GX890" s="2140"/>
      <c r="GY890" s="2140"/>
      <c r="GZ890" s="2140"/>
      <c r="HA890" s="2140"/>
      <c r="HB890" s="2140"/>
      <c r="HC890" s="2140"/>
      <c r="HD890" s="2140"/>
      <c r="HE890" s="2140"/>
      <c r="HF890" s="2140"/>
      <c r="HG890" s="2140"/>
      <c r="HH890" s="2140"/>
      <c r="HI890" s="2140"/>
      <c r="HJ890" s="2140"/>
      <c r="HK890" s="2140"/>
      <c r="HL890" s="2140"/>
      <c r="HM890" s="2140"/>
      <c r="HN890" s="2140"/>
      <c r="HO890" s="2140"/>
      <c r="HP890" s="2140"/>
      <c r="HQ890" s="2140"/>
      <c r="HR890" s="2140"/>
      <c r="HS890" s="2140"/>
      <c r="HT890" s="2140"/>
      <c r="HU890" s="2140"/>
      <c r="HV890" s="2140"/>
      <c r="HW890" s="2140"/>
      <c r="HX890" s="2140"/>
      <c r="HY890" s="2140"/>
      <c r="HZ890" s="2140"/>
      <c r="IA890" s="2140"/>
      <c r="IB890" s="2140"/>
      <c r="IC890" s="2140"/>
      <c r="ID890" s="2140"/>
      <c r="IE890" s="2140"/>
      <c r="IF890" s="2140"/>
      <c r="IG890" s="2140"/>
      <c r="IH890" s="2140"/>
      <c r="II890" s="2140"/>
      <c r="IJ890" s="2140"/>
      <c r="IK890" s="2140"/>
      <c r="IL890" s="2140"/>
      <c r="IM890" s="2140"/>
      <c r="IN890" s="2140"/>
      <c r="IO890" s="2140"/>
      <c r="IP890" s="2140"/>
      <c r="IQ890" s="2140"/>
      <c r="IR890" s="2140"/>
      <c r="IS890" s="2140"/>
      <c r="IT890" s="2140"/>
      <c r="IU890" s="2140"/>
      <c r="IV890" s="2140"/>
      <c r="IW890" s="2140"/>
      <c r="IX890" s="2140"/>
      <c r="IY890" s="2140"/>
      <c r="IZ890" s="2140"/>
      <c r="JA890" s="2140"/>
      <c r="JB890" s="2140"/>
      <c r="JC890" s="2140"/>
      <c r="JD890" s="2140"/>
      <c r="JE890" s="2140"/>
      <c r="JF890" s="2140"/>
      <c r="JG890" s="2140"/>
      <c r="JH890" s="2140"/>
      <c r="JI890" s="2140"/>
      <c r="JJ890" s="2140"/>
      <c r="JK890" s="2140"/>
      <c r="JL890" s="2140"/>
      <c r="JM890" s="2140"/>
      <c r="JN890" s="2140"/>
      <c r="JO890" s="2140"/>
      <c r="JP890" s="2140"/>
      <c r="JQ890" s="2140"/>
      <c r="JR890" s="2140"/>
      <c r="JS890" s="2140"/>
      <c r="JT890" s="2140"/>
      <c r="JU890" s="2140"/>
      <c r="JV890" s="2140"/>
      <c r="JW890" s="2140"/>
      <c r="JX890" s="2140"/>
      <c r="JY890" s="2140"/>
      <c r="JZ890" s="2140"/>
      <c r="KA890" s="2140"/>
      <c r="KB890" s="2140"/>
      <c r="KC890" s="2140"/>
      <c r="KD890" s="2140"/>
      <c r="KE890" s="2140"/>
      <c r="KF890" s="2140"/>
      <c r="KG890" s="2140"/>
      <c r="KH890" s="2140"/>
      <c r="KI890" s="2140"/>
      <c r="KJ890" s="2140"/>
      <c r="KK890" s="2140"/>
      <c r="KL890" s="2140"/>
      <c r="KM890" s="2140"/>
      <c r="KN890" s="2140"/>
      <c r="KO890" s="2140"/>
      <c r="KP890" s="2140"/>
      <c r="KQ890" s="2140"/>
      <c r="KR890" s="2140"/>
      <c r="KS890" s="2140"/>
      <c r="KT890" s="2140"/>
      <c r="KU890" s="2140"/>
      <c r="KV890" s="2140"/>
      <c r="KW890" s="2140"/>
      <c r="KX890" s="2140"/>
      <c r="KY890" s="2140"/>
      <c r="KZ890" s="2140"/>
      <c r="LA890" s="2140"/>
      <c r="LB890" s="2140"/>
      <c r="LC890" s="2140"/>
      <c r="LD890" s="2140"/>
      <c r="LE890" s="2140"/>
      <c r="LF890" s="2140"/>
      <c r="LG890" s="2140"/>
      <c r="LH890" s="2140"/>
      <c r="LI890" s="2140"/>
      <c r="LJ890" s="2140"/>
      <c r="LK890" s="2140"/>
      <c r="LL890" s="2140"/>
      <c r="LM890" s="2140"/>
      <c r="LN890" s="2140"/>
      <c r="LO890" s="2140"/>
      <c r="LP890" s="2140"/>
      <c r="LQ890" s="2140"/>
      <c r="LR890" s="2140"/>
      <c r="LS890" s="2140"/>
      <c r="LT890" s="2140"/>
      <c r="LU890" s="2140"/>
      <c r="LV890" s="2140"/>
      <c r="LW890" s="2140"/>
      <c r="LX890" s="2140"/>
      <c r="LY890" s="2140"/>
      <c r="LZ890" s="2140"/>
      <c r="MA890" s="2140"/>
      <c r="MB890" s="2140"/>
      <c r="MC890" s="2140"/>
      <c r="MD890" s="2140"/>
      <c r="ME890" s="2140"/>
      <c r="NP890" s="1924" t="s">
        <v>6759</v>
      </c>
    </row>
    <row r="891" spans="1:380" s="1852" customFormat="1" ht="12" customHeight="1">
      <c r="A891" s="1864" t="s">
        <v>7134</v>
      </c>
      <c r="B891" s="2084"/>
      <c r="C891" s="2084"/>
      <c r="D891" s="2084"/>
      <c r="E891" s="2084"/>
      <c r="F891" s="2084"/>
      <c r="G891" s="2084"/>
      <c r="H891" s="2084"/>
      <c r="I891" s="2084"/>
      <c r="J891" s="2084"/>
      <c r="K891" s="2084"/>
      <c r="L891" s="2084"/>
      <c r="M891" s="2084"/>
      <c r="N891" s="2084"/>
      <c r="O891" s="2084"/>
      <c r="P891" s="2084"/>
      <c r="Q891" s="2084"/>
      <c r="R891" s="1944"/>
      <c r="S891" s="1818"/>
      <c r="T891" s="1818"/>
      <c r="U891" s="1818"/>
      <c r="V891" s="1818"/>
      <c r="W891" s="2140"/>
      <c r="X891" s="2140"/>
      <c r="Y891" s="2140"/>
      <c r="Z891" s="2140"/>
      <c r="AA891" s="2140"/>
      <c r="AB891" s="2140"/>
      <c r="AC891" s="2140"/>
      <c r="AD891" s="2140"/>
      <c r="AE891" s="2140"/>
      <c r="AF891" s="2140"/>
      <c r="AG891" s="2140"/>
      <c r="AH891" s="2140"/>
      <c r="AI891" s="2140"/>
      <c r="AJ891" s="2140"/>
      <c r="AK891" s="2140"/>
      <c r="AL891" s="2140"/>
      <c r="AM891" s="2140"/>
      <c r="AN891" s="2140"/>
      <c r="AO891" s="2140"/>
      <c r="AP891" s="2140"/>
      <c r="AQ891" s="2140"/>
      <c r="AR891" s="2140"/>
      <c r="AS891" s="2140"/>
      <c r="AT891" s="2140"/>
      <c r="AU891" s="2140"/>
      <c r="AV891" s="2140"/>
      <c r="AW891" s="2140"/>
      <c r="AX891" s="2140"/>
      <c r="AY891" s="2140"/>
      <c r="AZ891" s="2140"/>
      <c r="BA891" s="2140"/>
      <c r="BB891" s="2140"/>
      <c r="BC891" s="2140"/>
      <c r="BD891" s="2140"/>
      <c r="BE891" s="2140"/>
      <c r="BF891" s="2140"/>
      <c r="BG891" s="2140"/>
      <c r="BH891" s="2140"/>
      <c r="BI891" s="2140"/>
      <c r="BJ891" s="2140"/>
      <c r="BK891" s="2140"/>
      <c r="BL891" s="2140"/>
      <c r="BM891" s="2140"/>
      <c r="BN891" s="2140"/>
      <c r="BO891" s="2140"/>
      <c r="BP891" s="2140"/>
      <c r="BQ891" s="2140"/>
      <c r="BR891" s="2140"/>
      <c r="BS891" s="2140"/>
      <c r="BT891" s="2140"/>
      <c r="BU891" s="2140"/>
      <c r="BV891" s="2140"/>
      <c r="BW891" s="2140"/>
      <c r="BX891" s="2140"/>
      <c r="BY891" s="2140"/>
      <c r="BZ891" s="2140"/>
      <c r="CA891" s="2140"/>
      <c r="CB891" s="2140"/>
      <c r="CC891" s="2140"/>
      <c r="CD891" s="2140"/>
      <c r="CE891" s="2140"/>
      <c r="CF891" s="2140"/>
      <c r="CG891" s="2140"/>
      <c r="CH891" s="2140"/>
      <c r="CI891" s="2140"/>
      <c r="CJ891" s="2140"/>
      <c r="CK891" s="2140"/>
      <c r="CL891" s="2140"/>
      <c r="CM891" s="2140"/>
      <c r="CN891" s="2140"/>
      <c r="CO891" s="2140"/>
      <c r="CP891" s="2140"/>
      <c r="CQ891" s="2140"/>
      <c r="CR891" s="2140"/>
      <c r="CS891" s="2140"/>
      <c r="CT891" s="2140"/>
      <c r="CU891" s="2140"/>
      <c r="CV891" s="2140"/>
      <c r="CW891" s="2140"/>
      <c r="CX891" s="2140"/>
      <c r="CY891" s="2140"/>
      <c r="CZ891" s="2140"/>
      <c r="DA891" s="2140"/>
      <c r="DB891" s="2140"/>
      <c r="DC891" s="2140"/>
      <c r="DD891" s="2140"/>
      <c r="DE891" s="2140"/>
      <c r="DF891" s="2140"/>
      <c r="DG891" s="2140"/>
      <c r="DH891" s="2140"/>
      <c r="DI891" s="2140"/>
      <c r="DJ891" s="2140"/>
      <c r="DK891" s="2140"/>
      <c r="DL891" s="2140"/>
      <c r="DM891" s="2140"/>
      <c r="DN891" s="2140"/>
      <c r="DO891" s="2140"/>
      <c r="DP891" s="2140"/>
      <c r="DQ891" s="2140"/>
      <c r="DR891" s="2140"/>
      <c r="DS891" s="2140"/>
      <c r="DT891" s="2140"/>
      <c r="DU891" s="2140"/>
      <c r="DV891" s="2140"/>
      <c r="DW891" s="2140"/>
      <c r="DX891" s="2140"/>
      <c r="DY891" s="2140"/>
      <c r="DZ891" s="2140"/>
      <c r="EA891" s="2140"/>
      <c r="EB891" s="2140"/>
      <c r="EC891" s="2140"/>
      <c r="ED891" s="2140"/>
      <c r="EE891" s="2140"/>
      <c r="EF891" s="2140"/>
      <c r="EG891" s="2140"/>
      <c r="EH891" s="2140"/>
      <c r="EI891" s="2140"/>
      <c r="EJ891" s="2140"/>
      <c r="EK891" s="2140"/>
      <c r="EL891" s="2140"/>
      <c r="EM891" s="2140"/>
      <c r="EN891" s="2140"/>
      <c r="EO891" s="2140"/>
      <c r="EP891" s="2140"/>
      <c r="EQ891" s="2140"/>
      <c r="ER891" s="2140"/>
      <c r="ES891" s="2140"/>
      <c r="ET891" s="2140"/>
      <c r="EU891" s="2140"/>
      <c r="EV891" s="2140"/>
      <c r="EW891" s="2140"/>
      <c r="EX891" s="2140"/>
      <c r="EY891" s="2140"/>
      <c r="EZ891" s="2140"/>
      <c r="FA891" s="2140"/>
      <c r="FB891" s="2140"/>
      <c r="FC891" s="2140"/>
      <c r="FD891" s="2140"/>
      <c r="FE891" s="2140"/>
      <c r="FF891" s="2140"/>
      <c r="FG891" s="2140"/>
      <c r="FH891" s="2140"/>
      <c r="FI891" s="2140"/>
      <c r="FJ891" s="2140"/>
      <c r="FK891" s="2140"/>
      <c r="FL891" s="2140"/>
      <c r="FM891" s="2140"/>
      <c r="FN891" s="2140"/>
      <c r="FO891" s="2140"/>
      <c r="FP891" s="2140"/>
      <c r="FQ891" s="2140"/>
      <c r="FR891" s="2140"/>
      <c r="FS891" s="2140"/>
      <c r="FT891" s="2140"/>
      <c r="FU891" s="2140"/>
      <c r="FV891" s="2140"/>
      <c r="FW891" s="2140"/>
      <c r="FX891" s="2140"/>
      <c r="FY891" s="2140"/>
      <c r="FZ891" s="2140"/>
      <c r="GA891" s="2140"/>
      <c r="GB891" s="2140"/>
      <c r="GC891" s="2140"/>
      <c r="GD891" s="2140"/>
      <c r="GE891" s="2140"/>
      <c r="GF891" s="2140"/>
      <c r="GG891" s="2140"/>
      <c r="GH891" s="2140"/>
      <c r="GI891" s="2140"/>
      <c r="GJ891" s="2140"/>
      <c r="GK891" s="2140"/>
      <c r="GL891" s="2140"/>
      <c r="GM891" s="2140"/>
      <c r="GN891" s="2140"/>
      <c r="GO891" s="2140"/>
      <c r="GP891" s="2140"/>
      <c r="GQ891" s="2140"/>
      <c r="GR891" s="2140"/>
      <c r="GS891" s="2140"/>
      <c r="GT891" s="2140"/>
      <c r="GU891" s="2140"/>
      <c r="GV891" s="2140"/>
      <c r="GW891" s="2140"/>
      <c r="GX891" s="2140"/>
      <c r="GY891" s="2140"/>
      <c r="GZ891" s="2140"/>
      <c r="HA891" s="2140"/>
      <c r="HB891" s="2140"/>
      <c r="HC891" s="2140"/>
      <c r="HD891" s="2140"/>
      <c r="HE891" s="2140"/>
      <c r="HF891" s="2140"/>
      <c r="HG891" s="2140"/>
      <c r="HH891" s="2140"/>
      <c r="HI891" s="2140"/>
      <c r="HJ891" s="2140"/>
      <c r="HK891" s="2140"/>
      <c r="HL891" s="2140"/>
      <c r="HM891" s="2140"/>
      <c r="HN891" s="2140"/>
      <c r="HO891" s="2140"/>
      <c r="HP891" s="2140"/>
      <c r="HQ891" s="2140"/>
      <c r="HR891" s="2140"/>
      <c r="HS891" s="2140"/>
      <c r="HT891" s="2140"/>
      <c r="HU891" s="2140"/>
      <c r="HV891" s="2140"/>
      <c r="HW891" s="2140"/>
      <c r="HX891" s="2140"/>
      <c r="HY891" s="2140"/>
      <c r="HZ891" s="2140"/>
      <c r="IA891" s="2140"/>
      <c r="IB891" s="2140"/>
      <c r="IC891" s="2140"/>
      <c r="ID891" s="2140"/>
      <c r="IE891" s="2140"/>
      <c r="IF891" s="2140"/>
      <c r="IG891" s="2140"/>
      <c r="IH891" s="2140"/>
      <c r="II891" s="2140"/>
      <c r="IJ891" s="2140"/>
      <c r="IK891" s="2140"/>
      <c r="IL891" s="2140"/>
      <c r="IM891" s="2140"/>
      <c r="IN891" s="2140"/>
      <c r="IO891" s="2140"/>
      <c r="IP891" s="2140"/>
      <c r="IQ891" s="2140"/>
      <c r="IR891" s="2140"/>
      <c r="IS891" s="2140"/>
      <c r="IT891" s="2140"/>
      <c r="IU891" s="2140"/>
      <c r="IV891" s="2140"/>
      <c r="IW891" s="2140"/>
      <c r="IX891" s="2140"/>
      <c r="IY891" s="2140"/>
      <c r="IZ891" s="2140"/>
      <c r="JA891" s="2140"/>
      <c r="JB891" s="2140"/>
      <c r="JC891" s="2140"/>
      <c r="JD891" s="2140"/>
      <c r="JE891" s="2140"/>
      <c r="JF891" s="2140"/>
      <c r="JG891" s="2140"/>
      <c r="JH891" s="2140"/>
      <c r="JI891" s="2140"/>
      <c r="JJ891" s="2140"/>
      <c r="JK891" s="2140"/>
      <c r="JL891" s="2140"/>
      <c r="JM891" s="2140"/>
      <c r="JN891" s="2140"/>
      <c r="JO891" s="2140"/>
      <c r="JP891" s="2140"/>
      <c r="JQ891" s="2140"/>
      <c r="JR891" s="2140"/>
      <c r="JS891" s="2140"/>
      <c r="JT891" s="2140"/>
      <c r="JU891" s="2140"/>
      <c r="JV891" s="2140"/>
      <c r="JW891" s="2140"/>
      <c r="JX891" s="2140"/>
      <c r="JY891" s="2140"/>
      <c r="JZ891" s="2140"/>
      <c r="KA891" s="2140"/>
      <c r="KB891" s="2140"/>
      <c r="KC891" s="2140"/>
      <c r="KD891" s="2140"/>
      <c r="KE891" s="2140"/>
      <c r="KF891" s="2140"/>
      <c r="KG891" s="2140"/>
      <c r="KH891" s="2140"/>
      <c r="KI891" s="2140"/>
      <c r="KJ891" s="2140"/>
      <c r="KK891" s="2140"/>
      <c r="KL891" s="2140"/>
      <c r="KM891" s="2140"/>
      <c r="KN891" s="2140"/>
      <c r="KO891" s="2140"/>
      <c r="KP891" s="2140"/>
      <c r="KQ891" s="2140"/>
      <c r="KR891" s="2140"/>
      <c r="KS891" s="2140"/>
      <c r="KT891" s="2140"/>
      <c r="KU891" s="2140"/>
      <c r="KV891" s="2140"/>
      <c r="KW891" s="2140"/>
      <c r="KX891" s="2140"/>
      <c r="KY891" s="2140"/>
      <c r="KZ891" s="2140"/>
      <c r="LA891" s="2140"/>
      <c r="LB891" s="2140"/>
      <c r="LC891" s="2140"/>
      <c r="LD891" s="2140"/>
      <c r="LE891" s="2140"/>
      <c r="LF891" s="2140"/>
      <c r="LG891" s="2140"/>
      <c r="LH891" s="2140"/>
      <c r="LI891" s="2140"/>
      <c r="LJ891" s="2140"/>
      <c r="LK891" s="2140"/>
      <c r="LL891" s="2140"/>
      <c r="LM891" s="2140"/>
      <c r="LN891" s="2140"/>
      <c r="LO891" s="2140"/>
      <c r="LP891" s="2140"/>
      <c r="LQ891" s="2140"/>
      <c r="LR891" s="2140"/>
      <c r="LS891" s="2140"/>
      <c r="LT891" s="2140"/>
      <c r="LU891" s="2140"/>
      <c r="LV891" s="2140"/>
      <c r="LW891" s="2140"/>
      <c r="LX891" s="2140"/>
      <c r="LY891" s="2140"/>
      <c r="LZ891" s="2140"/>
      <c r="MA891" s="2140"/>
      <c r="MB891" s="2140"/>
      <c r="MC891" s="2140"/>
      <c r="MD891" s="2140"/>
      <c r="ME891" s="2140"/>
      <c r="NP891" s="1924"/>
    </row>
    <row r="892" spans="1:380" s="1852" customFormat="1" ht="12" customHeight="1">
      <c r="A892" s="2084"/>
      <c r="B892" s="2084"/>
      <c r="C892" s="2084"/>
      <c r="D892" s="2084"/>
      <c r="E892" s="2084"/>
      <c r="F892" s="2084"/>
      <c r="G892" s="2084"/>
      <c r="H892" s="2084"/>
      <c r="I892" s="2084"/>
      <c r="J892" s="2084"/>
      <c r="K892" s="2084"/>
      <c r="L892" s="2084"/>
      <c r="M892" s="2084"/>
      <c r="N892" s="2084"/>
      <c r="O892" s="2084"/>
      <c r="P892" s="2084"/>
      <c r="Q892" s="2084"/>
      <c r="R892" s="1944"/>
      <c r="S892" s="1818"/>
      <c r="T892" s="1818"/>
      <c r="U892" s="1818"/>
      <c r="V892" s="1818"/>
      <c r="W892" s="2140"/>
      <c r="X892" s="2140"/>
      <c r="Y892" s="2140"/>
      <c r="Z892" s="2140"/>
      <c r="AA892" s="2140"/>
      <c r="AB892" s="2140"/>
      <c r="AC892" s="2140"/>
      <c r="AD892" s="2140"/>
      <c r="AE892" s="2140"/>
      <c r="AF892" s="2140"/>
      <c r="AG892" s="2140"/>
      <c r="AH892" s="2140"/>
      <c r="AI892" s="2140"/>
      <c r="AJ892" s="2140"/>
      <c r="AK892" s="2140"/>
      <c r="AL892" s="2140"/>
      <c r="AM892" s="2140"/>
      <c r="AN892" s="2140"/>
      <c r="AO892" s="2140"/>
      <c r="AP892" s="2140"/>
      <c r="AQ892" s="2140"/>
      <c r="AR892" s="2140"/>
      <c r="AS892" s="2140"/>
      <c r="AT892" s="2140"/>
      <c r="AU892" s="2140"/>
      <c r="AV892" s="2140"/>
      <c r="AW892" s="2140"/>
      <c r="AX892" s="2140"/>
      <c r="AY892" s="2140"/>
      <c r="AZ892" s="2140"/>
      <c r="BA892" s="2140"/>
      <c r="BB892" s="2140"/>
      <c r="BC892" s="2140"/>
      <c r="BD892" s="2140"/>
      <c r="BE892" s="2140"/>
      <c r="BF892" s="2140"/>
      <c r="BG892" s="2140"/>
      <c r="BH892" s="2140"/>
      <c r="BI892" s="2140"/>
      <c r="BJ892" s="2140"/>
      <c r="BK892" s="2140"/>
      <c r="BL892" s="2140"/>
      <c r="BM892" s="2140"/>
      <c r="BN892" s="2140"/>
      <c r="BO892" s="2140"/>
      <c r="BP892" s="2140"/>
      <c r="BQ892" s="2140"/>
      <c r="BR892" s="2140"/>
      <c r="BS892" s="2140"/>
      <c r="BT892" s="2140"/>
      <c r="BU892" s="2140"/>
      <c r="BV892" s="2140"/>
      <c r="BW892" s="2140"/>
      <c r="BX892" s="2140"/>
      <c r="BY892" s="2140"/>
      <c r="BZ892" s="2140"/>
      <c r="CA892" s="2140"/>
      <c r="CB892" s="2140"/>
      <c r="CC892" s="2140"/>
      <c r="CD892" s="2140"/>
      <c r="CE892" s="2140"/>
      <c r="CF892" s="2140"/>
      <c r="CG892" s="2140"/>
      <c r="CH892" s="2140"/>
      <c r="CI892" s="2140"/>
      <c r="CJ892" s="2140"/>
      <c r="CK892" s="2140"/>
      <c r="CL892" s="2140"/>
      <c r="CM892" s="2140"/>
      <c r="CN892" s="2140"/>
      <c r="CO892" s="2140"/>
      <c r="CP892" s="2140"/>
      <c r="CQ892" s="2140"/>
      <c r="CR892" s="2140"/>
      <c r="CS892" s="2140"/>
      <c r="CT892" s="2140"/>
      <c r="CU892" s="2140"/>
      <c r="CV892" s="2140"/>
      <c r="CW892" s="2140"/>
      <c r="CX892" s="2140"/>
      <c r="CY892" s="2140"/>
      <c r="CZ892" s="2140"/>
      <c r="DA892" s="2140"/>
      <c r="DB892" s="2140"/>
      <c r="DC892" s="2140"/>
      <c r="DD892" s="2140"/>
      <c r="DE892" s="2140"/>
      <c r="DF892" s="2140"/>
      <c r="DG892" s="2140"/>
      <c r="DH892" s="2140"/>
      <c r="DI892" s="2140"/>
      <c r="DJ892" s="2140"/>
      <c r="DK892" s="2140"/>
      <c r="DL892" s="2140"/>
      <c r="DM892" s="2140"/>
      <c r="DN892" s="2140"/>
      <c r="DO892" s="2140"/>
      <c r="DP892" s="2140"/>
      <c r="DQ892" s="2140"/>
      <c r="DR892" s="2140"/>
      <c r="DS892" s="2140"/>
      <c r="DT892" s="2140"/>
      <c r="DU892" s="2140"/>
      <c r="DV892" s="2140"/>
      <c r="DW892" s="2140"/>
      <c r="DX892" s="2140"/>
      <c r="DY892" s="2140"/>
      <c r="DZ892" s="2140"/>
      <c r="EA892" s="2140"/>
      <c r="EB892" s="2140"/>
      <c r="EC892" s="2140"/>
      <c r="ED892" s="2140"/>
      <c r="EE892" s="2140"/>
      <c r="EF892" s="2140"/>
      <c r="EG892" s="2140"/>
      <c r="EH892" s="2140"/>
      <c r="EI892" s="2140"/>
      <c r="EJ892" s="2140"/>
      <c r="EK892" s="2140"/>
      <c r="EL892" s="2140"/>
      <c r="EM892" s="2140"/>
      <c r="EN892" s="2140"/>
      <c r="EO892" s="2140"/>
      <c r="EP892" s="2140"/>
      <c r="EQ892" s="2140"/>
      <c r="ER892" s="2140"/>
      <c r="ES892" s="2140"/>
      <c r="ET892" s="2140"/>
      <c r="EU892" s="2140"/>
      <c r="EV892" s="2140"/>
      <c r="EW892" s="2140"/>
      <c r="EX892" s="2140"/>
      <c r="EY892" s="2140"/>
      <c r="EZ892" s="2140"/>
      <c r="FA892" s="2140"/>
      <c r="FB892" s="2140"/>
      <c r="FC892" s="2140"/>
      <c r="FD892" s="2140"/>
      <c r="FE892" s="2140"/>
      <c r="FF892" s="2140"/>
      <c r="FG892" s="2140"/>
      <c r="FH892" s="2140"/>
      <c r="FI892" s="2140"/>
      <c r="FJ892" s="2140"/>
      <c r="FK892" s="2140"/>
      <c r="FL892" s="2140"/>
      <c r="FM892" s="2140"/>
      <c r="FN892" s="2140"/>
      <c r="FO892" s="2140"/>
      <c r="FP892" s="2140"/>
      <c r="FQ892" s="2140"/>
      <c r="FR892" s="2140"/>
      <c r="FS892" s="2140"/>
      <c r="FT892" s="2140"/>
      <c r="FU892" s="2140"/>
      <c r="FV892" s="2140"/>
      <c r="FW892" s="2140"/>
      <c r="FX892" s="2140"/>
      <c r="FY892" s="2140"/>
      <c r="FZ892" s="2140"/>
      <c r="GA892" s="2140"/>
      <c r="GB892" s="2140"/>
      <c r="GC892" s="2140"/>
      <c r="GD892" s="2140"/>
      <c r="GE892" s="2140"/>
      <c r="GF892" s="2140"/>
      <c r="GG892" s="2140"/>
      <c r="GH892" s="2140"/>
      <c r="GI892" s="2140"/>
      <c r="GJ892" s="2140"/>
      <c r="GK892" s="2140"/>
      <c r="GL892" s="2140"/>
      <c r="GM892" s="2140"/>
      <c r="GN892" s="2140"/>
      <c r="GO892" s="2140"/>
      <c r="GP892" s="2140"/>
      <c r="GQ892" s="2140"/>
      <c r="GR892" s="2140"/>
      <c r="GS892" s="2140"/>
      <c r="GT892" s="2140"/>
      <c r="GU892" s="2140"/>
      <c r="GV892" s="2140"/>
      <c r="GW892" s="2140"/>
      <c r="GX892" s="2140"/>
      <c r="GY892" s="2140"/>
      <c r="GZ892" s="2140"/>
      <c r="HA892" s="2140"/>
      <c r="HB892" s="2140"/>
      <c r="HC892" s="2140"/>
      <c r="HD892" s="2140"/>
      <c r="HE892" s="2140"/>
      <c r="HF892" s="2140"/>
      <c r="HG892" s="2140"/>
      <c r="HH892" s="2140"/>
      <c r="HI892" s="2140"/>
      <c r="HJ892" s="2140"/>
      <c r="HK892" s="2140"/>
      <c r="HL892" s="2140"/>
      <c r="HM892" s="2140"/>
      <c r="HN892" s="2140"/>
      <c r="HO892" s="2140"/>
      <c r="HP892" s="2140"/>
      <c r="HQ892" s="2140"/>
      <c r="HR892" s="2140"/>
      <c r="HS892" s="2140"/>
      <c r="HT892" s="2140"/>
      <c r="HU892" s="2140"/>
      <c r="HV892" s="2140"/>
      <c r="HW892" s="2140"/>
      <c r="HX892" s="2140"/>
      <c r="HY892" s="2140"/>
      <c r="HZ892" s="2140"/>
      <c r="IA892" s="2140"/>
      <c r="IB892" s="2140"/>
      <c r="IC892" s="2140"/>
      <c r="ID892" s="2140"/>
      <c r="IE892" s="2140"/>
      <c r="IF892" s="2140"/>
      <c r="IG892" s="2140"/>
      <c r="IH892" s="2140"/>
      <c r="II892" s="2140"/>
      <c r="IJ892" s="2140"/>
      <c r="IK892" s="2140"/>
      <c r="IL892" s="2140"/>
      <c r="IM892" s="2140"/>
      <c r="IN892" s="2140"/>
      <c r="IO892" s="2140"/>
      <c r="IP892" s="2140"/>
      <c r="IQ892" s="2140"/>
      <c r="IR892" s="2140"/>
      <c r="IS892" s="2140"/>
      <c r="IT892" s="2140"/>
      <c r="IU892" s="2140"/>
      <c r="IV892" s="2140"/>
      <c r="IW892" s="2140"/>
      <c r="IX892" s="2140"/>
      <c r="IY892" s="2140"/>
      <c r="IZ892" s="2140"/>
      <c r="JA892" s="2140"/>
      <c r="JB892" s="2140"/>
      <c r="JC892" s="2140"/>
      <c r="JD892" s="2140"/>
      <c r="JE892" s="2140"/>
      <c r="JF892" s="2140"/>
      <c r="JG892" s="2140"/>
      <c r="JH892" s="2140"/>
      <c r="JI892" s="2140"/>
      <c r="JJ892" s="2140"/>
      <c r="JK892" s="2140"/>
      <c r="JL892" s="2140"/>
      <c r="JM892" s="2140"/>
      <c r="JN892" s="2140"/>
      <c r="JO892" s="2140"/>
      <c r="JP892" s="2140"/>
      <c r="JQ892" s="2140"/>
      <c r="JR892" s="2140"/>
      <c r="JS892" s="2140"/>
      <c r="JT892" s="2140"/>
      <c r="JU892" s="2140"/>
      <c r="JV892" s="2140"/>
      <c r="JW892" s="2140"/>
      <c r="JX892" s="2140"/>
      <c r="JY892" s="2140"/>
      <c r="JZ892" s="2140"/>
      <c r="KA892" s="2140"/>
      <c r="KB892" s="2140"/>
      <c r="KC892" s="2140"/>
      <c r="KD892" s="2140"/>
      <c r="KE892" s="2140"/>
      <c r="KF892" s="2140"/>
      <c r="KG892" s="2140"/>
      <c r="KH892" s="2140"/>
      <c r="KI892" s="2140"/>
      <c r="KJ892" s="2140"/>
      <c r="KK892" s="2140"/>
      <c r="KL892" s="2140"/>
      <c r="KM892" s="2140"/>
      <c r="KN892" s="2140"/>
      <c r="KO892" s="2140"/>
      <c r="KP892" s="2140"/>
      <c r="KQ892" s="2140"/>
      <c r="KR892" s="2140"/>
      <c r="KS892" s="2140"/>
      <c r="KT892" s="2140"/>
      <c r="KU892" s="2140"/>
      <c r="KV892" s="2140"/>
      <c r="KW892" s="2140"/>
      <c r="KX892" s="2140"/>
      <c r="KY892" s="2140"/>
      <c r="KZ892" s="2140"/>
      <c r="LA892" s="2140"/>
      <c r="LB892" s="2140"/>
      <c r="LC892" s="2140"/>
      <c r="LD892" s="2140"/>
      <c r="LE892" s="2140"/>
      <c r="LF892" s="2140"/>
      <c r="LG892" s="2140"/>
      <c r="LH892" s="2140"/>
      <c r="LI892" s="2140"/>
      <c r="LJ892" s="2140"/>
      <c r="LK892" s="2140"/>
      <c r="LL892" s="2140"/>
      <c r="LM892" s="2140"/>
      <c r="LN892" s="2140"/>
      <c r="LO892" s="2140"/>
      <c r="LP892" s="2140"/>
      <c r="LQ892" s="2140"/>
      <c r="LR892" s="2140"/>
      <c r="LS892" s="2140"/>
      <c r="LT892" s="2140"/>
      <c r="LU892" s="2140"/>
      <c r="LV892" s="2140"/>
      <c r="LW892" s="2140"/>
      <c r="LX892" s="2140"/>
      <c r="LY892" s="2140"/>
      <c r="LZ892" s="2140"/>
      <c r="MA892" s="2140"/>
      <c r="MB892" s="2140"/>
      <c r="MC892" s="2140"/>
      <c r="MD892" s="2140"/>
      <c r="ME892" s="2140"/>
      <c r="NP892" s="1924"/>
    </row>
    <row r="893" spans="1:380" s="1852" customFormat="1" ht="14.45" customHeight="1">
      <c r="A893" s="1852" t="s">
        <v>710</v>
      </c>
      <c r="B893" s="1852" t="s">
        <v>508</v>
      </c>
      <c r="L893" s="2149" t="str">
        <f>'Part I-Project Information'!$K$94</f>
        <v>Income Averaging</v>
      </c>
      <c r="M893" s="2149"/>
      <c r="N893" s="2149"/>
      <c r="O893" s="2149"/>
      <c r="S893" s="1818" t="str">
        <f>B893</f>
        <v>UNIT SUMMARY</v>
      </c>
      <c r="T893" s="1818"/>
      <c r="U893" s="1818"/>
      <c r="V893" s="1818"/>
      <c r="AY893" s="1818"/>
      <c r="BD893" s="1818"/>
      <c r="JW893" s="2051"/>
      <c r="KB893" s="2051"/>
      <c r="KG893" s="2051"/>
      <c r="KL893" s="2051"/>
      <c r="KM893" s="2051"/>
      <c r="KN893" s="2051"/>
      <c r="KO893" s="2051"/>
      <c r="KP893" s="2051"/>
      <c r="KQ893" s="2051"/>
      <c r="KR893" s="2051"/>
      <c r="KS893" s="2051"/>
      <c r="KT893" s="2051"/>
      <c r="KU893" s="2051"/>
      <c r="KV893" s="2051"/>
      <c r="KW893" s="2051"/>
      <c r="KX893" s="2051"/>
      <c r="KY893" s="2051"/>
      <c r="KZ893" s="2051"/>
      <c r="LA893" s="2051"/>
      <c r="LB893" s="2051"/>
      <c r="LC893" s="2051"/>
      <c r="LD893" s="2051"/>
      <c r="LE893" s="2051"/>
      <c r="LF893" s="2051"/>
      <c r="LG893" s="2051"/>
      <c r="NP893" s="1924"/>
    </row>
    <row r="894" spans="1:380" s="1852" customFormat="1" ht="6" customHeight="1">
      <c r="U894" s="2150"/>
      <c r="AY894" s="1818"/>
      <c r="BD894" s="1818"/>
      <c r="JW894" s="2051"/>
      <c r="KB894" s="2051"/>
      <c r="KG894" s="2051"/>
      <c r="KL894" s="2051"/>
      <c r="KM894" s="2051"/>
      <c r="KN894" s="2051"/>
      <c r="KO894" s="2051"/>
      <c r="KP894" s="2051"/>
      <c r="KQ894" s="2051"/>
      <c r="KR894" s="2051"/>
      <c r="KS894" s="2051"/>
      <c r="KT894" s="2051"/>
      <c r="KU894" s="2051"/>
      <c r="KV894" s="2051"/>
      <c r="KW894" s="2051"/>
      <c r="KX894" s="2051"/>
      <c r="KY894" s="2051"/>
      <c r="KZ894" s="2051"/>
      <c r="LA894" s="2051"/>
      <c r="LB894" s="2051"/>
      <c r="LC894" s="2051"/>
      <c r="LD894" s="2051"/>
      <c r="LE894" s="2051"/>
      <c r="LF894" s="2051"/>
      <c r="LG894" s="2051"/>
      <c r="NP894" s="1924"/>
    </row>
    <row r="895" spans="1:380" s="1852" customFormat="1" ht="14.45" customHeight="1">
      <c r="B895" s="1852" t="s">
        <v>6823</v>
      </c>
      <c r="H895" s="1852" t="s">
        <v>1000</v>
      </c>
      <c r="K895" s="2151" t="s">
        <v>539</v>
      </c>
      <c r="L895" s="2151" t="s">
        <v>509</v>
      </c>
      <c r="M895" s="2151" t="s">
        <v>510</v>
      </c>
      <c r="N895" s="2151" t="s">
        <v>511</v>
      </c>
      <c r="O895" s="2151" t="s">
        <v>512</v>
      </c>
      <c r="P895" s="2151" t="s">
        <v>513</v>
      </c>
      <c r="S895" s="1852" t="s">
        <v>1761</v>
      </c>
      <c r="U895" s="2150"/>
      <c r="AR895" s="2151"/>
      <c r="AS895" s="2151"/>
      <c r="AT895" s="2151"/>
      <c r="AU895" s="2151"/>
      <c r="AV895" s="2151"/>
      <c r="AW895" s="2151"/>
      <c r="AY895" s="1818"/>
      <c r="BB895" s="2151"/>
      <c r="BD895" s="1818"/>
      <c r="JW895" s="2051"/>
      <c r="KB895" s="2051"/>
      <c r="KG895" s="2051"/>
      <c r="KL895" s="2051"/>
      <c r="KM895" s="2051"/>
      <c r="KN895" s="2051"/>
      <c r="KO895" s="2051"/>
      <c r="KP895" s="2051"/>
      <c r="KQ895" s="2051"/>
      <c r="KR895" s="2051"/>
      <c r="KS895" s="2051"/>
      <c r="KT895" s="2051"/>
      <c r="KU895" s="2051"/>
      <c r="KV895" s="2051"/>
      <c r="KW895" s="2051"/>
      <c r="KX895" s="2051"/>
      <c r="KY895" s="2051"/>
      <c r="KZ895" s="2051"/>
      <c r="LA895" s="2051"/>
      <c r="LB895" s="2051"/>
      <c r="LC895" s="2051"/>
      <c r="LD895" s="2051"/>
      <c r="LE895" s="2051"/>
      <c r="LF895" s="2051"/>
      <c r="LG895" s="2051"/>
      <c r="NP895" s="1924"/>
    </row>
    <row r="896" spans="1:380" s="1852" customFormat="1" ht="15" customHeight="1">
      <c r="A896" s="1843" t="s">
        <v>4286</v>
      </c>
      <c r="B896" s="1843"/>
      <c r="C896" s="1818" t="s">
        <v>1095</v>
      </c>
      <c r="D896" s="1818"/>
      <c r="E896" s="1818"/>
      <c r="F896" s="1818"/>
      <c r="H896" s="1719" t="s">
        <v>3832</v>
      </c>
      <c r="I896" s="435"/>
      <c r="K896" s="2152">
        <f>X889</f>
        <v>0</v>
      </c>
      <c r="L896" s="2152">
        <f>Y889</f>
        <v>0</v>
      </c>
      <c r="M896" s="2152">
        <f>Z889</f>
        <v>0</v>
      </c>
      <c r="N896" s="2152">
        <f>AA889</f>
        <v>0</v>
      </c>
      <c r="O896" s="2152">
        <f>AB889</f>
        <v>0</v>
      </c>
      <c r="P896" s="2152">
        <f t="shared" ref="P896:P907" si="343">SUM(K896:O896)</f>
        <v>0</v>
      </c>
      <c r="Q896" s="1864" t="s">
        <v>3310</v>
      </c>
      <c r="R896" s="2121"/>
      <c r="S896" s="2043"/>
      <c r="T896" s="2043"/>
      <c r="U896" s="2043"/>
      <c r="V896" s="2043"/>
      <c r="W896" s="2043"/>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1"/>
      <c r="KB896" s="2051"/>
      <c r="KG896" s="2051"/>
      <c r="KL896" s="2051"/>
      <c r="KM896" s="2051"/>
      <c r="KN896" s="2051"/>
      <c r="KO896" s="2051"/>
      <c r="KP896" s="2051"/>
      <c r="KQ896" s="2051"/>
      <c r="KR896" s="2051"/>
      <c r="KS896" s="2051"/>
      <c r="KT896" s="2051"/>
      <c r="KU896" s="2051"/>
      <c r="KV896" s="2051"/>
      <c r="KW896" s="2051"/>
      <c r="KX896" s="2051"/>
      <c r="KY896" s="2051"/>
      <c r="KZ896" s="2051"/>
      <c r="LA896" s="2051"/>
      <c r="LB896" s="2051"/>
      <c r="LC896" s="2051"/>
      <c r="LD896" s="2051"/>
      <c r="LE896" s="2051"/>
      <c r="LF896" s="2051"/>
      <c r="LG896" s="2051"/>
      <c r="NP896" s="1924"/>
    </row>
    <row r="897" spans="1:380" s="1852" customFormat="1" ht="15" customHeight="1">
      <c r="A897" s="1843"/>
      <c r="B897" s="1843"/>
      <c r="C897" s="1818"/>
      <c r="D897" s="1818"/>
      <c r="E897" s="1818"/>
      <c r="F897" s="1818"/>
      <c r="H897" s="1719" t="s">
        <v>3833</v>
      </c>
      <c r="I897" s="435"/>
      <c r="K897" s="2152">
        <f>AC889</f>
        <v>0</v>
      </c>
      <c r="L897" s="2152">
        <f>AD889</f>
        <v>2</v>
      </c>
      <c r="M897" s="2152">
        <f>AE889</f>
        <v>2</v>
      </c>
      <c r="N897" s="2152">
        <f>AF889</f>
        <v>2</v>
      </c>
      <c r="O897" s="2152">
        <f>AG889</f>
        <v>0</v>
      </c>
      <c r="P897" s="2152">
        <f t="shared" si="343"/>
        <v>6</v>
      </c>
      <c r="Q897" s="1864"/>
      <c r="R897" s="2121"/>
      <c r="S897" s="2043"/>
      <c r="T897" s="2043"/>
      <c r="U897" s="2043"/>
      <c r="V897" s="2043"/>
      <c r="W897" s="2043"/>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1"/>
      <c r="KB897" s="2051"/>
      <c r="KG897" s="2051"/>
      <c r="KL897" s="2051"/>
      <c r="KM897" s="2051"/>
      <c r="KN897" s="2051"/>
      <c r="KO897" s="2051"/>
      <c r="KP897" s="2051"/>
      <c r="KQ897" s="2051"/>
      <c r="KR897" s="2051"/>
      <c r="KS897" s="2051"/>
      <c r="KT897" s="2051"/>
      <c r="KU897" s="2051"/>
      <c r="KV897" s="2051"/>
      <c r="KW897" s="2051"/>
      <c r="KX897" s="2051"/>
      <c r="KY897" s="2051"/>
      <c r="KZ897" s="2051"/>
      <c r="LA897" s="2051"/>
      <c r="LB897" s="2051"/>
      <c r="LC897" s="2051"/>
      <c r="LD897" s="2051"/>
      <c r="LE897" s="2051"/>
      <c r="LF897" s="2051"/>
      <c r="LG897" s="2051"/>
      <c r="NP897" s="1924"/>
    </row>
    <row r="898" spans="1:380" s="1852" customFormat="1" ht="15" customHeight="1">
      <c r="A898" s="1843"/>
      <c r="B898" s="1843"/>
      <c r="C898" s="1818"/>
      <c r="D898" s="1818"/>
      <c r="E898" s="1818"/>
      <c r="F898" s="1818"/>
      <c r="H898" s="1719" t="s">
        <v>1107</v>
      </c>
      <c r="I898" s="435"/>
      <c r="K898" s="2152">
        <f>AH889</f>
        <v>0</v>
      </c>
      <c r="L898" s="2152">
        <f>AI889</f>
        <v>4</v>
      </c>
      <c r="M898" s="2152">
        <f>AJ889</f>
        <v>13</v>
      </c>
      <c r="N898" s="2152">
        <f>AK889</f>
        <v>6</v>
      </c>
      <c r="O898" s="2152">
        <f>AL889</f>
        <v>0</v>
      </c>
      <c r="P898" s="2152">
        <f t="shared" si="343"/>
        <v>23</v>
      </c>
      <c r="Q898" s="1864"/>
      <c r="R898" s="2121"/>
      <c r="S898" s="2043"/>
      <c r="T898" s="2043"/>
      <c r="U898" s="2043"/>
      <c r="V898" s="2043"/>
      <c r="W898" s="2043"/>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1"/>
      <c r="KB898" s="2051"/>
      <c r="KG898" s="2051"/>
      <c r="KL898" s="2051"/>
      <c r="KM898" s="2051"/>
      <c r="KN898" s="2051"/>
      <c r="KO898" s="2051"/>
      <c r="KP898" s="2051"/>
      <c r="KQ898" s="2051"/>
      <c r="KR898" s="2051"/>
      <c r="KS898" s="2051"/>
      <c r="KT898" s="2051"/>
      <c r="KU898" s="2051"/>
      <c r="KV898" s="2051"/>
      <c r="KW898" s="2051"/>
      <c r="KX898" s="2051"/>
      <c r="KY898" s="2051"/>
      <c r="KZ898" s="2051"/>
      <c r="LA898" s="2051"/>
      <c r="LB898" s="2051"/>
      <c r="LC898" s="2051"/>
      <c r="LD898" s="2051"/>
      <c r="LE898" s="2051"/>
      <c r="LF898" s="2051"/>
      <c r="LG898" s="2051"/>
      <c r="NP898" s="1924"/>
    </row>
    <row r="899" spans="1:380" s="1852" customFormat="1" ht="15" customHeight="1">
      <c r="A899" s="1843"/>
      <c r="B899" s="1843"/>
      <c r="C899" s="1818"/>
      <c r="D899" s="1818"/>
      <c r="E899" s="1818"/>
      <c r="F899" s="1818"/>
      <c r="H899" s="1719" t="s">
        <v>111</v>
      </c>
      <c r="I899" s="435"/>
      <c r="K899" s="2152">
        <f>AM889</f>
        <v>0</v>
      </c>
      <c r="L899" s="2152">
        <f>AN889</f>
        <v>6</v>
      </c>
      <c r="M899" s="2152">
        <f>AO889</f>
        <v>9</v>
      </c>
      <c r="N899" s="2152">
        <f>AP889</f>
        <v>4</v>
      </c>
      <c r="O899" s="2152">
        <f>AQ889</f>
        <v>0</v>
      </c>
      <c r="P899" s="2152">
        <f t="shared" si="343"/>
        <v>19</v>
      </c>
      <c r="Q899" s="1864"/>
      <c r="R899" s="2121"/>
      <c r="S899" s="2043"/>
      <c r="T899" s="2043"/>
      <c r="U899" s="2043"/>
      <c r="V899" s="2043"/>
      <c r="W899" s="2043"/>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1"/>
      <c r="KB899" s="2051"/>
      <c r="KG899" s="2051"/>
      <c r="KL899" s="2051"/>
      <c r="KM899" s="2051"/>
      <c r="KN899" s="2051"/>
      <c r="KO899" s="2051"/>
      <c r="KP899" s="2051"/>
      <c r="KQ899" s="2051"/>
      <c r="KR899" s="2051"/>
      <c r="KS899" s="2051"/>
      <c r="KT899" s="2051"/>
      <c r="KU899" s="2051"/>
      <c r="KV899" s="2051"/>
      <c r="KW899" s="2051"/>
      <c r="KX899" s="2051"/>
      <c r="KY899" s="2051"/>
      <c r="KZ899" s="2051"/>
      <c r="LA899" s="2051"/>
      <c r="LB899" s="2051"/>
      <c r="LC899" s="2051"/>
      <c r="LD899" s="2051"/>
      <c r="LE899" s="2051"/>
      <c r="LF899" s="2051"/>
      <c r="LG899" s="2051"/>
      <c r="NP899" s="1924"/>
    </row>
    <row r="900" spans="1:380" s="1852" customFormat="1" ht="15" customHeight="1">
      <c r="A900" s="1843"/>
      <c r="B900" s="1843"/>
      <c r="C900" s="1818"/>
      <c r="D900" s="1818"/>
      <c r="E900" s="1818"/>
      <c r="F900" s="1818"/>
      <c r="H900" s="1719" t="s">
        <v>3834</v>
      </c>
      <c r="I900" s="435"/>
      <c r="K900" s="2152">
        <f>AR889</f>
        <v>0</v>
      </c>
      <c r="L900" s="2152">
        <f>AS889</f>
        <v>0</v>
      </c>
      <c r="M900" s="2152">
        <f>AT889</f>
        <v>0</v>
      </c>
      <c r="N900" s="2152">
        <f>AU889</f>
        <v>0</v>
      </c>
      <c r="O900" s="2152">
        <f>AV889</f>
        <v>0</v>
      </c>
      <c r="P900" s="2152">
        <f t="shared" si="343"/>
        <v>0</v>
      </c>
      <c r="Q900" s="1864"/>
      <c r="R900" s="2121"/>
      <c r="S900" s="2043"/>
      <c r="T900" s="2043"/>
      <c r="U900" s="2043"/>
      <c r="V900" s="2043"/>
      <c r="W900" s="2043"/>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1"/>
      <c r="KB900" s="2051"/>
      <c r="KG900" s="2051"/>
      <c r="KL900" s="2051"/>
      <c r="KM900" s="2051"/>
      <c r="KN900" s="2051"/>
      <c r="KO900" s="2051"/>
      <c r="KP900" s="2051"/>
      <c r="KQ900" s="2051"/>
      <c r="KR900" s="2051"/>
      <c r="KS900" s="2051"/>
      <c r="KT900" s="2051"/>
      <c r="KU900" s="2051"/>
      <c r="KV900" s="2051"/>
      <c r="KW900" s="2051"/>
      <c r="KX900" s="2051"/>
      <c r="KY900" s="2051"/>
      <c r="KZ900" s="2051"/>
      <c r="LA900" s="2051"/>
      <c r="LB900" s="2051"/>
      <c r="LC900" s="2051"/>
      <c r="LD900" s="2051"/>
      <c r="LE900" s="2051"/>
      <c r="LF900" s="2051"/>
      <c r="LG900" s="2051"/>
      <c r="NP900" s="1924"/>
    </row>
    <row r="901" spans="1:380" s="1852" customFormat="1" ht="15" customHeight="1">
      <c r="A901" s="1843"/>
      <c r="B901" s="1843"/>
      <c r="C901" s="1818"/>
      <c r="D901" s="1818"/>
      <c r="E901" s="1818"/>
      <c r="F901" s="1818"/>
      <c r="H901" s="1719" t="s">
        <v>3835</v>
      </c>
      <c r="I901" s="435"/>
      <c r="K901" s="2152">
        <f>AW889</f>
        <v>0</v>
      </c>
      <c r="L901" s="2152">
        <f>AX889</f>
        <v>0</v>
      </c>
      <c r="M901" s="2152">
        <f>AY889</f>
        <v>0</v>
      </c>
      <c r="N901" s="2152">
        <f>AZ889</f>
        <v>0</v>
      </c>
      <c r="O901" s="2152">
        <f>BA889</f>
        <v>0</v>
      </c>
      <c r="P901" s="2152">
        <f t="shared" si="343"/>
        <v>0</v>
      </c>
      <c r="Q901" s="1864"/>
      <c r="R901" s="2121"/>
      <c r="S901" s="2043"/>
      <c r="T901" s="2043"/>
      <c r="U901" s="2043"/>
      <c r="V901" s="2043"/>
      <c r="W901" s="2043"/>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1"/>
      <c r="KB901" s="2051"/>
      <c r="KG901" s="2051"/>
      <c r="KL901" s="2051"/>
      <c r="KM901" s="2051"/>
      <c r="KN901" s="2051"/>
      <c r="KO901" s="2051"/>
      <c r="KP901" s="2051"/>
      <c r="KQ901" s="2051"/>
      <c r="KR901" s="2051"/>
      <c r="KS901" s="2051"/>
      <c r="KT901" s="2051"/>
      <c r="KU901" s="2051"/>
      <c r="KV901" s="2051"/>
      <c r="KW901" s="2051"/>
      <c r="KX901" s="2051"/>
      <c r="KY901" s="2051"/>
      <c r="KZ901" s="2051"/>
      <c r="LA901" s="2051"/>
      <c r="LB901" s="2051"/>
      <c r="LC901" s="2051"/>
      <c r="LD901" s="2051"/>
      <c r="LE901" s="2051"/>
      <c r="LF901" s="2051"/>
      <c r="LG901" s="2051"/>
      <c r="NP901" s="1924"/>
    </row>
    <row r="902" spans="1:380" s="1852" customFormat="1" ht="15" customHeight="1">
      <c r="A902" s="1843"/>
      <c r="B902" s="1843"/>
      <c r="C902" s="1818"/>
      <c r="D902" s="1818"/>
      <c r="E902" s="1818"/>
      <c r="F902" s="1818"/>
      <c r="H902" s="1719" t="s">
        <v>3836</v>
      </c>
      <c r="I902" s="435"/>
      <c r="K902" s="2152">
        <f>BB889</f>
        <v>0</v>
      </c>
      <c r="L902" s="2152">
        <f>BC889</f>
        <v>0</v>
      </c>
      <c r="M902" s="2152">
        <f>BD889</f>
        <v>0</v>
      </c>
      <c r="N902" s="2152">
        <f>BE889</f>
        <v>0</v>
      </c>
      <c r="O902" s="2152">
        <f>BF889</f>
        <v>0</v>
      </c>
      <c r="P902" s="2152">
        <f t="shared" si="343"/>
        <v>0</v>
      </c>
      <c r="Q902" s="1864"/>
      <c r="R902" s="2121"/>
      <c r="S902" s="2043"/>
      <c r="T902" s="2043"/>
      <c r="U902" s="2043"/>
      <c r="V902" s="2043"/>
      <c r="W902" s="2043"/>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1"/>
      <c r="KB902" s="2051"/>
      <c r="KG902" s="2051"/>
      <c r="KL902" s="2051"/>
      <c r="KM902" s="2051"/>
      <c r="KN902" s="2051"/>
      <c r="KO902" s="2051"/>
      <c r="KP902" s="2051"/>
      <c r="KQ902" s="2051"/>
      <c r="KR902" s="2051"/>
      <c r="KS902" s="2051"/>
      <c r="KT902" s="2051"/>
      <c r="KU902" s="2051"/>
      <c r="KV902" s="2051"/>
      <c r="KW902" s="2051"/>
      <c r="KX902" s="2051"/>
      <c r="KY902" s="2051"/>
      <c r="KZ902" s="2051"/>
      <c r="LA902" s="2051"/>
      <c r="LB902" s="2051"/>
      <c r="LC902" s="2051"/>
      <c r="LD902" s="2051"/>
      <c r="LE902" s="2051"/>
      <c r="LF902" s="2051"/>
      <c r="LG902" s="2051"/>
      <c r="NP902" s="1924"/>
    </row>
    <row r="903" spans="1:380" s="1852" customFormat="1" ht="15" customHeight="1">
      <c r="A903" s="1843"/>
      <c r="B903" s="1843"/>
      <c r="C903" s="1719" t="s">
        <v>3918</v>
      </c>
      <c r="D903" s="1818"/>
      <c r="E903" s="1818"/>
      <c r="F903" s="1818"/>
      <c r="H903" s="2114"/>
      <c r="I903" s="2112"/>
      <c r="K903" s="2152">
        <f>SUM(K896:K902)</f>
        <v>0</v>
      </c>
      <c r="L903" s="2152">
        <f>SUM(L896:L902)</f>
        <v>12</v>
      </c>
      <c r="M903" s="2152">
        <f>SUM(M896:M902)</f>
        <v>24</v>
      </c>
      <c r="N903" s="2152">
        <f>SUM(N896:N902)</f>
        <v>12</v>
      </c>
      <c r="O903" s="2152">
        <f>SUM(O896:O902)</f>
        <v>0</v>
      </c>
      <c r="P903" s="2152">
        <f t="shared" si="343"/>
        <v>48</v>
      </c>
      <c r="Q903" s="1864"/>
      <c r="S903" s="2043"/>
      <c r="T903" s="2043"/>
      <c r="U903" s="2043"/>
      <c r="V903" s="2043"/>
      <c r="W903" s="2043"/>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1"/>
      <c r="KB903" s="2051"/>
      <c r="KG903" s="2051"/>
      <c r="KL903" s="2051"/>
      <c r="KM903" s="2051"/>
      <c r="KN903" s="2051"/>
      <c r="KO903" s="2051"/>
      <c r="KP903" s="2051"/>
      <c r="KQ903" s="2051"/>
      <c r="KR903" s="2051"/>
      <c r="KS903" s="2051"/>
      <c r="KT903" s="2051"/>
      <c r="KU903" s="2051"/>
      <c r="KV903" s="2051"/>
      <c r="KW903" s="2051"/>
      <c r="KX903" s="2051"/>
      <c r="KY903" s="2051"/>
      <c r="KZ903" s="2051"/>
      <c r="LA903" s="2051"/>
      <c r="LB903" s="2051"/>
      <c r="LC903" s="2051"/>
      <c r="LD903" s="2051"/>
      <c r="LE903" s="2051"/>
      <c r="LF903" s="2051"/>
      <c r="LG903" s="2051"/>
      <c r="NP903" s="1924"/>
    </row>
    <row r="904" spans="1:380" s="1852" customFormat="1" ht="15" customHeight="1">
      <c r="A904" s="1843"/>
      <c r="B904" s="1843"/>
      <c r="D904" s="1818"/>
      <c r="E904" s="1818"/>
      <c r="F904" s="1818"/>
      <c r="H904" s="1719" t="s">
        <v>292</v>
      </c>
      <c r="I904" s="435"/>
      <c r="K904" s="2152">
        <f>BG889</f>
        <v>0</v>
      </c>
      <c r="L904" s="2152">
        <f>BH889</f>
        <v>0</v>
      </c>
      <c r="M904" s="2152">
        <f>BI889</f>
        <v>0</v>
      </c>
      <c r="N904" s="2152">
        <f>BJ889</f>
        <v>0</v>
      </c>
      <c r="O904" s="2152">
        <f>BK889</f>
        <v>0</v>
      </c>
      <c r="P904" s="2152">
        <f t="shared" si="343"/>
        <v>0</v>
      </c>
      <c r="S904" s="2043"/>
      <c r="T904" s="2043"/>
      <c r="U904" s="2043"/>
      <c r="V904" s="2043"/>
      <c r="W904" s="2043"/>
      <c r="X904" s="1818"/>
      <c r="AA904" s="1818"/>
      <c r="AB904" s="435"/>
      <c r="AC904" s="1818"/>
      <c r="AF904" s="1818"/>
      <c r="AG904" s="435"/>
      <c r="AH904" s="1818"/>
      <c r="AK904" s="1818"/>
      <c r="AL904" s="435"/>
      <c r="AM904" s="1818"/>
      <c r="AP904" s="1818"/>
      <c r="AQ904" s="435"/>
      <c r="AR904" s="436"/>
      <c r="AS904" s="436"/>
      <c r="AT904" s="436"/>
      <c r="AU904" s="436"/>
      <c r="AV904" s="436"/>
      <c r="AW904" s="436"/>
      <c r="AX904" s="2112"/>
      <c r="AY904" s="1818"/>
      <c r="BB904" s="436"/>
      <c r="BC904" s="2112"/>
      <c r="BD904" s="1818"/>
      <c r="JW904" s="2051"/>
      <c r="KB904" s="2051"/>
      <c r="KG904" s="2051"/>
      <c r="KL904" s="2051"/>
      <c r="KM904" s="2051"/>
      <c r="KN904" s="2051"/>
      <c r="KO904" s="2051"/>
      <c r="KP904" s="2051"/>
      <c r="KQ904" s="2051"/>
      <c r="KR904" s="2051"/>
      <c r="KS904" s="2051"/>
      <c r="KT904" s="2051"/>
      <c r="KU904" s="2051"/>
      <c r="KV904" s="2051"/>
      <c r="KW904" s="2051"/>
      <c r="KX904" s="2051"/>
      <c r="KY904" s="2051"/>
      <c r="KZ904" s="2051"/>
      <c r="LA904" s="2051"/>
      <c r="LB904" s="2051"/>
      <c r="LC904" s="2051"/>
      <c r="LD904" s="2051"/>
      <c r="LE904" s="2051"/>
      <c r="LF904" s="2051"/>
      <c r="LG904" s="2051"/>
      <c r="NP904" s="1924"/>
    </row>
    <row r="905" spans="1:380" s="1852" customFormat="1" ht="15" customHeight="1">
      <c r="A905" s="1843"/>
      <c r="B905" s="1843"/>
      <c r="C905" s="2153" t="s">
        <v>1096</v>
      </c>
      <c r="D905" s="2153"/>
      <c r="E905" s="2153"/>
      <c r="F905" s="2153"/>
      <c r="G905" s="2154"/>
      <c r="H905" s="2155"/>
      <c r="I905" s="2156"/>
      <c r="J905" s="2154"/>
      <c r="K905" s="2157">
        <f>SUM(K903:K904)</f>
        <v>0</v>
      </c>
      <c r="L905" s="2157">
        <f>SUM(L903:L904)</f>
        <v>12</v>
      </c>
      <c r="M905" s="2157">
        <f>SUM(M903:M904)</f>
        <v>24</v>
      </c>
      <c r="N905" s="2157">
        <f>SUM(N903:N904)</f>
        <v>12</v>
      </c>
      <c r="O905" s="2157">
        <f>SUM(O903:O904)</f>
        <v>0</v>
      </c>
      <c r="P905" s="2157">
        <f t="shared" si="343"/>
        <v>48</v>
      </c>
      <c r="S905" s="2043"/>
      <c r="T905" s="2043"/>
      <c r="U905" s="2043"/>
      <c r="V905" s="2043"/>
      <c r="W905" s="2043"/>
      <c r="X905" s="1818"/>
      <c r="AA905" s="1818"/>
      <c r="AB905" s="435"/>
      <c r="AC905" s="1818"/>
      <c r="AF905" s="1818"/>
      <c r="AG905" s="435"/>
      <c r="AH905" s="1818"/>
      <c r="AK905" s="1818"/>
      <c r="AL905" s="435"/>
      <c r="AM905" s="1818"/>
      <c r="AP905" s="1818"/>
      <c r="AQ905" s="435"/>
      <c r="AR905" s="436"/>
      <c r="AS905" s="436"/>
      <c r="AT905" s="436"/>
      <c r="AU905" s="436"/>
      <c r="AV905" s="436"/>
      <c r="AW905" s="436"/>
      <c r="AX905" s="2112"/>
      <c r="AY905" s="1818"/>
      <c r="BB905" s="436"/>
      <c r="BC905" s="2112"/>
      <c r="BD905" s="1818"/>
      <c r="JW905" s="2051"/>
      <c r="KB905" s="2051"/>
      <c r="KG905" s="2051"/>
      <c r="KL905" s="2051"/>
      <c r="KM905" s="2051"/>
      <c r="KN905" s="2051"/>
      <c r="KO905" s="2051"/>
      <c r="KP905" s="2051"/>
      <c r="KQ905" s="2051"/>
      <c r="KR905" s="2051"/>
      <c r="KS905" s="2051"/>
      <c r="KT905" s="2051"/>
      <c r="KU905" s="2051"/>
      <c r="KV905" s="2051"/>
      <c r="KW905" s="2051"/>
      <c r="KX905" s="2051"/>
      <c r="KY905" s="2051"/>
      <c r="KZ905" s="2051"/>
      <c r="LA905" s="2051"/>
      <c r="LB905" s="2051"/>
      <c r="LC905" s="2051"/>
      <c r="LD905" s="2051"/>
      <c r="LE905" s="2051"/>
      <c r="LF905" s="2051"/>
      <c r="LG905" s="2051"/>
      <c r="NP905" s="1924"/>
    </row>
    <row r="906" spans="1:380" s="1852" customFormat="1" ht="15" customHeight="1">
      <c r="A906" s="1843"/>
      <c r="B906" s="1843"/>
      <c r="D906" s="1818"/>
      <c r="E906" s="1818"/>
      <c r="F906" s="1818"/>
      <c r="H906" s="1719" t="s">
        <v>2394</v>
      </c>
      <c r="I906" s="435"/>
      <c r="K906" s="2152">
        <f>ED889</f>
        <v>0</v>
      </c>
      <c r="L906" s="2152">
        <f>EE889</f>
        <v>0</v>
      </c>
      <c r="M906" s="2152">
        <f>EF889</f>
        <v>0</v>
      </c>
      <c r="N906" s="2152">
        <f>EG889</f>
        <v>0</v>
      </c>
      <c r="O906" s="2152">
        <f>EH889</f>
        <v>0</v>
      </c>
      <c r="P906" s="2152">
        <f t="shared" si="343"/>
        <v>0</v>
      </c>
      <c r="Q906" s="1864" t="s">
        <v>3311</v>
      </c>
      <c r="S906" s="2043"/>
      <c r="T906" s="2043"/>
      <c r="U906" s="2043"/>
      <c r="V906" s="2043"/>
      <c r="W906" s="2043"/>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1"/>
      <c r="KB906" s="2051"/>
      <c r="KG906" s="2051"/>
      <c r="KL906" s="2051"/>
      <c r="KM906" s="2051"/>
      <c r="KN906" s="2051"/>
      <c r="KO906" s="2051"/>
      <c r="KP906" s="2051"/>
      <c r="KQ906" s="2051"/>
      <c r="KR906" s="2051"/>
      <c r="KS906" s="2051"/>
      <c r="KT906" s="2051"/>
      <c r="KU906" s="2051"/>
      <c r="KV906" s="2051"/>
      <c r="KW906" s="2051"/>
      <c r="KX906" s="2051"/>
      <c r="KY906" s="2051"/>
      <c r="KZ906" s="2051"/>
      <c r="LA906" s="2051"/>
      <c r="LB906" s="2051"/>
      <c r="LC906" s="2051"/>
      <c r="LD906" s="2051"/>
      <c r="LE906" s="2051"/>
      <c r="LF906" s="2051"/>
      <c r="LG906" s="2051"/>
      <c r="NP906" s="1924"/>
    </row>
    <row r="907" spans="1:380" s="1852" customFormat="1" ht="15" customHeight="1">
      <c r="A907" s="1843"/>
      <c r="B907" s="1843"/>
      <c r="C907" s="1818" t="s">
        <v>1712</v>
      </c>
      <c r="D907" s="1818"/>
      <c r="E907" s="1818"/>
      <c r="F907" s="1818"/>
      <c r="H907" s="1719"/>
      <c r="I907" s="435"/>
      <c r="K907" s="2152">
        <f>SUM(K905:K906)</f>
        <v>0</v>
      </c>
      <c r="L907" s="2152">
        <f>SUM(L905:L906)</f>
        <v>12</v>
      </c>
      <c r="M907" s="2152">
        <f>SUM(M905:M906)</f>
        <v>24</v>
      </c>
      <c r="N907" s="2152">
        <f>SUM(N905:N906)</f>
        <v>12</v>
      </c>
      <c r="O907" s="2152">
        <f>SUM(O905:O906)</f>
        <v>0</v>
      </c>
      <c r="P907" s="2152">
        <f t="shared" si="343"/>
        <v>48</v>
      </c>
      <c r="S907" s="2043"/>
      <c r="T907" s="2043"/>
      <c r="U907" s="2043"/>
      <c r="V907" s="2043"/>
      <c r="W907" s="2043"/>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1"/>
      <c r="KB907" s="2051"/>
      <c r="KG907" s="2051"/>
      <c r="KL907" s="2051"/>
      <c r="KM907" s="2051"/>
      <c r="KN907" s="2051"/>
      <c r="KO907" s="2051"/>
      <c r="KP907" s="2051"/>
      <c r="KQ907" s="2051"/>
      <c r="KR907" s="2051"/>
      <c r="KS907" s="2051"/>
      <c r="KT907" s="2051"/>
      <c r="KU907" s="2051"/>
      <c r="KV907" s="2051"/>
      <c r="KW907" s="2051"/>
      <c r="KX907" s="2051"/>
      <c r="KY907" s="2051"/>
      <c r="KZ907" s="2051"/>
      <c r="LA907" s="2051"/>
      <c r="LB907" s="2051"/>
      <c r="LC907" s="2051"/>
      <c r="LD907" s="2051"/>
      <c r="LE907" s="2051"/>
      <c r="LF907" s="2051"/>
      <c r="LG907" s="2051"/>
      <c r="NP907" s="1924"/>
    </row>
    <row r="908" spans="1:380" s="1852" customFormat="1" ht="16.149999999999999" customHeight="1">
      <c r="A908" s="1843"/>
      <c r="B908" s="1843"/>
      <c r="C908" s="2158"/>
      <c r="D908" s="2158"/>
      <c r="E908" s="2158"/>
      <c r="F908" s="2158"/>
      <c r="G908" s="2158"/>
      <c r="H908" s="1843"/>
      <c r="I908" s="2158"/>
      <c r="J908" s="2158"/>
      <c r="K908" s="2158"/>
      <c r="L908" s="2158"/>
      <c r="M908" s="2158"/>
      <c r="N908" s="2158"/>
      <c r="O908" s="2158"/>
      <c r="P908" s="2158"/>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1"/>
      <c r="KB908" s="2051"/>
      <c r="KG908" s="2051"/>
      <c r="KL908" s="2051"/>
      <c r="KM908" s="2051"/>
      <c r="KN908" s="2051"/>
      <c r="KO908" s="2051"/>
      <c r="KP908" s="2051"/>
      <c r="KQ908" s="2051"/>
      <c r="KR908" s="2051"/>
      <c r="KS908" s="2051"/>
      <c r="KT908" s="2051"/>
      <c r="KU908" s="2051"/>
      <c r="KV908" s="2051"/>
      <c r="KW908" s="2051"/>
      <c r="KX908" s="2051"/>
      <c r="KY908" s="2051"/>
      <c r="KZ908" s="2051"/>
      <c r="LA908" s="2051"/>
      <c r="LB908" s="2051"/>
      <c r="LC908" s="2051"/>
      <c r="LD908" s="2051"/>
      <c r="LE908" s="2051"/>
      <c r="LF908" s="2051"/>
      <c r="LG908" s="2051"/>
      <c r="NP908" s="1924"/>
    </row>
    <row r="909" spans="1:380" s="1852" customFormat="1" ht="12" customHeight="1">
      <c r="A909" s="1843"/>
      <c r="B909" s="1843"/>
      <c r="C909" s="2158" t="s">
        <v>3929</v>
      </c>
      <c r="D909" s="2158"/>
      <c r="E909" s="2158"/>
      <c r="F909" s="2158"/>
      <c r="G909" s="2158"/>
      <c r="H909" s="1843"/>
      <c r="I909" s="2158"/>
      <c r="J909" s="2158"/>
      <c r="K909" s="2158"/>
      <c r="L909" s="2158"/>
      <c r="M909" s="2158"/>
      <c r="N909" s="2158"/>
      <c r="O909" s="2158"/>
      <c r="P909" s="2158"/>
      <c r="S909" s="1875" t="str">
        <f>C909</f>
        <v xml:space="preserve">Income Limit Distribution among Bedroom Sizes </v>
      </c>
      <c r="U909" s="2488"/>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1"/>
      <c r="KB909" s="2051"/>
      <c r="KG909" s="2051"/>
      <c r="KL909" s="2051"/>
      <c r="KM909" s="2051"/>
      <c r="KN909" s="2051"/>
      <c r="KO909" s="2051"/>
      <c r="KP909" s="2051"/>
      <c r="KQ909" s="2051"/>
      <c r="KR909" s="2051"/>
      <c r="KS909" s="2051"/>
      <c r="KT909" s="2051"/>
      <c r="KU909" s="2051"/>
      <c r="KV909" s="2051"/>
      <c r="KW909" s="2051"/>
      <c r="KX909" s="2051"/>
      <c r="KY909" s="2051"/>
      <c r="KZ909" s="2051"/>
      <c r="LA909" s="2051"/>
      <c r="LB909" s="2051"/>
      <c r="LC909" s="2051"/>
      <c r="LD909" s="2051"/>
      <c r="LE909" s="2051"/>
      <c r="LF909" s="2051"/>
      <c r="LG909" s="2051"/>
      <c r="NP909" s="1924"/>
    </row>
    <row r="910" spans="1:380" ht="13.15" customHeight="1">
      <c r="A910" s="1843"/>
      <c r="B910" s="1843"/>
      <c r="C910" s="2158"/>
      <c r="D910" s="2158"/>
      <c r="E910" s="2158"/>
      <c r="F910" s="2158"/>
      <c r="G910" s="1852"/>
      <c r="H910" s="2159" t="s">
        <v>3832</v>
      </c>
      <c r="I910" s="2160"/>
      <c r="J910" s="2161"/>
      <c r="K910" s="2162" t="str">
        <f t="shared" ref="K910:P910" si="344">IF(OR(K896=0,K907=0),"",K896/K907)</f>
        <v/>
      </c>
      <c r="L910" s="2162" t="str">
        <f t="shared" si="344"/>
        <v/>
      </c>
      <c r="M910" s="2162" t="str">
        <f t="shared" si="344"/>
        <v/>
      </c>
      <c r="N910" s="2162" t="str">
        <f t="shared" si="344"/>
        <v/>
      </c>
      <c r="O910" s="2162" t="str">
        <f t="shared" si="344"/>
        <v/>
      </c>
      <c r="P910" s="2162" t="str">
        <f t="shared" si="344"/>
        <v/>
      </c>
      <c r="Q910" s="2121" t="s">
        <v>4278</v>
      </c>
      <c r="S910" s="2043"/>
      <c r="T910" s="2043"/>
      <c r="U910" s="2043"/>
      <c r="V910" s="2043"/>
      <c r="W910" s="2043"/>
    </row>
    <row r="911" spans="1:380">
      <c r="A911" s="1843"/>
      <c r="B911" s="1843"/>
      <c r="C911" s="2113"/>
      <c r="D911" s="1852"/>
      <c r="E911" s="1852"/>
      <c r="F911" s="1852"/>
      <c r="G911" s="1852"/>
      <c r="H911" s="2159" t="s">
        <v>7135</v>
      </c>
      <c r="I911" s="2160"/>
      <c r="J911" s="1818"/>
      <c r="K911" s="2163" t="str">
        <f>IF(OR(K896=0,P910="",K907=0),"",P910*K907)</f>
        <v/>
      </c>
      <c r="L911" s="2163" t="str">
        <f>IF(OR(L896=0,P910="",L907=0),"",P910*L907)</f>
        <v/>
      </c>
      <c r="M911" s="2163" t="str">
        <f>IF(OR(M896=0,P910="",M907=0),"",P910*M907)</f>
        <v/>
      </c>
      <c r="N911" s="2163" t="str">
        <f>IF(OR(N896=0,P910="",N907=0),"",P910*N907)</f>
        <v/>
      </c>
      <c r="O911" s="2163" t="str">
        <f>IF(OR(O896=0,P910="",O907=0),"",P910*O907)</f>
        <v/>
      </c>
      <c r="P911" s="2163" t="str">
        <f>IF(OR(P910="",P907=0),"",P910*P907)</f>
        <v/>
      </c>
      <c r="S911" s="2043"/>
      <c r="T911" s="2043"/>
      <c r="U911" s="2043"/>
      <c r="V911" s="2043"/>
      <c r="W911" s="2043"/>
    </row>
    <row r="912" spans="1:380">
      <c r="C912" s="2113"/>
      <c r="D912" s="1852"/>
      <c r="E912" s="1852"/>
      <c r="F912" s="1852"/>
      <c r="G912" s="2164"/>
      <c r="H912" s="2159" t="s">
        <v>7136</v>
      </c>
      <c r="I912" s="2160"/>
      <c r="J912" s="1818"/>
      <c r="K912" s="2163" t="str">
        <f t="shared" ref="K912:P912" si="345">IF(OR(K911="",K896=0),"", K896-K911)</f>
        <v/>
      </c>
      <c r="L912" s="2163" t="str">
        <f t="shared" si="345"/>
        <v/>
      </c>
      <c r="M912" s="2163" t="str">
        <f t="shared" si="345"/>
        <v/>
      </c>
      <c r="N912" s="2163" t="str">
        <f t="shared" si="345"/>
        <v/>
      </c>
      <c r="O912" s="2163" t="str">
        <f t="shared" si="345"/>
        <v/>
      </c>
      <c r="P912" s="2163" t="str">
        <f t="shared" si="345"/>
        <v/>
      </c>
      <c r="S912" s="2043"/>
      <c r="T912" s="2043"/>
      <c r="U912" s="2043"/>
      <c r="V912" s="2043"/>
      <c r="W912" s="2043"/>
    </row>
    <row r="913" spans="3:23" ht="12.75" customHeight="1">
      <c r="C913" s="2113"/>
      <c r="D913" s="2113" t="s">
        <v>7137</v>
      </c>
      <c r="E913" s="2113"/>
      <c r="F913" s="2113"/>
      <c r="G913" s="1852"/>
      <c r="H913" s="2159" t="s">
        <v>3833</v>
      </c>
      <c r="I913" s="2160"/>
      <c r="J913" s="1818"/>
      <c r="K913" s="2162" t="str">
        <f t="shared" ref="K913:P913" si="346">IF(OR(K897=0,K907=0),"",K897/K907)</f>
        <v/>
      </c>
      <c r="L913" s="2162">
        <f t="shared" si="346"/>
        <v>0.16666666666666666</v>
      </c>
      <c r="M913" s="2162">
        <f t="shared" si="346"/>
        <v>8.3333333333333329E-2</v>
      </c>
      <c r="N913" s="2162">
        <f t="shared" si="346"/>
        <v>0.16666666666666666</v>
      </c>
      <c r="O913" s="2162" t="str">
        <f t="shared" si="346"/>
        <v/>
      </c>
      <c r="P913" s="2162">
        <f t="shared" si="346"/>
        <v>0.125</v>
      </c>
      <c r="S913" s="2043"/>
      <c r="T913" s="2043"/>
      <c r="U913" s="2043"/>
      <c r="V913" s="2043"/>
      <c r="W913" s="2043"/>
    </row>
    <row r="914" spans="3:23">
      <c r="C914" s="2113"/>
      <c r="D914" s="2113"/>
      <c r="E914" s="2113"/>
      <c r="F914" s="2113"/>
      <c r="G914" s="1852"/>
      <c r="H914" s="2159" t="s">
        <v>7135</v>
      </c>
      <c r="I914" s="2160"/>
      <c r="J914" s="1818"/>
      <c r="K914" s="2163" t="str">
        <f>IF(OR(K897=0,P913="",K907=0),"",P913*K907)</f>
        <v/>
      </c>
      <c r="L914" s="2163">
        <f>IF(OR(L897=0,P913="",L907=0),"",P913*L907)</f>
        <v>1.5</v>
      </c>
      <c r="M914" s="2163">
        <f>IF(OR(M897=0,P913="",M907=0),"",P913*M907)</f>
        <v>3</v>
      </c>
      <c r="N914" s="2163">
        <f>IF(OR(N897=0,P913="",N907=0),"",P913*N907)</f>
        <v>1.5</v>
      </c>
      <c r="O914" s="2163" t="str">
        <f>IF(OR(O897=0,P913="",O907=0),"",P913*O907)</f>
        <v/>
      </c>
      <c r="P914" s="2163">
        <f>IF(OR(P913="",P907=0),"",P913*P907)</f>
        <v>6</v>
      </c>
      <c r="S914" s="2043"/>
      <c r="T914" s="2043"/>
      <c r="U914" s="2043"/>
      <c r="V914" s="2043"/>
      <c r="W914" s="2043"/>
    </row>
    <row r="915" spans="3:23">
      <c r="C915" s="2113"/>
      <c r="D915" s="2113"/>
      <c r="E915" s="2113"/>
      <c r="F915" s="2113"/>
      <c r="G915" s="2164"/>
      <c r="H915" s="2159" t="s">
        <v>7136</v>
      </c>
      <c r="I915" s="2160"/>
      <c r="J915" s="1818"/>
      <c r="K915" s="2163" t="str">
        <f t="shared" ref="K915:P915" si="347">IF(OR(K914="",K897=0),"", K897-K914)</f>
        <v/>
      </c>
      <c r="L915" s="2163">
        <f t="shared" si="347"/>
        <v>0.5</v>
      </c>
      <c r="M915" s="2163">
        <f t="shared" si="347"/>
        <v>-1</v>
      </c>
      <c r="N915" s="2163">
        <f t="shared" si="347"/>
        <v>0.5</v>
      </c>
      <c r="O915" s="2163" t="str">
        <f t="shared" si="347"/>
        <v/>
      </c>
      <c r="P915" s="2163">
        <f t="shared" si="347"/>
        <v>0</v>
      </c>
      <c r="S915" s="2043"/>
      <c r="T915" s="2043"/>
      <c r="U915" s="2043"/>
      <c r="V915" s="2043"/>
      <c r="W915" s="2043"/>
    </row>
    <row r="916" spans="3:23">
      <c r="C916" s="1924" t="s">
        <v>4276</v>
      </c>
      <c r="D916" s="2113"/>
      <c r="E916" s="2113"/>
      <c r="F916" s="2113"/>
      <c r="G916" s="1852"/>
      <c r="H916" s="2159" t="s">
        <v>1107</v>
      </c>
      <c r="I916" s="2160"/>
      <c r="J916" s="1818"/>
      <c r="K916" s="2162" t="str">
        <f t="shared" ref="K916:P916" si="348">IF(OR(K898=0,K907=0),"",K898/K907)</f>
        <v/>
      </c>
      <c r="L916" s="2162">
        <f t="shared" si="348"/>
        <v>0.33333333333333331</v>
      </c>
      <c r="M916" s="2162">
        <f t="shared" si="348"/>
        <v>0.54166666666666663</v>
      </c>
      <c r="N916" s="2162">
        <f t="shared" si="348"/>
        <v>0.5</v>
      </c>
      <c r="O916" s="2162" t="str">
        <f t="shared" si="348"/>
        <v/>
      </c>
      <c r="P916" s="2162">
        <f t="shared" si="348"/>
        <v>0.47916666666666669</v>
      </c>
      <c r="S916" s="2043"/>
      <c r="T916" s="2043"/>
      <c r="U916" s="2043"/>
      <c r="V916" s="2043"/>
      <c r="W916" s="2043"/>
    </row>
    <row r="917" spans="3:23" ht="15.75" customHeight="1">
      <c r="D917" s="2113"/>
      <c r="E917" s="2113"/>
      <c r="F917" s="2113"/>
      <c r="G917" s="1852"/>
      <c r="H917" s="2159" t="s">
        <v>7135</v>
      </c>
      <c r="I917" s="2160"/>
      <c r="J917" s="1818"/>
      <c r="K917" s="2163" t="str">
        <f>IF(OR(K898=0,P916="",K907=0),"",P916*K907)</f>
        <v/>
      </c>
      <c r="L917" s="2163">
        <f>IF(OR(L898=0,P916="",L907=0),"",P916*L907)</f>
        <v>5.75</v>
      </c>
      <c r="M917" s="2163">
        <f>IF(OR(M898=0,P916="",M907=0),"",P916*M907)</f>
        <v>11.5</v>
      </c>
      <c r="N917" s="2163">
        <f>IF(OR(N898=0,P916="",N907=0),"",P916*N907)</f>
        <v>5.75</v>
      </c>
      <c r="O917" s="2163" t="str">
        <f>IF(OR(O898=0,P916="",O907=0),"",P916*O907)</f>
        <v/>
      </c>
      <c r="P917" s="2163">
        <f>IF(OR(P916="",P907=0),"",P916*P907)</f>
        <v>23</v>
      </c>
      <c r="S917" s="2043"/>
      <c r="T917" s="2043"/>
      <c r="U917" s="2043"/>
      <c r="V917" s="2043"/>
      <c r="W917" s="2043"/>
    </row>
    <row r="918" spans="3:23" ht="15.75" customHeight="1">
      <c r="D918" s="2113"/>
      <c r="E918" s="2113"/>
      <c r="F918" s="2113"/>
      <c r="G918" s="2164"/>
      <c r="H918" s="2159" t="s">
        <v>7136</v>
      </c>
      <c r="I918" s="2160"/>
      <c r="J918" s="1818"/>
      <c r="K918" s="2163" t="str">
        <f t="shared" ref="K918:P918" si="349">IF(OR(K917="",K898=0),"", K898-K917)</f>
        <v/>
      </c>
      <c r="L918" s="2163">
        <f t="shared" si="349"/>
        <v>-1.75</v>
      </c>
      <c r="M918" s="2163">
        <f t="shared" si="349"/>
        <v>1.5</v>
      </c>
      <c r="N918" s="2163">
        <f t="shared" si="349"/>
        <v>0.25</v>
      </c>
      <c r="O918" s="2163" t="str">
        <f t="shared" si="349"/>
        <v/>
      </c>
      <c r="P918" s="2163">
        <f t="shared" si="349"/>
        <v>0</v>
      </c>
    </row>
    <row r="919" spans="3:23">
      <c r="C919" s="1924" t="s">
        <v>4276</v>
      </c>
      <c r="F919" s="1852"/>
      <c r="G919" s="1852"/>
      <c r="H919" s="2159" t="s">
        <v>111</v>
      </c>
      <c r="I919" s="2160"/>
      <c r="J919" s="1818"/>
      <c r="K919" s="2162" t="str">
        <f t="shared" ref="K919:P919" si="350">IF(OR(K899=0,K907=0),"",K899/K907)</f>
        <v/>
      </c>
      <c r="L919" s="2162">
        <f t="shared" si="350"/>
        <v>0.5</v>
      </c>
      <c r="M919" s="2162">
        <f t="shared" si="350"/>
        <v>0.375</v>
      </c>
      <c r="N919" s="2162">
        <f t="shared" si="350"/>
        <v>0.33333333333333331</v>
      </c>
      <c r="O919" s="2162" t="str">
        <f t="shared" si="350"/>
        <v/>
      </c>
      <c r="P919" s="2162">
        <f t="shared" si="350"/>
        <v>0.39583333333333331</v>
      </c>
    </row>
    <row r="920" spans="3:23">
      <c r="F920" s="1852"/>
      <c r="G920" s="1852"/>
      <c r="H920" s="2159" t="s">
        <v>7135</v>
      </c>
      <c r="I920" s="2160"/>
      <c r="J920" s="1818"/>
      <c r="K920" s="2163" t="str">
        <f>IF(OR(K899=0,P919="",K907=0),"",P919*K907)</f>
        <v/>
      </c>
      <c r="L920" s="2163">
        <f>IF(OR(L899=0,P919="",L907=0),"",P919*L907)</f>
        <v>4.75</v>
      </c>
      <c r="M920" s="2163">
        <f>IF(OR(M899=0,P919="",M907=0),"",P919*M907)</f>
        <v>9.5</v>
      </c>
      <c r="N920" s="2163">
        <f>IF(OR(N899=0,P919="",N907=0),"",P919*N907)</f>
        <v>4.75</v>
      </c>
      <c r="O920" s="2163" t="str">
        <f>IF(OR(O899=0,P919="",O907=0),"",P919*O907)</f>
        <v/>
      </c>
      <c r="P920" s="2163">
        <f>IF(OR(P919="",P907=0),"",P919*P907)</f>
        <v>19</v>
      </c>
    </row>
    <row r="921" spans="3:23">
      <c r="F921" s="1852"/>
      <c r="G921" s="2164"/>
      <c r="H921" s="2159" t="s">
        <v>7136</v>
      </c>
      <c r="I921" s="2160"/>
      <c r="J921" s="1818"/>
      <c r="K921" s="2163" t="str">
        <f t="shared" ref="K921:P921" si="351">IF(OR(K920="",K899=0),"", K899-K920)</f>
        <v/>
      </c>
      <c r="L921" s="2163">
        <f t="shared" si="351"/>
        <v>1.25</v>
      </c>
      <c r="M921" s="2163">
        <f t="shared" si="351"/>
        <v>-0.5</v>
      </c>
      <c r="N921" s="2163">
        <f t="shared" si="351"/>
        <v>-0.75</v>
      </c>
      <c r="O921" s="2163" t="str">
        <f t="shared" si="351"/>
        <v/>
      </c>
      <c r="P921" s="2163">
        <f t="shared" si="351"/>
        <v>0</v>
      </c>
    </row>
    <row r="922" spans="3:23">
      <c r="C922" s="1924" t="s">
        <v>4276</v>
      </c>
      <c r="F922" s="1852"/>
      <c r="G922" s="1852"/>
      <c r="H922" s="2159" t="s">
        <v>3834</v>
      </c>
      <c r="I922" s="2160"/>
      <c r="J922" s="1818"/>
      <c r="K922" s="2162" t="str">
        <f t="shared" ref="K922:P922" si="352">IF(OR(K900=0,K907=0),"",K900/K907)</f>
        <v/>
      </c>
      <c r="L922" s="2162" t="str">
        <f t="shared" si="352"/>
        <v/>
      </c>
      <c r="M922" s="2162" t="str">
        <f t="shared" si="352"/>
        <v/>
      </c>
      <c r="N922" s="2162" t="str">
        <f t="shared" si="352"/>
        <v/>
      </c>
      <c r="O922" s="2162" t="str">
        <f t="shared" si="352"/>
        <v/>
      </c>
      <c r="P922" s="2162" t="str">
        <f t="shared" si="352"/>
        <v/>
      </c>
    </row>
    <row r="923" spans="3:23">
      <c r="D923" s="1852"/>
      <c r="E923" s="1852"/>
      <c r="F923" s="1852"/>
      <c r="G923" s="1852"/>
      <c r="H923" s="2159" t="s">
        <v>7135</v>
      </c>
      <c r="I923" s="2160"/>
      <c r="J923" s="1818"/>
      <c r="K923" s="2163" t="str">
        <f>IF(OR(K900=0,P922="",K907=0),"",P922*K907)</f>
        <v/>
      </c>
      <c r="L923" s="2163" t="str">
        <f>IF(OR(L900=0,P922="",L907=0),"",P922*L907)</f>
        <v/>
      </c>
      <c r="M923" s="2163" t="str">
        <f>IF(OR(M900=0,P922="",M907=0),"",P922*M907)</f>
        <v/>
      </c>
      <c r="N923" s="2163" t="str">
        <f>IF(OR(N900=0,P922="",N907=0),"",P922*N907)</f>
        <v/>
      </c>
      <c r="O923" s="2163" t="str">
        <f>IF(OR(O900=0,P922="",O907=0),"",P922*O907)</f>
        <v/>
      </c>
      <c r="P923" s="2163" t="str">
        <f>IF(OR(P922="",P907=0),"",P922*P907)</f>
        <v/>
      </c>
    </row>
    <row r="924" spans="3:23">
      <c r="D924" s="1852"/>
      <c r="E924" s="1852"/>
      <c r="F924" s="1852"/>
      <c r="G924" s="2164"/>
      <c r="H924" s="2159" t="s">
        <v>7136</v>
      </c>
      <c r="I924" s="2160"/>
      <c r="J924" s="1818"/>
      <c r="K924" s="2163" t="str">
        <f t="shared" ref="K924:P924" si="353">IF(OR(K923="",K900=0),"", K900-K923)</f>
        <v/>
      </c>
      <c r="L924" s="2163" t="str">
        <f t="shared" si="353"/>
        <v/>
      </c>
      <c r="M924" s="2163" t="str">
        <f t="shared" si="353"/>
        <v/>
      </c>
      <c r="N924" s="2163" t="str">
        <f t="shared" si="353"/>
        <v/>
      </c>
      <c r="O924" s="2163" t="str">
        <f t="shared" si="353"/>
        <v/>
      </c>
      <c r="P924" s="2163" t="str">
        <f t="shared" si="353"/>
        <v/>
      </c>
    </row>
    <row r="925" spans="3:23">
      <c r="C925" s="1924" t="s">
        <v>4276</v>
      </c>
      <c r="D925" s="1852"/>
      <c r="E925" s="1852"/>
      <c r="F925" s="1852"/>
      <c r="G925" s="1852"/>
      <c r="H925" s="2159" t="s">
        <v>3835</v>
      </c>
      <c r="I925" s="2160"/>
      <c r="J925" s="1818"/>
      <c r="K925" s="2162" t="str">
        <f t="shared" ref="K925:P925" si="354">IF(OR(K901=0,K907=0),"",K901/K907)</f>
        <v/>
      </c>
      <c r="L925" s="2162" t="str">
        <f t="shared" si="354"/>
        <v/>
      </c>
      <c r="M925" s="2162" t="str">
        <f t="shared" si="354"/>
        <v/>
      </c>
      <c r="N925" s="2162" t="str">
        <f t="shared" si="354"/>
        <v/>
      </c>
      <c r="O925" s="2162" t="str">
        <f t="shared" si="354"/>
        <v/>
      </c>
      <c r="P925" s="2162" t="str">
        <f t="shared" si="354"/>
        <v/>
      </c>
    </row>
    <row r="926" spans="3:23">
      <c r="D926" s="1852"/>
      <c r="E926" s="1852"/>
      <c r="F926" s="1852"/>
      <c r="G926" s="1852"/>
      <c r="H926" s="2159" t="s">
        <v>7135</v>
      </c>
      <c r="I926" s="2160"/>
      <c r="J926" s="1818"/>
      <c r="K926" s="2163" t="str">
        <f>IF(OR(K901=0,P925="",K907=0),"",P925*K907)</f>
        <v/>
      </c>
      <c r="L926" s="2163" t="str">
        <f>IF(OR(L901=0,P925="",L907=0),"",P925*L907)</f>
        <v/>
      </c>
      <c r="M926" s="2163" t="str">
        <f>IF(OR(M901=0,P925="",M907=0),"",P925*M907)</f>
        <v/>
      </c>
      <c r="N926" s="2163" t="str">
        <f>IF(OR(N901=0,P925="",N907=0),"",P925*N907)</f>
        <v/>
      </c>
      <c r="O926" s="2163" t="str">
        <f>IF(OR(O901=0,P925="",O907=0),"",P925*O907)</f>
        <v/>
      </c>
      <c r="P926" s="2163" t="str">
        <f>IF(OR(P925="",P907=0),"",P925*P907)</f>
        <v/>
      </c>
    </row>
    <row r="927" spans="3:23">
      <c r="D927" s="1852"/>
      <c r="E927" s="1852"/>
      <c r="F927" s="1852"/>
      <c r="G927" s="2164"/>
      <c r="H927" s="2159" t="s">
        <v>7136</v>
      </c>
      <c r="I927" s="2160"/>
      <c r="J927" s="1818"/>
      <c r="K927" s="2163" t="str">
        <f t="shared" ref="K927:P927" si="355">IF(OR(K926="",K901=0),"", K901-K926)</f>
        <v/>
      </c>
      <c r="L927" s="2163" t="str">
        <f t="shared" si="355"/>
        <v/>
      </c>
      <c r="M927" s="2163" t="str">
        <f t="shared" si="355"/>
        <v/>
      </c>
      <c r="N927" s="2163" t="str">
        <f t="shared" si="355"/>
        <v/>
      </c>
      <c r="O927" s="2163" t="str">
        <f t="shared" si="355"/>
        <v/>
      </c>
      <c r="P927" s="2163" t="str">
        <f t="shared" si="355"/>
        <v/>
      </c>
    </row>
    <row r="928" spans="3:23">
      <c r="C928" s="1924" t="s">
        <v>4276</v>
      </c>
      <c r="D928" s="1852"/>
      <c r="E928" s="1852"/>
      <c r="F928" s="1852"/>
      <c r="G928" s="1852"/>
      <c r="H928" s="2159" t="s">
        <v>3836</v>
      </c>
      <c r="I928" s="2160"/>
      <c r="J928" s="1818"/>
      <c r="K928" s="2162" t="str">
        <f t="shared" ref="K928:P928" si="356">IF(OR(K902=0,K907=0),"",K902/K907)</f>
        <v/>
      </c>
      <c r="L928" s="2162" t="str">
        <f t="shared" si="356"/>
        <v/>
      </c>
      <c r="M928" s="2162" t="str">
        <f t="shared" si="356"/>
        <v/>
      </c>
      <c r="N928" s="2162" t="str">
        <f t="shared" si="356"/>
        <v/>
      </c>
      <c r="O928" s="2162" t="str">
        <f t="shared" si="356"/>
        <v/>
      </c>
      <c r="P928" s="2162" t="str">
        <f t="shared" si="356"/>
        <v/>
      </c>
    </row>
    <row r="929" spans="1:380">
      <c r="F929" s="1852"/>
      <c r="G929" s="1852"/>
      <c r="H929" s="2159" t="s">
        <v>7135</v>
      </c>
      <c r="I929" s="2160"/>
      <c r="J929" s="1818"/>
      <c r="K929" s="2163" t="str">
        <f>IF(OR(K902=0,P928="",K907=0),"",P928*K907)</f>
        <v/>
      </c>
      <c r="L929" s="2163" t="str">
        <f>IF(OR(L902=0,P928="",L907=0),"",P928*L907)</f>
        <v/>
      </c>
      <c r="M929" s="2163" t="str">
        <f>IF(OR(M902=0,P928="",M907=0),"",P928*M907)</f>
        <v/>
      </c>
      <c r="N929" s="2163" t="str">
        <f>IF(OR(N902=0,P928="",N907=0),"",P928*N907)</f>
        <v/>
      </c>
      <c r="O929" s="2163" t="str">
        <f>IF(OR(O902=0,P928="",O907=0),"",P928*O907)</f>
        <v/>
      </c>
      <c r="P929" s="2163" t="str">
        <f>IF(OR(P928="",P907=0),"",P928*P907)</f>
        <v/>
      </c>
    </row>
    <row r="930" spans="1:380">
      <c r="F930" s="1852"/>
      <c r="G930" s="2164"/>
      <c r="H930" s="2159" t="s">
        <v>7136</v>
      </c>
      <c r="I930" s="2160"/>
      <c r="J930" s="1818"/>
      <c r="K930" s="2163" t="str">
        <f t="shared" ref="K930:P930" si="357">IF(OR(K929="",K902=0),"", K902-K929)</f>
        <v/>
      </c>
      <c r="L930" s="2163" t="str">
        <f t="shared" si="357"/>
        <v/>
      </c>
      <c r="M930" s="2163" t="str">
        <f t="shared" si="357"/>
        <v/>
      </c>
      <c r="N930" s="2163" t="str">
        <f t="shared" si="357"/>
        <v/>
      </c>
      <c r="O930" s="2163" t="str">
        <f t="shared" si="357"/>
        <v/>
      </c>
      <c r="P930" s="2163" t="str">
        <f t="shared" si="357"/>
        <v/>
      </c>
    </row>
    <row r="931" spans="1:380" s="1852" customFormat="1" ht="12" customHeight="1">
      <c r="A931" s="1843"/>
      <c r="B931" s="1843"/>
      <c r="C931" s="1818"/>
      <c r="D931" s="1818"/>
      <c r="E931" s="1818"/>
      <c r="F931" s="1818"/>
      <c r="H931" s="1719"/>
      <c r="I931" s="435"/>
      <c r="K931" s="2165"/>
      <c r="L931" s="2165"/>
      <c r="M931" s="2165"/>
      <c r="N931" s="2165"/>
      <c r="O931" s="2165"/>
      <c r="P931" s="2165"/>
      <c r="U931" s="2488"/>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1"/>
      <c r="KB931" s="2051"/>
      <c r="KG931" s="2051"/>
      <c r="KL931" s="2051"/>
      <c r="KM931" s="2051"/>
      <c r="KN931" s="2051"/>
      <c r="KO931" s="2051"/>
      <c r="KP931" s="2051"/>
      <c r="KQ931" s="2051"/>
      <c r="KR931" s="2051"/>
      <c r="KS931" s="2051"/>
      <c r="KT931" s="2051"/>
      <c r="KU931" s="2051"/>
      <c r="KV931" s="2051"/>
      <c r="KW931" s="2051"/>
      <c r="KX931" s="2051"/>
      <c r="KY931" s="2051"/>
      <c r="KZ931" s="2051"/>
      <c r="LA931" s="2051"/>
      <c r="LB931" s="2051"/>
      <c r="LC931" s="2051"/>
      <c r="LD931" s="2051"/>
      <c r="LE931" s="2051"/>
      <c r="LF931" s="2051"/>
      <c r="LG931" s="2051"/>
      <c r="NP931" s="1924"/>
    </row>
    <row r="932" spans="1:380" s="1852" customFormat="1" ht="9" customHeight="1">
      <c r="A932" s="1843"/>
      <c r="B932" s="1843"/>
      <c r="C932" s="1818"/>
      <c r="D932" s="1818"/>
      <c r="E932" s="1818"/>
      <c r="F932" s="1818"/>
      <c r="H932" s="1719"/>
      <c r="I932" s="435"/>
      <c r="K932" s="2165"/>
      <c r="L932" s="2165"/>
      <c r="M932" s="2165"/>
      <c r="N932" s="2165"/>
      <c r="O932" s="2165"/>
      <c r="P932" s="2165"/>
      <c r="S932" s="1875" t="str">
        <f>C933</f>
        <v>PBRA-Assisted</v>
      </c>
      <c r="U932" s="2488"/>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1"/>
      <c r="KB932" s="2051"/>
      <c r="KG932" s="2051"/>
      <c r="KL932" s="2051"/>
      <c r="KM932" s="2051"/>
      <c r="KN932" s="2051"/>
      <c r="KO932" s="2051"/>
      <c r="KP932" s="2051"/>
      <c r="KQ932" s="2051"/>
      <c r="KR932" s="2051"/>
      <c r="KS932" s="2051"/>
      <c r="KT932" s="2051"/>
      <c r="KU932" s="2051"/>
      <c r="KV932" s="2051"/>
      <c r="KW932" s="2051"/>
      <c r="KX932" s="2051"/>
      <c r="KY932" s="2051"/>
      <c r="KZ932" s="2051"/>
      <c r="LA932" s="2051"/>
      <c r="LB932" s="2051"/>
      <c r="LC932" s="2051"/>
      <c r="LD932" s="2051"/>
      <c r="LE932" s="2051"/>
      <c r="LF932" s="2051"/>
      <c r="LG932" s="2051"/>
      <c r="NP932" s="1924"/>
    </row>
    <row r="933" spans="1:380" s="1852" customFormat="1" ht="15" customHeight="1">
      <c r="A933" s="1843"/>
      <c r="B933" s="1843"/>
      <c r="C933" s="1818" t="s">
        <v>899</v>
      </c>
      <c r="D933" s="1818"/>
      <c r="E933" s="1719"/>
      <c r="F933" s="1818"/>
      <c r="H933" s="1719" t="s">
        <v>3832</v>
      </c>
      <c r="I933" s="435"/>
      <c r="K933" s="2166">
        <f>CP889</f>
        <v>0</v>
      </c>
      <c r="L933" s="2166">
        <f>CQ889</f>
        <v>0</v>
      </c>
      <c r="M933" s="2166">
        <f>CR889</f>
        <v>0</v>
      </c>
      <c r="N933" s="2166">
        <f>CS889</f>
        <v>0</v>
      </c>
      <c r="O933" s="2166">
        <f>CT889</f>
        <v>0</v>
      </c>
      <c r="P933" s="2152">
        <f t="shared" ref="P933:P940" si="358">SUM(K933:O933)</f>
        <v>0</v>
      </c>
      <c r="S933" s="2043"/>
      <c r="T933" s="2043"/>
      <c r="U933" s="2043"/>
      <c r="V933" s="2043"/>
      <c r="W933" s="2043"/>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1"/>
      <c r="KB933" s="2051"/>
      <c r="KG933" s="2051"/>
      <c r="KL933" s="2051"/>
      <c r="KM933" s="2051"/>
      <c r="KN933" s="2051"/>
      <c r="KO933" s="2051"/>
      <c r="KP933" s="2051"/>
      <c r="KQ933" s="2051"/>
      <c r="KR933" s="2051"/>
      <c r="KS933" s="2051"/>
      <c r="KT933" s="2051"/>
      <c r="KU933" s="2051"/>
      <c r="KV933" s="2051"/>
      <c r="KW933" s="2051"/>
      <c r="KX933" s="2051"/>
      <c r="KY933" s="2051"/>
      <c r="KZ933" s="2051"/>
      <c r="LA933" s="2051"/>
      <c r="LB933" s="2051"/>
      <c r="LC933" s="2051"/>
      <c r="LD933" s="2051"/>
      <c r="LE933" s="2051"/>
      <c r="LF933" s="2051"/>
      <c r="LG933" s="2051"/>
      <c r="NP933" s="1924"/>
    </row>
    <row r="934" spans="1:380" s="1852" customFormat="1" ht="15" customHeight="1">
      <c r="A934" s="1843"/>
      <c r="B934" s="1843"/>
      <c r="C934" s="435" t="s">
        <v>2395</v>
      </c>
      <c r="D934" s="1818"/>
      <c r="E934" s="1719"/>
      <c r="F934" s="1818"/>
      <c r="H934" s="1719" t="s">
        <v>3833</v>
      </c>
      <c r="I934" s="435"/>
      <c r="K934" s="2152">
        <f>CK889</f>
        <v>0</v>
      </c>
      <c r="L934" s="2152">
        <f>CL889</f>
        <v>2</v>
      </c>
      <c r="M934" s="2152">
        <f>CM889</f>
        <v>2</v>
      </c>
      <c r="N934" s="2152">
        <f>CN889</f>
        <v>2</v>
      </c>
      <c r="O934" s="2152">
        <f>CO889</f>
        <v>0</v>
      </c>
      <c r="P934" s="2152">
        <f t="shared" si="358"/>
        <v>6</v>
      </c>
      <c r="S934" s="2043"/>
      <c r="T934" s="2043"/>
      <c r="U934" s="2043"/>
      <c r="V934" s="2043"/>
      <c r="W934" s="2043"/>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1"/>
      <c r="KB934" s="2051"/>
      <c r="KG934" s="2051"/>
      <c r="KL934" s="2051"/>
      <c r="KM934" s="2051"/>
      <c r="KN934" s="2051"/>
      <c r="KO934" s="2051"/>
      <c r="KP934" s="2051"/>
      <c r="KQ934" s="2051"/>
      <c r="KR934" s="2051"/>
      <c r="KS934" s="2051"/>
      <c r="KT934" s="2051"/>
      <c r="KU934" s="2051"/>
      <c r="KV934" s="2051"/>
      <c r="KW934" s="2051"/>
      <c r="KX934" s="2051"/>
      <c r="KY934" s="2051"/>
      <c r="KZ934" s="2051"/>
      <c r="LA934" s="2051"/>
      <c r="LB934" s="2051"/>
      <c r="LC934" s="2051"/>
      <c r="LD934" s="2051"/>
      <c r="LE934" s="2051"/>
      <c r="LF934" s="2051"/>
      <c r="LG934" s="2051"/>
      <c r="NP934" s="1924"/>
    </row>
    <row r="935" spans="1:380" s="1852" customFormat="1" ht="15" customHeight="1">
      <c r="A935" s="1843"/>
      <c r="B935" s="1843"/>
      <c r="C935" s="1818"/>
      <c r="D935" s="1818"/>
      <c r="E935" s="1719"/>
      <c r="F935" s="1818"/>
      <c r="H935" s="1719" t="s">
        <v>1107</v>
      </c>
      <c r="I935" s="435"/>
      <c r="K935" s="2152">
        <f>CF889</f>
        <v>0</v>
      </c>
      <c r="L935" s="2152">
        <f>CG889</f>
        <v>0</v>
      </c>
      <c r="M935" s="2152">
        <f>CH889</f>
        <v>0</v>
      </c>
      <c r="N935" s="2152">
        <f>CI889</f>
        <v>0</v>
      </c>
      <c r="O935" s="2152">
        <f>CJ889</f>
        <v>0</v>
      </c>
      <c r="P935" s="2152">
        <f t="shared" si="358"/>
        <v>0</v>
      </c>
      <c r="S935" s="2043"/>
      <c r="T935" s="2043"/>
      <c r="U935" s="2043"/>
      <c r="V935" s="2043"/>
      <c r="W935" s="2043"/>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1"/>
      <c r="KB935" s="2051"/>
      <c r="KG935" s="2051"/>
      <c r="KL935" s="2051"/>
      <c r="KM935" s="2051"/>
      <c r="KN935" s="2051"/>
      <c r="KO935" s="2051"/>
      <c r="KP935" s="2051"/>
      <c r="KQ935" s="2051"/>
      <c r="KR935" s="2051"/>
      <c r="KS935" s="2051"/>
      <c r="KT935" s="2051"/>
      <c r="KU935" s="2051"/>
      <c r="KV935" s="2051"/>
      <c r="KW935" s="2051"/>
      <c r="KX935" s="2051"/>
      <c r="KY935" s="2051"/>
      <c r="KZ935" s="2051"/>
      <c r="LA935" s="2051"/>
      <c r="LB935" s="2051"/>
      <c r="LC935" s="2051"/>
      <c r="LD935" s="2051"/>
      <c r="LE935" s="2051"/>
      <c r="LF935" s="2051"/>
      <c r="LG935" s="2051"/>
      <c r="NP935" s="1924"/>
    </row>
    <row r="936" spans="1:380" s="1852" customFormat="1" ht="15" customHeight="1">
      <c r="A936" s="1843"/>
      <c r="B936" s="1843"/>
      <c r="C936" s="1818"/>
      <c r="D936" s="1818"/>
      <c r="E936" s="1719"/>
      <c r="F936" s="1818"/>
      <c r="H936" s="1719" t="s">
        <v>111</v>
      </c>
      <c r="I936" s="435"/>
      <c r="K936" s="2152">
        <f>CA889</f>
        <v>0</v>
      </c>
      <c r="L936" s="2152">
        <f>CB889</f>
        <v>0</v>
      </c>
      <c r="M936" s="2152">
        <f>CC889</f>
        <v>0</v>
      </c>
      <c r="N936" s="2152">
        <f>CD889</f>
        <v>0</v>
      </c>
      <c r="O936" s="2152">
        <f>CE889</f>
        <v>0</v>
      </c>
      <c r="P936" s="2152">
        <f t="shared" si="358"/>
        <v>0</v>
      </c>
      <c r="S936" s="2043"/>
      <c r="T936" s="2043"/>
      <c r="U936" s="2043"/>
      <c r="V936" s="2043"/>
      <c r="W936" s="2043"/>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1"/>
      <c r="KB936" s="2051"/>
      <c r="KG936" s="2051"/>
      <c r="KL936" s="2051"/>
      <c r="KM936" s="2051"/>
      <c r="KN936" s="2051"/>
      <c r="KO936" s="2051"/>
      <c r="KP936" s="2051"/>
      <c r="KQ936" s="2051"/>
      <c r="KR936" s="2051"/>
      <c r="KS936" s="2051"/>
      <c r="KT936" s="2051"/>
      <c r="KU936" s="2051"/>
      <c r="KV936" s="2051"/>
      <c r="KW936" s="2051"/>
      <c r="KX936" s="2051"/>
      <c r="KY936" s="2051"/>
      <c r="KZ936" s="2051"/>
      <c r="LA936" s="2051"/>
      <c r="LB936" s="2051"/>
      <c r="LC936" s="2051"/>
      <c r="LD936" s="2051"/>
      <c r="LE936" s="2051"/>
      <c r="LF936" s="2051"/>
      <c r="LG936" s="2051"/>
      <c r="NP936" s="1924"/>
    </row>
    <row r="937" spans="1:380" s="1852" customFormat="1" ht="15" customHeight="1">
      <c r="A937" s="1843"/>
      <c r="B937" s="1843"/>
      <c r="C937" s="1818"/>
      <c r="D937" s="1818"/>
      <c r="E937" s="1719"/>
      <c r="F937" s="1818"/>
      <c r="H937" s="1719" t="s">
        <v>3834</v>
      </c>
      <c r="I937" s="435"/>
      <c r="K937" s="2152">
        <f>BV889</f>
        <v>0</v>
      </c>
      <c r="L937" s="2152">
        <f>BW889</f>
        <v>0</v>
      </c>
      <c r="M937" s="2152">
        <f>BX889</f>
        <v>0</v>
      </c>
      <c r="N937" s="2152">
        <f>BY889</f>
        <v>0</v>
      </c>
      <c r="O937" s="2152">
        <f>BZ889</f>
        <v>0</v>
      </c>
      <c r="P937" s="2152">
        <f t="shared" si="358"/>
        <v>0</v>
      </c>
      <c r="S937" s="2043"/>
      <c r="T937" s="2043"/>
      <c r="U937" s="2043"/>
      <c r="V937" s="2043"/>
      <c r="W937" s="2043"/>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1"/>
      <c r="KB937" s="2051"/>
      <c r="KG937" s="2051"/>
      <c r="KL937" s="2051"/>
      <c r="KM937" s="2051"/>
      <c r="KN937" s="2051"/>
      <c r="KO937" s="2051"/>
      <c r="KP937" s="2051"/>
      <c r="KQ937" s="2051"/>
      <c r="KR937" s="2051"/>
      <c r="KS937" s="2051"/>
      <c r="KT937" s="2051"/>
      <c r="KU937" s="2051"/>
      <c r="KV937" s="2051"/>
      <c r="KW937" s="2051"/>
      <c r="KX937" s="2051"/>
      <c r="KY937" s="2051"/>
      <c r="KZ937" s="2051"/>
      <c r="LA937" s="2051"/>
      <c r="LB937" s="2051"/>
      <c r="LC937" s="2051"/>
      <c r="LD937" s="2051"/>
      <c r="LE937" s="2051"/>
      <c r="LF937" s="2051"/>
      <c r="LG937" s="2051"/>
      <c r="NP937" s="1924"/>
    </row>
    <row r="938" spans="1:380" s="1852" customFormat="1" ht="15" customHeight="1">
      <c r="A938" s="1719"/>
      <c r="B938" s="1719"/>
      <c r="C938" s="1818"/>
      <c r="D938" s="1818"/>
      <c r="E938" s="1719"/>
      <c r="F938" s="1818"/>
      <c r="H938" s="1719" t="s">
        <v>3835</v>
      </c>
      <c r="I938" s="435"/>
      <c r="K938" s="2152">
        <f>BQ889</f>
        <v>0</v>
      </c>
      <c r="L938" s="2152">
        <f>BR889</f>
        <v>0</v>
      </c>
      <c r="M938" s="2152">
        <f>BS889</f>
        <v>0</v>
      </c>
      <c r="N938" s="2152">
        <f>BT889</f>
        <v>0</v>
      </c>
      <c r="O938" s="2152">
        <f>BU889</f>
        <v>0</v>
      </c>
      <c r="P938" s="2152">
        <f t="shared" si="358"/>
        <v>0</v>
      </c>
      <c r="S938" s="2043"/>
      <c r="T938" s="2043"/>
      <c r="U938" s="2043"/>
      <c r="V938" s="2043"/>
      <c r="W938" s="2043"/>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1"/>
      <c r="KB938" s="2051"/>
      <c r="KG938" s="2051"/>
      <c r="KL938" s="2051"/>
      <c r="KM938" s="2051"/>
      <c r="KN938" s="2051"/>
      <c r="KO938" s="2051"/>
      <c r="KP938" s="2051"/>
      <c r="KQ938" s="2051"/>
      <c r="KR938" s="2051"/>
      <c r="KS938" s="2051"/>
      <c r="KT938" s="2051"/>
      <c r="KU938" s="2051"/>
      <c r="KV938" s="2051"/>
      <c r="KW938" s="2051"/>
      <c r="KX938" s="2051"/>
      <c r="KY938" s="2051"/>
      <c r="KZ938" s="2051"/>
      <c r="LA938" s="2051"/>
      <c r="LB938" s="2051"/>
      <c r="LC938" s="2051"/>
      <c r="LD938" s="2051"/>
      <c r="LE938" s="2051"/>
      <c r="LF938" s="2051"/>
      <c r="LG938" s="2051"/>
      <c r="NP938" s="1924"/>
    </row>
    <row r="939" spans="1:380" s="1852" customFormat="1" ht="15" customHeight="1">
      <c r="A939" s="1719"/>
      <c r="B939" s="1719"/>
      <c r="D939" s="1818"/>
      <c r="E939" s="1719"/>
      <c r="F939" s="1818"/>
      <c r="H939" s="1719" t="s">
        <v>3836</v>
      </c>
      <c r="I939" s="435"/>
      <c r="K939" s="2166">
        <f>BL889</f>
        <v>0</v>
      </c>
      <c r="L939" s="2166">
        <f>BM889</f>
        <v>0</v>
      </c>
      <c r="M939" s="2166">
        <f>BN889</f>
        <v>0</v>
      </c>
      <c r="N939" s="2166">
        <f>BO889</f>
        <v>0</v>
      </c>
      <c r="O939" s="2166">
        <f>BP889</f>
        <v>0</v>
      </c>
      <c r="P939" s="2152">
        <f t="shared" si="358"/>
        <v>0</v>
      </c>
      <c r="S939" s="2043"/>
      <c r="T939" s="2043"/>
      <c r="U939" s="2043"/>
      <c r="V939" s="2043"/>
      <c r="W939" s="2043"/>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1"/>
      <c r="KB939" s="2051"/>
      <c r="KG939" s="2051"/>
      <c r="KL939" s="2051"/>
      <c r="KM939" s="2051"/>
      <c r="KN939" s="2051"/>
      <c r="KO939" s="2051"/>
      <c r="KP939" s="2051"/>
      <c r="KQ939" s="2051"/>
      <c r="KR939" s="2051"/>
      <c r="KS939" s="2051"/>
      <c r="KT939" s="2051"/>
      <c r="KU939" s="2051"/>
      <c r="KV939" s="2051"/>
      <c r="KW939" s="2051"/>
      <c r="KX939" s="2051"/>
      <c r="KY939" s="2051"/>
      <c r="KZ939" s="2051"/>
      <c r="LA939" s="2051"/>
      <c r="LB939" s="2051"/>
      <c r="LC939" s="2051"/>
      <c r="LD939" s="2051"/>
      <c r="LE939" s="2051"/>
      <c r="LF939" s="2051"/>
      <c r="LG939" s="2051"/>
      <c r="NP939" s="1924"/>
    </row>
    <row r="940" spans="1:380" s="1852" customFormat="1" ht="15" customHeight="1">
      <c r="A940" s="1719"/>
      <c r="B940" s="1719"/>
      <c r="C940" s="1818"/>
      <c r="D940" s="1818"/>
      <c r="E940" s="1719"/>
      <c r="F940" s="1818"/>
      <c r="H940" s="1719" t="s">
        <v>513</v>
      </c>
      <c r="I940" s="435"/>
      <c r="K940" s="2152">
        <f>SUM(K933:K939)</f>
        <v>0</v>
      </c>
      <c r="L940" s="2152">
        <f>SUM(L933:L939)</f>
        <v>2</v>
      </c>
      <c r="M940" s="2152">
        <f>SUM(M933:M939)</f>
        <v>2</v>
      </c>
      <c r="N940" s="2152">
        <f>SUM(N933:N939)</f>
        <v>2</v>
      </c>
      <c r="O940" s="2152">
        <f>SUM(O933:O939)</f>
        <v>0</v>
      </c>
      <c r="P940" s="2152">
        <f t="shared" si="358"/>
        <v>6</v>
      </c>
      <c r="S940" s="2043"/>
      <c r="T940" s="2043"/>
      <c r="U940" s="2043"/>
      <c r="V940" s="2043"/>
      <c r="W940" s="2043"/>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1"/>
      <c r="KB940" s="2051"/>
      <c r="KG940" s="2051"/>
      <c r="KL940" s="2051"/>
      <c r="KM940" s="2051"/>
      <c r="KN940" s="2051"/>
      <c r="KO940" s="2051"/>
      <c r="KP940" s="2051"/>
      <c r="KQ940" s="2051"/>
      <c r="KR940" s="2051"/>
      <c r="KS940" s="2051"/>
      <c r="KT940" s="2051"/>
      <c r="KU940" s="2051"/>
      <c r="KV940" s="2051"/>
      <c r="KW940" s="2051"/>
      <c r="KX940" s="2051"/>
      <c r="KY940" s="2051"/>
      <c r="KZ940" s="2051"/>
      <c r="LA940" s="2051"/>
      <c r="LB940" s="2051"/>
      <c r="LC940" s="2051"/>
      <c r="LD940" s="2051"/>
      <c r="LE940" s="2051"/>
      <c r="LF940" s="2051"/>
      <c r="LG940" s="2051"/>
      <c r="NP940" s="1924"/>
    </row>
    <row r="941" spans="1:380" s="1852" customFormat="1" ht="9" customHeight="1">
      <c r="A941" s="1719"/>
      <c r="B941" s="1719"/>
      <c r="C941" s="1818"/>
      <c r="D941" s="1818"/>
      <c r="E941" s="1818"/>
      <c r="F941" s="1818"/>
      <c r="H941" s="1719"/>
      <c r="I941" s="435"/>
      <c r="K941" s="2165"/>
      <c r="L941" s="2165"/>
      <c r="M941" s="2165"/>
      <c r="N941" s="2165"/>
      <c r="O941" s="2165"/>
      <c r="P941" s="2165"/>
      <c r="U941" s="2488"/>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1"/>
      <c r="KB941" s="2051"/>
      <c r="KG941" s="2051"/>
      <c r="KL941" s="2051"/>
      <c r="KM941" s="2051"/>
      <c r="KN941" s="2051"/>
      <c r="KO941" s="2051"/>
      <c r="KP941" s="2051"/>
      <c r="KQ941" s="2051"/>
      <c r="KR941" s="2051"/>
      <c r="KS941" s="2051"/>
      <c r="KT941" s="2051"/>
      <c r="KU941" s="2051"/>
      <c r="KV941" s="2051"/>
      <c r="KW941" s="2051"/>
      <c r="KX941" s="2051"/>
      <c r="KY941" s="2051"/>
      <c r="KZ941" s="2051"/>
      <c r="LA941" s="2051"/>
      <c r="LB941" s="2051"/>
      <c r="LC941" s="2051"/>
      <c r="LD941" s="2051"/>
      <c r="LE941" s="2051"/>
      <c r="LF941" s="2051"/>
      <c r="LG941" s="2051"/>
      <c r="NP941" s="1924"/>
    </row>
    <row r="942" spans="1:380" s="1852" customFormat="1" ht="14.45" customHeight="1">
      <c r="A942" s="1852" t="s">
        <v>710</v>
      </c>
      <c r="B942" s="1852" t="s">
        <v>7138</v>
      </c>
      <c r="H942" s="2114"/>
      <c r="L942" s="2149">
        <f>$L$53</f>
        <v>0</v>
      </c>
      <c r="M942" s="2149"/>
      <c r="N942" s="2149"/>
      <c r="O942" s="2149"/>
      <c r="S942" s="1818" t="str">
        <f>B942</f>
        <v>UNIT SUMMARY (Continued)</v>
      </c>
      <c r="T942" s="1818"/>
      <c r="U942" s="1818"/>
      <c r="V942" s="1818"/>
      <c r="AY942" s="1818"/>
      <c r="BD942" s="1818"/>
      <c r="JW942" s="2051"/>
      <c r="KB942" s="2051"/>
      <c r="KG942" s="2051"/>
      <c r="KL942" s="2051"/>
      <c r="KM942" s="2051"/>
      <c r="KN942" s="2051"/>
      <c r="KO942" s="2051"/>
      <c r="KP942" s="2051"/>
      <c r="KQ942" s="2051"/>
      <c r="KR942" s="2051"/>
      <c r="KS942" s="2051"/>
      <c r="KT942" s="2051"/>
      <c r="KU942" s="2051"/>
      <c r="KV942" s="2051"/>
      <c r="KW942" s="2051"/>
      <c r="KX942" s="2051"/>
      <c r="KY942" s="2051"/>
      <c r="KZ942" s="2051"/>
      <c r="LA942" s="2051"/>
      <c r="LB942" s="2051"/>
      <c r="LC942" s="2051"/>
      <c r="LD942" s="2051"/>
      <c r="LE942" s="2051"/>
      <c r="LF942" s="2051"/>
      <c r="LG942" s="2051"/>
      <c r="NP942" s="1924"/>
    </row>
    <row r="943" spans="1:380" s="1852" customFormat="1" ht="9" customHeight="1">
      <c r="H943" s="2114"/>
      <c r="S943" s="1875" t="str">
        <f>C944</f>
        <v>PHA Operating Subsidy-Assisted</v>
      </c>
      <c r="U943" s="2150"/>
      <c r="AY943" s="1818"/>
      <c r="BD943" s="1818"/>
      <c r="JW943" s="2051"/>
      <c r="KB943" s="2051"/>
      <c r="KG943" s="2051"/>
      <c r="KL943" s="2051"/>
      <c r="KM943" s="2051"/>
      <c r="KN943" s="2051"/>
      <c r="KO943" s="2051"/>
      <c r="KP943" s="2051"/>
      <c r="KQ943" s="2051"/>
      <c r="KR943" s="2051"/>
      <c r="KS943" s="2051"/>
      <c r="KT943" s="2051"/>
      <c r="KU943" s="2051"/>
      <c r="KV943" s="2051"/>
      <c r="KW943" s="2051"/>
      <c r="KX943" s="2051"/>
      <c r="KY943" s="2051"/>
      <c r="KZ943" s="2051"/>
      <c r="LA943" s="2051"/>
      <c r="LB943" s="2051"/>
      <c r="LC943" s="2051"/>
      <c r="LD943" s="2051"/>
      <c r="LE943" s="2051"/>
      <c r="LF943" s="2051"/>
      <c r="LG943" s="2051"/>
      <c r="NP943" s="1924"/>
    </row>
    <row r="944" spans="1:380" s="1852" customFormat="1" ht="15" customHeight="1">
      <c r="A944" s="1719"/>
      <c r="B944" s="1719"/>
      <c r="C944" s="2158" t="s">
        <v>856</v>
      </c>
      <c r="D944" s="2158"/>
      <c r="E944" s="2158"/>
      <c r="F944" s="1818"/>
      <c r="H944" s="1719" t="s">
        <v>3832</v>
      </c>
      <c r="I944" s="435"/>
      <c r="K944" s="2166">
        <f>DY889</f>
        <v>0</v>
      </c>
      <c r="L944" s="2166">
        <f>DZ889</f>
        <v>0</v>
      </c>
      <c r="M944" s="2166">
        <f>EA889</f>
        <v>0</v>
      </c>
      <c r="N944" s="2166">
        <f>EB889</f>
        <v>0</v>
      </c>
      <c r="O944" s="2166">
        <f>EC889</f>
        <v>0</v>
      </c>
      <c r="P944" s="2152">
        <f t="shared" ref="P944:P951" si="359">SUM(K944:O944)</f>
        <v>0</v>
      </c>
      <c r="S944" s="2043"/>
      <c r="T944" s="2043"/>
      <c r="U944" s="2043"/>
      <c r="V944" s="2043"/>
      <c r="W944" s="2043"/>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1"/>
      <c r="KB944" s="2051"/>
      <c r="KG944" s="2051"/>
      <c r="KL944" s="2051"/>
      <c r="KM944" s="2051"/>
      <c r="KN944" s="2051"/>
      <c r="KO944" s="2051"/>
      <c r="KP944" s="2051"/>
      <c r="KQ944" s="2051"/>
      <c r="KR944" s="2051"/>
      <c r="KS944" s="2051"/>
      <c r="KT944" s="2051"/>
      <c r="KU944" s="2051"/>
      <c r="KV944" s="2051"/>
      <c r="KW944" s="2051"/>
      <c r="KX944" s="2051"/>
      <c r="KY944" s="2051"/>
      <c r="KZ944" s="2051"/>
      <c r="LA944" s="2051"/>
      <c r="LB944" s="2051"/>
      <c r="LC944" s="2051"/>
      <c r="LD944" s="2051"/>
      <c r="LE944" s="2051"/>
      <c r="LF944" s="2051"/>
      <c r="LG944" s="2051"/>
      <c r="NP944" s="1924"/>
    </row>
    <row r="945" spans="1:380" s="1852" customFormat="1" ht="15" customHeight="1">
      <c r="A945" s="1719"/>
      <c r="B945" s="1719"/>
      <c r="C945" s="435" t="s">
        <v>2395</v>
      </c>
      <c r="D945" s="2158"/>
      <c r="E945" s="2158"/>
      <c r="F945" s="1818"/>
      <c r="H945" s="1719" t="s">
        <v>3833</v>
      </c>
      <c r="I945" s="435"/>
      <c r="K945" s="2152">
        <f>DT889</f>
        <v>0</v>
      </c>
      <c r="L945" s="2152">
        <f>DU889</f>
        <v>0</v>
      </c>
      <c r="M945" s="2152">
        <f>DV889</f>
        <v>0</v>
      </c>
      <c r="N945" s="2152">
        <f>DW889</f>
        <v>0</v>
      </c>
      <c r="O945" s="2152">
        <f>DX889</f>
        <v>0</v>
      </c>
      <c r="P945" s="2152">
        <f t="shared" si="359"/>
        <v>0</v>
      </c>
      <c r="S945" s="2043"/>
      <c r="T945" s="2043"/>
      <c r="U945" s="2043"/>
      <c r="V945" s="2043"/>
      <c r="W945" s="2043"/>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1"/>
      <c r="KB945" s="2051"/>
      <c r="KG945" s="2051"/>
      <c r="KL945" s="2051"/>
      <c r="KM945" s="2051"/>
      <c r="KN945" s="2051"/>
      <c r="KO945" s="2051"/>
      <c r="KP945" s="2051"/>
      <c r="KQ945" s="2051"/>
      <c r="KR945" s="2051"/>
      <c r="KS945" s="2051"/>
      <c r="KT945" s="2051"/>
      <c r="KU945" s="2051"/>
      <c r="KV945" s="2051"/>
      <c r="KW945" s="2051"/>
      <c r="KX945" s="2051"/>
      <c r="KY945" s="2051"/>
      <c r="KZ945" s="2051"/>
      <c r="LA945" s="2051"/>
      <c r="LB945" s="2051"/>
      <c r="LC945" s="2051"/>
      <c r="LD945" s="2051"/>
      <c r="LE945" s="2051"/>
      <c r="LF945" s="2051"/>
      <c r="LG945" s="2051"/>
      <c r="NP945" s="1924"/>
    </row>
    <row r="946" spans="1:380" s="1852" customFormat="1" ht="15" customHeight="1">
      <c r="A946" s="1719"/>
      <c r="B946" s="1719"/>
      <c r="C946" s="2158"/>
      <c r="D946" s="2158"/>
      <c r="E946" s="2158"/>
      <c r="F946" s="1818"/>
      <c r="H946" s="1719" t="s">
        <v>1107</v>
      </c>
      <c r="I946" s="435"/>
      <c r="K946" s="2152">
        <f>DO889</f>
        <v>0</v>
      </c>
      <c r="L946" s="2152">
        <f>DP889</f>
        <v>0</v>
      </c>
      <c r="M946" s="2152">
        <f>DQ889</f>
        <v>0</v>
      </c>
      <c r="N946" s="2152">
        <f>DR889</f>
        <v>0</v>
      </c>
      <c r="O946" s="2152">
        <f>DS889</f>
        <v>0</v>
      </c>
      <c r="P946" s="2152">
        <f t="shared" si="359"/>
        <v>0</v>
      </c>
      <c r="S946" s="2043"/>
      <c r="T946" s="2043"/>
      <c r="U946" s="2043"/>
      <c r="V946" s="2043"/>
      <c r="W946" s="2043"/>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1"/>
      <c r="KB946" s="2051"/>
      <c r="KG946" s="2051"/>
      <c r="KL946" s="2051"/>
      <c r="KM946" s="2051"/>
      <c r="KN946" s="2051"/>
      <c r="KO946" s="2051"/>
      <c r="KP946" s="2051"/>
      <c r="KQ946" s="2051"/>
      <c r="KR946" s="2051"/>
      <c r="KS946" s="2051"/>
      <c r="KT946" s="2051"/>
      <c r="KU946" s="2051"/>
      <c r="KV946" s="2051"/>
      <c r="KW946" s="2051"/>
      <c r="KX946" s="2051"/>
      <c r="KY946" s="2051"/>
      <c r="KZ946" s="2051"/>
      <c r="LA946" s="2051"/>
      <c r="LB946" s="2051"/>
      <c r="LC946" s="2051"/>
      <c r="LD946" s="2051"/>
      <c r="LE946" s="2051"/>
      <c r="LF946" s="2051"/>
      <c r="LG946" s="2051"/>
      <c r="NP946" s="1924"/>
    </row>
    <row r="947" spans="1:380" s="1852" customFormat="1" ht="15" customHeight="1">
      <c r="A947" s="1719"/>
      <c r="B947" s="1719"/>
      <c r="C947" s="2158"/>
      <c r="D947" s="2158"/>
      <c r="E947" s="2158"/>
      <c r="F947" s="1818"/>
      <c r="H947" s="1719" t="s">
        <v>111</v>
      </c>
      <c r="I947" s="435"/>
      <c r="K947" s="2152">
        <f>DJ889</f>
        <v>0</v>
      </c>
      <c r="L947" s="2152">
        <f>DK889</f>
        <v>0</v>
      </c>
      <c r="M947" s="2152">
        <f>DL889</f>
        <v>0</v>
      </c>
      <c r="N947" s="2152">
        <f>DM889</f>
        <v>0</v>
      </c>
      <c r="O947" s="2152">
        <f>DN889</f>
        <v>0</v>
      </c>
      <c r="P947" s="2152">
        <f t="shared" si="359"/>
        <v>0</v>
      </c>
      <c r="S947" s="2043"/>
      <c r="T947" s="2043"/>
      <c r="U947" s="2043"/>
      <c r="V947" s="2043"/>
      <c r="W947" s="2043"/>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1"/>
      <c r="KB947" s="2051"/>
      <c r="KG947" s="2051"/>
      <c r="KL947" s="2051"/>
      <c r="KM947" s="2051"/>
      <c r="KN947" s="2051"/>
      <c r="KO947" s="2051"/>
      <c r="KP947" s="2051"/>
      <c r="KQ947" s="2051"/>
      <c r="KR947" s="2051"/>
      <c r="KS947" s="2051"/>
      <c r="KT947" s="2051"/>
      <c r="KU947" s="2051"/>
      <c r="KV947" s="2051"/>
      <c r="KW947" s="2051"/>
      <c r="KX947" s="2051"/>
      <c r="KY947" s="2051"/>
      <c r="KZ947" s="2051"/>
      <c r="LA947" s="2051"/>
      <c r="LB947" s="2051"/>
      <c r="LC947" s="2051"/>
      <c r="LD947" s="2051"/>
      <c r="LE947" s="2051"/>
      <c r="LF947" s="2051"/>
      <c r="LG947" s="2051"/>
      <c r="NP947" s="1924"/>
    </row>
    <row r="948" spans="1:380" s="1852" customFormat="1" ht="15" customHeight="1">
      <c r="A948" s="1719"/>
      <c r="B948" s="1719"/>
      <c r="C948" s="2158"/>
      <c r="D948" s="2158"/>
      <c r="E948" s="2158"/>
      <c r="F948" s="1818"/>
      <c r="H948" s="1719" t="s">
        <v>3834</v>
      </c>
      <c r="I948" s="435"/>
      <c r="K948" s="2152">
        <f>DE889</f>
        <v>0</v>
      </c>
      <c r="L948" s="2152">
        <f>DF889</f>
        <v>0</v>
      </c>
      <c r="M948" s="2152">
        <f>DG889</f>
        <v>0</v>
      </c>
      <c r="N948" s="2152">
        <f>DH889</f>
        <v>0</v>
      </c>
      <c r="O948" s="2152">
        <f>DI889</f>
        <v>0</v>
      </c>
      <c r="P948" s="2152">
        <f t="shared" si="359"/>
        <v>0</v>
      </c>
      <c r="S948" s="2043"/>
      <c r="T948" s="2043"/>
      <c r="U948" s="2043"/>
      <c r="V948" s="2043"/>
      <c r="W948" s="2043"/>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1"/>
      <c r="KB948" s="2051"/>
      <c r="KG948" s="2051"/>
      <c r="KL948" s="2051"/>
      <c r="KM948" s="2051"/>
      <c r="KN948" s="2051"/>
      <c r="KO948" s="2051"/>
      <c r="KP948" s="2051"/>
      <c r="KQ948" s="2051"/>
      <c r="KR948" s="2051"/>
      <c r="KS948" s="2051"/>
      <c r="KT948" s="2051"/>
      <c r="KU948" s="2051"/>
      <c r="KV948" s="2051"/>
      <c r="KW948" s="2051"/>
      <c r="KX948" s="2051"/>
      <c r="KY948" s="2051"/>
      <c r="KZ948" s="2051"/>
      <c r="LA948" s="2051"/>
      <c r="LB948" s="2051"/>
      <c r="LC948" s="2051"/>
      <c r="LD948" s="2051"/>
      <c r="LE948" s="2051"/>
      <c r="LF948" s="2051"/>
      <c r="LG948" s="2051"/>
      <c r="NP948" s="1924"/>
    </row>
    <row r="949" spans="1:380" s="1852" customFormat="1" ht="15" customHeight="1">
      <c r="A949" s="1719"/>
      <c r="B949" s="1719"/>
      <c r="C949" s="2158"/>
      <c r="D949" s="2158"/>
      <c r="E949" s="2158"/>
      <c r="F949" s="1818"/>
      <c r="H949" s="1719" t="s">
        <v>3835</v>
      </c>
      <c r="I949" s="435"/>
      <c r="K949" s="2152">
        <f>CZ889</f>
        <v>0</v>
      </c>
      <c r="L949" s="2152">
        <f>DA889</f>
        <v>0</v>
      </c>
      <c r="M949" s="2152">
        <f>DB889</f>
        <v>0</v>
      </c>
      <c r="N949" s="2152">
        <f>DC889</f>
        <v>0</v>
      </c>
      <c r="O949" s="2152">
        <f>DD889</f>
        <v>0</v>
      </c>
      <c r="P949" s="2152">
        <f t="shared" si="359"/>
        <v>0</v>
      </c>
      <c r="S949" s="2043"/>
      <c r="T949" s="2043"/>
      <c r="U949" s="2043"/>
      <c r="V949" s="2043"/>
      <c r="W949" s="2043"/>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1"/>
      <c r="KB949" s="2051"/>
      <c r="KG949" s="2051"/>
      <c r="KL949" s="2051"/>
      <c r="KM949" s="2051"/>
      <c r="KN949" s="2051"/>
      <c r="KO949" s="2051"/>
      <c r="KP949" s="2051"/>
      <c r="KQ949" s="2051"/>
      <c r="KR949" s="2051"/>
      <c r="KS949" s="2051"/>
      <c r="KT949" s="2051"/>
      <c r="KU949" s="2051"/>
      <c r="KV949" s="2051"/>
      <c r="KW949" s="2051"/>
      <c r="KX949" s="2051"/>
      <c r="KY949" s="2051"/>
      <c r="KZ949" s="2051"/>
      <c r="LA949" s="2051"/>
      <c r="LB949" s="2051"/>
      <c r="LC949" s="2051"/>
      <c r="LD949" s="2051"/>
      <c r="LE949" s="2051"/>
      <c r="LF949" s="2051"/>
      <c r="LG949" s="2051"/>
      <c r="NP949" s="1924"/>
    </row>
    <row r="950" spans="1:380" s="1852" customFormat="1" ht="15" customHeight="1">
      <c r="A950" s="1719"/>
      <c r="B950" s="1719"/>
      <c r="C950" s="2158"/>
      <c r="D950" s="2158"/>
      <c r="E950" s="2158"/>
      <c r="F950" s="1818"/>
      <c r="H950" s="1719" t="s">
        <v>3836</v>
      </c>
      <c r="I950" s="435"/>
      <c r="K950" s="2166">
        <f>CU889</f>
        <v>0</v>
      </c>
      <c r="L950" s="2166">
        <f>CV889</f>
        <v>0</v>
      </c>
      <c r="M950" s="2166">
        <f>CW889</f>
        <v>0</v>
      </c>
      <c r="N950" s="2166">
        <f>CX889</f>
        <v>0</v>
      </c>
      <c r="O950" s="2166">
        <f>CY889</f>
        <v>0</v>
      </c>
      <c r="P950" s="2152">
        <f t="shared" si="359"/>
        <v>0</v>
      </c>
      <c r="S950" s="2043"/>
      <c r="T950" s="2043"/>
      <c r="U950" s="2043"/>
      <c r="V950" s="2043"/>
      <c r="W950" s="2043"/>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1"/>
      <c r="KB950" s="2051"/>
      <c r="KG950" s="2051"/>
      <c r="KL950" s="2051"/>
      <c r="KM950" s="2051"/>
      <c r="KN950" s="2051"/>
      <c r="KO950" s="2051"/>
      <c r="KP950" s="2051"/>
      <c r="KQ950" s="2051"/>
      <c r="KR950" s="2051"/>
      <c r="KS950" s="2051"/>
      <c r="KT950" s="2051"/>
      <c r="KU950" s="2051"/>
      <c r="KV950" s="2051"/>
      <c r="KW950" s="2051"/>
      <c r="KX950" s="2051"/>
      <c r="KY950" s="2051"/>
      <c r="KZ950" s="2051"/>
      <c r="LA950" s="2051"/>
      <c r="LB950" s="2051"/>
      <c r="LC950" s="2051"/>
      <c r="LD950" s="2051"/>
      <c r="LE950" s="2051"/>
      <c r="LF950" s="2051"/>
      <c r="LG950" s="2051"/>
      <c r="NP950" s="1924"/>
    </row>
    <row r="951" spans="1:380" s="1852" customFormat="1" ht="15" customHeight="1">
      <c r="A951" s="1719"/>
      <c r="B951" s="1719"/>
      <c r="D951" s="1818"/>
      <c r="E951" s="1719"/>
      <c r="F951" s="1818"/>
      <c r="H951" s="1719" t="s">
        <v>513</v>
      </c>
      <c r="I951" s="435"/>
      <c r="K951" s="2152">
        <f>SUM(K944:K950)</f>
        <v>0</v>
      </c>
      <c r="L951" s="2152">
        <f>SUM(L944:L950)</f>
        <v>0</v>
      </c>
      <c r="M951" s="2152">
        <f>SUM(M944:M950)</f>
        <v>0</v>
      </c>
      <c r="N951" s="2152">
        <f>SUM(N944:N950)</f>
        <v>0</v>
      </c>
      <c r="O951" s="2152">
        <f>SUM(O944:O950)</f>
        <v>0</v>
      </c>
      <c r="P951" s="2152">
        <f t="shared" si="359"/>
        <v>0</v>
      </c>
      <c r="S951" s="2043"/>
      <c r="T951" s="2043"/>
      <c r="U951" s="2043"/>
      <c r="V951" s="2043"/>
      <c r="W951" s="2043"/>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1"/>
      <c r="KB951" s="2051"/>
      <c r="KG951" s="2051"/>
      <c r="KL951" s="2051"/>
      <c r="KM951" s="2051"/>
      <c r="KN951" s="2051"/>
      <c r="KO951" s="2051"/>
      <c r="KP951" s="2051"/>
      <c r="KQ951" s="2051"/>
      <c r="KR951" s="2051"/>
      <c r="KS951" s="2051"/>
      <c r="KT951" s="2051"/>
      <c r="KU951" s="2051"/>
      <c r="KV951" s="2051"/>
      <c r="KW951" s="2051"/>
      <c r="KX951" s="2051"/>
      <c r="KY951" s="2051"/>
      <c r="KZ951" s="2051"/>
      <c r="LA951" s="2051"/>
      <c r="LB951" s="2051"/>
      <c r="LC951" s="2051"/>
      <c r="LD951" s="2051"/>
      <c r="LE951" s="2051"/>
      <c r="LF951" s="2051"/>
      <c r="LG951" s="2051"/>
      <c r="NP951" s="1924"/>
    </row>
    <row r="952" spans="1:380" s="1852" customFormat="1" ht="9" customHeight="1">
      <c r="A952" s="1719"/>
      <c r="B952" s="1719"/>
      <c r="D952" s="1818"/>
      <c r="E952" s="1719"/>
      <c r="F952" s="1818"/>
      <c r="H952" s="1719"/>
      <c r="I952" s="435"/>
      <c r="K952" s="2165"/>
      <c r="L952" s="2165"/>
      <c r="M952" s="2165"/>
      <c r="N952" s="2165"/>
      <c r="O952" s="2165"/>
      <c r="P952" s="2165"/>
      <c r="S952" s="1875" t="str">
        <f>C953</f>
        <v>Type of Construction Activity</v>
      </c>
      <c r="U952" s="2488"/>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1"/>
      <c r="KB952" s="2051"/>
      <c r="KG952" s="2051"/>
      <c r="KL952" s="2051"/>
      <c r="KM952" s="2051"/>
      <c r="KN952" s="2051"/>
      <c r="KO952" s="2051"/>
      <c r="KP952" s="2051"/>
      <c r="KQ952" s="2051"/>
      <c r="KR952" s="2051"/>
      <c r="KS952" s="2051"/>
      <c r="KT952" s="2051"/>
      <c r="KU952" s="2051"/>
      <c r="KV952" s="2051"/>
      <c r="KW952" s="2051"/>
      <c r="KX952" s="2051"/>
      <c r="KY952" s="2051"/>
      <c r="KZ952" s="2051"/>
      <c r="LA952" s="2051"/>
      <c r="LB952" s="2051"/>
      <c r="LC952" s="2051"/>
      <c r="LD952" s="2051"/>
      <c r="LE952" s="2051"/>
      <c r="LF952" s="2051"/>
      <c r="LG952" s="2051"/>
      <c r="NP952" s="1924"/>
    </row>
    <row r="953" spans="1:380" s="1852" customFormat="1" ht="14.25" customHeight="1">
      <c r="A953" s="1719"/>
      <c r="B953" s="1719"/>
      <c r="C953" s="2158" t="s">
        <v>35</v>
      </c>
      <c r="D953" s="2158"/>
      <c r="E953" s="1719" t="s">
        <v>2193</v>
      </c>
      <c r="F953" s="1818"/>
      <c r="H953" s="1719" t="s">
        <v>1377</v>
      </c>
      <c r="I953" s="435"/>
      <c r="K953" s="2152">
        <f>GG889</f>
        <v>0</v>
      </c>
      <c r="L953" s="2152">
        <f>GH889</f>
        <v>12</v>
      </c>
      <c r="M953" s="2152">
        <f>GI889</f>
        <v>24</v>
      </c>
      <c r="N953" s="2152">
        <f>GJ889</f>
        <v>12</v>
      </c>
      <c r="O953" s="2152">
        <f>GK889</f>
        <v>0</v>
      </c>
      <c r="P953" s="2152">
        <f t="shared" ref="P953:P963" si="360">SUM(K953:O953)</f>
        <v>48</v>
      </c>
      <c r="S953" s="2043"/>
      <c r="T953" s="2043"/>
      <c r="U953" s="2043"/>
      <c r="V953" s="2043"/>
      <c r="W953" s="2043"/>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4"/>
    </row>
    <row r="954" spans="1:380" s="1852" customFormat="1" ht="14.25" customHeight="1">
      <c r="A954" s="1719"/>
      <c r="B954" s="1719"/>
      <c r="C954" s="2158"/>
      <c r="D954" s="2158"/>
      <c r="E954" s="1719"/>
      <c r="F954" s="1818"/>
      <c r="H954" s="1719" t="s">
        <v>292</v>
      </c>
      <c r="I954" s="435"/>
      <c r="K954" s="2152">
        <f>GL889</f>
        <v>0</v>
      </c>
      <c r="L954" s="2152">
        <f>GM889</f>
        <v>0</v>
      </c>
      <c r="M954" s="2152">
        <f>GN889</f>
        <v>0</v>
      </c>
      <c r="N954" s="2152">
        <f>GO889</f>
        <v>0</v>
      </c>
      <c r="O954" s="2152">
        <f>GP889</f>
        <v>0</v>
      </c>
      <c r="P954" s="2152">
        <f t="shared" si="360"/>
        <v>0</v>
      </c>
      <c r="S954" s="2043"/>
      <c r="T954" s="2043"/>
      <c r="U954" s="2043"/>
      <c r="V954" s="2043"/>
      <c r="W954" s="2043"/>
      <c r="X954" s="1818"/>
      <c r="AA954" s="1818"/>
      <c r="AB954" s="435"/>
      <c r="AC954" s="1818"/>
      <c r="AF954" s="1818"/>
      <c r="AG954" s="435"/>
      <c r="AH954" s="1818"/>
      <c r="AK954" s="1818"/>
      <c r="AL954" s="435"/>
      <c r="AM954" s="1818"/>
      <c r="AP954" s="1818"/>
      <c r="AQ954" s="435"/>
      <c r="AR954" s="436"/>
      <c r="AS954" s="436"/>
      <c r="AT954" s="436"/>
      <c r="AU954" s="436"/>
      <c r="AV954" s="436"/>
      <c r="AW954" s="436"/>
      <c r="AX954" s="2112"/>
      <c r="AY954" s="1818"/>
      <c r="BB954" s="436"/>
      <c r="BC954" s="2112"/>
      <c r="BD954" s="1818"/>
      <c r="JW954" s="2051"/>
      <c r="KB954" s="2051"/>
      <c r="KG954" s="2051"/>
      <c r="KL954" s="2051"/>
      <c r="KM954" s="2051"/>
      <c r="KN954" s="2051"/>
      <c r="KO954" s="2051"/>
      <c r="KP954" s="2051"/>
      <c r="KQ954" s="2051"/>
      <c r="KR954" s="2051"/>
      <c r="KS954" s="2051"/>
      <c r="KT954" s="2051"/>
      <c r="KU954" s="2051"/>
      <c r="KV954" s="2051"/>
      <c r="KW954" s="2051"/>
      <c r="KX954" s="2051"/>
      <c r="KY954" s="2051"/>
      <c r="KZ954" s="2051"/>
      <c r="LA954" s="2051"/>
      <c r="LB954" s="2051"/>
      <c r="LC954" s="2051"/>
      <c r="LD954" s="2051"/>
      <c r="LE954" s="2051"/>
      <c r="LF954" s="2051"/>
      <c r="LG954" s="2051"/>
      <c r="NP954" s="1924"/>
    </row>
    <row r="955" spans="1:380" s="1852" customFormat="1" ht="14.25" customHeight="1">
      <c r="A955" s="1719"/>
      <c r="B955" s="1719"/>
      <c r="C955" s="2158"/>
      <c r="D955" s="2158"/>
      <c r="E955" s="1719"/>
      <c r="F955" s="1818"/>
      <c r="H955" s="1719" t="s">
        <v>29</v>
      </c>
      <c r="I955" s="435"/>
      <c r="K955" s="2152">
        <f>SUM(K953:K954)+GQ889</f>
        <v>0</v>
      </c>
      <c r="L955" s="2152">
        <f>SUM(L953:L954)+GR889</f>
        <v>12</v>
      </c>
      <c r="M955" s="2152">
        <f>SUM(M953:M954)+GS889</f>
        <v>24</v>
      </c>
      <c r="N955" s="2152">
        <f>SUM(N953:N954)+GT889</f>
        <v>12</v>
      </c>
      <c r="O955" s="2152">
        <f>SUM(O953:O954)+GU889</f>
        <v>0</v>
      </c>
      <c r="P955" s="2152">
        <f t="shared" si="360"/>
        <v>48</v>
      </c>
      <c r="S955" s="2043"/>
      <c r="T955" s="2043"/>
      <c r="U955" s="2043"/>
      <c r="V955" s="2043"/>
      <c r="W955" s="2043"/>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1"/>
      <c r="KB955" s="2051"/>
      <c r="KG955" s="2051"/>
      <c r="KL955" s="2051"/>
      <c r="KM955" s="2051"/>
      <c r="KN955" s="2051"/>
      <c r="KO955" s="2051"/>
      <c r="KP955" s="2051"/>
      <c r="KQ955" s="2051"/>
      <c r="KR955" s="2051"/>
      <c r="KS955" s="2051"/>
      <c r="KT955" s="2051"/>
      <c r="KU955" s="2051"/>
      <c r="KV955" s="2051"/>
      <c r="KW955" s="2051"/>
      <c r="KX955" s="2051"/>
      <c r="KY955" s="2051"/>
      <c r="KZ955" s="2051"/>
      <c r="LA955" s="2051"/>
      <c r="LB955" s="2051"/>
      <c r="LC955" s="2051"/>
      <c r="LD955" s="2051"/>
      <c r="LE955" s="2051"/>
      <c r="LF955" s="2051"/>
      <c r="LG955" s="2051"/>
      <c r="NP955" s="1924"/>
    </row>
    <row r="956" spans="1:380" s="1852" customFormat="1" ht="14.25" customHeight="1">
      <c r="A956" s="1719"/>
      <c r="B956" s="1719"/>
      <c r="C956" s="2158"/>
      <c r="D956" s="2158"/>
      <c r="E956" s="1719" t="s">
        <v>2044</v>
      </c>
      <c r="F956" s="1818"/>
      <c r="H956" s="1719" t="s">
        <v>1377</v>
      </c>
      <c r="I956" s="435"/>
      <c r="K956" s="2152">
        <f>GV889</f>
        <v>0</v>
      </c>
      <c r="L956" s="2152">
        <f>GW889</f>
        <v>0</v>
      </c>
      <c r="M956" s="2152">
        <f>GX889</f>
        <v>0</v>
      </c>
      <c r="N956" s="2152">
        <f>GY889</f>
        <v>0</v>
      </c>
      <c r="O956" s="2152">
        <f>GZ889</f>
        <v>0</v>
      </c>
      <c r="P956" s="2152">
        <f t="shared" si="360"/>
        <v>0</v>
      </c>
      <c r="S956" s="2043"/>
      <c r="T956" s="2043"/>
      <c r="U956" s="2043"/>
      <c r="V956" s="2043"/>
      <c r="W956" s="2043"/>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4"/>
    </row>
    <row r="957" spans="1:380" s="1852" customFormat="1" ht="14.25" customHeight="1">
      <c r="A957" s="1719"/>
      <c r="B957" s="1719"/>
      <c r="C957" s="2158"/>
      <c r="D957" s="2158"/>
      <c r="E957" s="1719"/>
      <c r="F957" s="1818"/>
      <c r="H957" s="1719" t="s">
        <v>292</v>
      </c>
      <c r="I957" s="435"/>
      <c r="K957" s="2152">
        <f>HA889</f>
        <v>0</v>
      </c>
      <c r="L957" s="2152">
        <f>HB889</f>
        <v>0</v>
      </c>
      <c r="M957" s="2152">
        <f>HC889</f>
        <v>0</v>
      </c>
      <c r="N957" s="2152">
        <f>HD889</f>
        <v>0</v>
      </c>
      <c r="O957" s="2152">
        <f>HE889</f>
        <v>0</v>
      </c>
      <c r="P957" s="2152">
        <f t="shared" si="360"/>
        <v>0</v>
      </c>
      <c r="S957" s="2043"/>
      <c r="T957" s="2043"/>
      <c r="U957" s="2043"/>
      <c r="V957" s="2043"/>
      <c r="W957" s="2043"/>
      <c r="X957" s="1818"/>
      <c r="AA957" s="1818"/>
      <c r="AB957" s="435"/>
      <c r="AC957" s="1818"/>
      <c r="AF957" s="1818"/>
      <c r="AG957" s="435"/>
      <c r="AH957" s="1818"/>
      <c r="AK957" s="1818"/>
      <c r="AL957" s="435"/>
      <c r="AM957" s="1818"/>
      <c r="AP957" s="1818"/>
      <c r="AQ957" s="435"/>
      <c r="AR957" s="436"/>
      <c r="AS957" s="436"/>
      <c r="AT957" s="436"/>
      <c r="AU957" s="436"/>
      <c r="AV957" s="436"/>
      <c r="AW957" s="436"/>
      <c r="AX957" s="2112"/>
      <c r="AY957" s="1818"/>
      <c r="BB957" s="436"/>
      <c r="BC957" s="2112"/>
      <c r="BD957" s="1818"/>
      <c r="JW957" s="2051"/>
      <c r="KB957" s="2051"/>
      <c r="KG957" s="2051"/>
      <c r="KL957" s="2051"/>
      <c r="KM957" s="2051"/>
      <c r="KN957" s="2051"/>
      <c r="KO957" s="2051"/>
      <c r="KP957" s="2051"/>
      <c r="KQ957" s="2051"/>
      <c r="KR957" s="2051"/>
      <c r="KS957" s="2051"/>
      <c r="KT957" s="2051"/>
      <c r="KU957" s="2051"/>
      <c r="KV957" s="2051"/>
      <c r="KW957" s="2051"/>
      <c r="KX957" s="2051"/>
      <c r="KY957" s="2051"/>
      <c r="KZ957" s="2051"/>
      <c r="LA957" s="2051"/>
      <c r="LB957" s="2051"/>
      <c r="LC957" s="2051"/>
      <c r="LD957" s="2051"/>
      <c r="LE957" s="2051"/>
      <c r="LF957" s="2051"/>
      <c r="LG957" s="2051"/>
      <c r="NP957" s="1924"/>
    </row>
    <row r="958" spans="1:380" s="1852" customFormat="1" ht="14.25" customHeight="1">
      <c r="A958" s="1719"/>
      <c r="B958" s="1719"/>
      <c r="C958" s="2158"/>
      <c r="D958" s="2158"/>
      <c r="E958" s="1719"/>
      <c r="F958" s="1818"/>
      <c r="H958" s="1719" t="s">
        <v>29</v>
      </c>
      <c r="I958" s="435"/>
      <c r="K958" s="2152">
        <f>SUM(K956:K957)+HF889</f>
        <v>0</v>
      </c>
      <c r="L958" s="2152">
        <f>SUM(L956:L957)+HG889</f>
        <v>0</v>
      </c>
      <c r="M958" s="2152">
        <f>SUM(M956:M957)+HH889</f>
        <v>0</v>
      </c>
      <c r="N958" s="2152">
        <f>SUM(N956:N957)+HI889</f>
        <v>0</v>
      </c>
      <c r="O958" s="2152">
        <f>SUM(O956:O957)+HJ889</f>
        <v>0</v>
      </c>
      <c r="P958" s="2152">
        <f t="shared" si="360"/>
        <v>0</v>
      </c>
      <c r="S958" s="2043"/>
      <c r="T958" s="2043"/>
      <c r="U958" s="2043"/>
      <c r="V958" s="2043"/>
      <c r="W958" s="2043"/>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1"/>
      <c r="KB958" s="2051"/>
      <c r="KG958" s="2051"/>
      <c r="KL958" s="2051"/>
      <c r="KM958" s="2051"/>
      <c r="KN958" s="2051"/>
      <c r="KO958" s="2051"/>
      <c r="KP958" s="2051"/>
      <c r="KQ958" s="2051"/>
      <c r="KR958" s="2051"/>
      <c r="KS958" s="2051"/>
      <c r="KT958" s="2051"/>
      <c r="KU958" s="2051"/>
      <c r="KV958" s="2051"/>
      <c r="KW958" s="2051"/>
      <c r="KX958" s="2051"/>
      <c r="KY958" s="2051"/>
      <c r="KZ958" s="2051"/>
      <c r="LA958" s="2051"/>
      <c r="LB958" s="2051"/>
      <c r="LC958" s="2051"/>
      <c r="LD958" s="2051"/>
      <c r="LE958" s="2051"/>
      <c r="LF958" s="2051"/>
      <c r="LG958" s="2051"/>
      <c r="NP958" s="1924"/>
    </row>
    <row r="959" spans="1:380" s="1852" customFormat="1" ht="14.25" customHeight="1">
      <c r="A959" s="1719"/>
      <c r="B959" s="1719"/>
      <c r="C959" s="1843"/>
      <c r="D959" s="1818"/>
      <c r="E959" s="1843" t="s">
        <v>1368</v>
      </c>
      <c r="F959" s="1843"/>
      <c r="H959" s="1719" t="s">
        <v>1377</v>
      </c>
      <c r="I959" s="435"/>
      <c r="K959" s="2152">
        <f>HK889</f>
        <v>0</v>
      </c>
      <c r="L959" s="2152">
        <f>HL889</f>
        <v>0</v>
      </c>
      <c r="M959" s="2152">
        <f>HM889</f>
        <v>0</v>
      </c>
      <c r="N959" s="2152">
        <f>HN889</f>
        <v>0</v>
      </c>
      <c r="O959" s="2152">
        <f>HO889</f>
        <v>0</v>
      </c>
      <c r="P959" s="2152">
        <f t="shared" si="360"/>
        <v>0</v>
      </c>
      <c r="S959" s="2043"/>
      <c r="T959" s="2043"/>
      <c r="U959" s="2043"/>
      <c r="V959" s="2043"/>
      <c r="W959" s="2043"/>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4"/>
    </row>
    <row r="960" spans="1:380" s="1852" customFormat="1" ht="14.25" customHeight="1">
      <c r="A960" s="1719"/>
      <c r="B960" s="1719"/>
      <c r="C960" s="1843"/>
      <c r="D960" s="1818"/>
      <c r="E960" s="1843"/>
      <c r="F960" s="1843"/>
      <c r="H960" s="1719" t="s">
        <v>292</v>
      </c>
      <c r="I960" s="435"/>
      <c r="K960" s="2152">
        <f>HP889</f>
        <v>0</v>
      </c>
      <c r="L960" s="2152">
        <f>HQ889</f>
        <v>0</v>
      </c>
      <c r="M960" s="2152">
        <f>HR889</f>
        <v>0</v>
      </c>
      <c r="N960" s="2152">
        <f>HS889</f>
        <v>0</v>
      </c>
      <c r="O960" s="2152">
        <f>HT889</f>
        <v>0</v>
      </c>
      <c r="P960" s="2152">
        <f t="shared" si="360"/>
        <v>0</v>
      </c>
      <c r="S960" s="2043"/>
      <c r="T960" s="2043"/>
      <c r="U960" s="2043"/>
      <c r="V960" s="2043"/>
      <c r="W960" s="2043"/>
      <c r="X960" s="1818"/>
      <c r="AA960" s="1818"/>
      <c r="AB960" s="435"/>
      <c r="AC960" s="1818"/>
      <c r="AF960" s="1818"/>
      <c r="AG960" s="435"/>
      <c r="AH960" s="1818"/>
      <c r="AK960" s="1818"/>
      <c r="AL960" s="435"/>
      <c r="AM960" s="1818"/>
      <c r="AP960" s="1818"/>
      <c r="AQ960" s="435"/>
      <c r="AR960" s="436"/>
      <c r="AS960" s="436"/>
      <c r="AT960" s="436"/>
      <c r="AU960" s="436"/>
      <c r="AV960" s="436"/>
      <c r="AW960" s="436"/>
      <c r="AX960" s="2112"/>
      <c r="AY960" s="1818"/>
      <c r="BB960" s="436"/>
      <c r="BC960" s="2112"/>
      <c r="BD960" s="1818"/>
      <c r="JW960" s="2051"/>
      <c r="KB960" s="2051"/>
      <c r="KG960" s="2051"/>
      <c r="KL960" s="2051"/>
      <c r="KM960" s="2051"/>
      <c r="KN960" s="2051"/>
      <c r="KO960" s="2051"/>
      <c r="KP960" s="2051"/>
      <c r="KQ960" s="2051"/>
      <c r="KR960" s="2051"/>
      <c r="KS960" s="2051"/>
      <c r="KT960" s="2051"/>
      <c r="KU960" s="2051"/>
      <c r="KV960" s="2051"/>
      <c r="KW960" s="2051"/>
      <c r="KX960" s="2051"/>
      <c r="KY960" s="2051"/>
      <c r="KZ960" s="2051"/>
      <c r="LA960" s="2051"/>
      <c r="LB960" s="2051"/>
      <c r="LC960" s="2051"/>
      <c r="LD960" s="2051"/>
      <c r="LE960" s="2051"/>
      <c r="LF960" s="2051"/>
      <c r="LG960" s="2051"/>
      <c r="NP960" s="1924"/>
    </row>
    <row r="961" spans="1:380" s="1852" customFormat="1" ht="14.25" customHeight="1">
      <c r="A961" s="1719"/>
      <c r="B961" s="1719"/>
      <c r="C961" s="1843"/>
      <c r="D961" s="1818"/>
      <c r="E961" s="1719"/>
      <c r="F961" s="1818"/>
      <c r="H961" s="1719" t="s">
        <v>29</v>
      </c>
      <c r="I961" s="435"/>
      <c r="K961" s="2152">
        <f>SUM(K959:K960)+HU889</f>
        <v>0</v>
      </c>
      <c r="L961" s="2152">
        <f>SUM(L959:L960)+HV889</f>
        <v>0</v>
      </c>
      <c r="M961" s="2152">
        <f>SUM(M959:M960)+HW889</f>
        <v>0</v>
      </c>
      <c r="N961" s="2152">
        <f>SUM(N959:N960)+HX889</f>
        <v>0</v>
      </c>
      <c r="O961" s="2152">
        <f>SUM(O959:O960)+HY889</f>
        <v>0</v>
      </c>
      <c r="P961" s="2152">
        <f t="shared" si="360"/>
        <v>0</v>
      </c>
      <c r="S961" s="2043"/>
      <c r="T961" s="2043"/>
      <c r="U961" s="2043"/>
      <c r="V961" s="2043"/>
      <c r="W961" s="2043"/>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1"/>
      <c r="KB961" s="2051"/>
      <c r="KG961" s="2051"/>
      <c r="KL961" s="2051"/>
      <c r="KM961" s="2051"/>
      <c r="KN961" s="2051"/>
      <c r="KO961" s="2051"/>
      <c r="KP961" s="2051"/>
      <c r="KQ961" s="2051"/>
      <c r="KR961" s="2051"/>
      <c r="KS961" s="2051"/>
      <c r="KT961" s="2051"/>
      <c r="KU961" s="2051"/>
      <c r="KV961" s="2051"/>
      <c r="KW961" s="2051"/>
      <c r="KX961" s="2051"/>
      <c r="KY961" s="2051"/>
      <c r="KZ961" s="2051"/>
      <c r="LA961" s="2051"/>
      <c r="LB961" s="2051"/>
      <c r="LC961" s="2051"/>
      <c r="LD961" s="2051"/>
      <c r="LE961" s="2051"/>
      <c r="LF961" s="2051"/>
      <c r="LG961" s="2051"/>
      <c r="NP961" s="1924"/>
    </row>
    <row r="962" spans="1:380" s="1852" customFormat="1" ht="14.25" customHeight="1">
      <c r="A962" s="1719"/>
      <c r="B962" s="1719"/>
      <c r="C962" s="1843"/>
      <c r="D962" s="1818"/>
      <c r="E962" s="1719" t="s">
        <v>349</v>
      </c>
      <c r="F962" s="1818"/>
      <c r="G962" s="1864"/>
      <c r="H962" s="2114"/>
      <c r="K962" s="2167">
        <f>'Part VI-Revenues &amp; Expenses'!K122</f>
        <v>0</v>
      </c>
      <c r="L962" s="2167">
        <f>'Part VI-Revenues &amp; Expenses'!L122</f>
        <v>0</v>
      </c>
      <c r="M962" s="2167">
        <f>'Part VI-Revenues &amp; Expenses'!M122</f>
        <v>0</v>
      </c>
      <c r="N962" s="2167">
        <f>'Part VI-Revenues &amp; Expenses'!N122</f>
        <v>0</v>
      </c>
      <c r="O962" s="2167">
        <f>'Part VI-Revenues &amp; Expenses'!O122</f>
        <v>0</v>
      </c>
      <c r="P962" s="2152">
        <f t="shared" si="360"/>
        <v>0</v>
      </c>
      <c r="S962" s="2043"/>
      <c r="T962" s="2043"/>
      <c r="U962" s="2043"/>
      <c r="V962" s="2043"/>
      <c r="W962" s="2043"/>
      <c r="X962" s="1818"/>
      <c r="AA962" s="1818"/>
      <c r="AB962" s="435"/>
      <c r="AC962" s="1818"/>
      <c r="AF962" s="1818"/>
      <c r="AG962" s="435"/>
      <c r="AH962" s="1818"/>
      <c r="AK962" s="1818"/>
      <c r="AL962" s="435"/>
      <c r="AM962" s="1818"/>
      <c r="AP962" s="1818"/>
      <c r="AQ962" s="435"/>
      <c r="AR962" s="436"/>
      <c r="AS962" s="436"/>
      <c r="AT962" s="436"/>
      <c r="AU962" s="436"/>
      <c r="AV962" s="436"/>
      <c r="AW962" s="436"/>
      <c r="AX962" s="2112"/>
      <c r="AY962" s="1818"/>
      <c r="BB962" s="436"/>
      <c r="BC962" s="2112"/>
      <c r="BD962" s="1818"/>
      <c r="JW962" s="2051"/>
      <c r="KB962" s="2051"/>
      <c r="KG962" s="2051"/>
      <c r="KL962" s="2051"/>
      <c r="KM962" s="2051"/>
      <c r="KN962" s="2051"/>
      <c r="KO962" s="2051"/>
      <c r="KP962" s="2051"/>
      <c r="KQ962" s="2051"/>
      <c r="KR962" s="2051"/>
      <c r="KS962" s="2051"/>
      <c r="KT962" s="2051"/>
      <c r="KU962" s="2051"/>
      <c r="KV962" s="2051"/>
      <c r="KW962" s="2051"/>
      <c r="KX962" s="2051"/>
      <c r="KY962" s="2051"/>
      <c r="KZ962" s="2051"/>
      <c r="LA962" s="2051"/>
      <c r="LB962" s="2051"/>
      <c r="LC962" s="2051"/>
      <c r="LD962" s="2051"/>
      <c r="LE962" s="2051"/>
      <c r="LF962" s="2051"/>
      <c r="LG962" s="2051"/>
      <c r="NP962" s="1924"/>
    </row>
    <row r="963" spans="1:380" s="1852" customFormat="1" ht="14.25" customHeight="1">
      <c r="A963" s="2114" t="str">
        <f>IF(AND('Part IV-A-Uses of Funds'!$T$185="Yes",'Part IX Scoring Criteria'!$O$330&gt;0,P963&lt;1),"SHOW HISTORIC UNITS HERE &gt;&gt;&gt;&gt;","")</f>
        <v/>
      </c>
      <c r="B963" s="2114"/>
      <c r="C963" s="2114"/>
      <c r="D963" s="2114"/>
      <c r="E963" s="1719" t="s">
        <v>6848</v>
      </c>
      <c r="F963" s="1818"/>
      <c r="G963" s="1864"/>
      <c r="H963" s="2114"/>
      <c r="K963" s="2167">
        <f>'Part VI-Revenues &amp; Expenses'!K123</f>
        <v>0</v>
      </c>
      <c r="L963" s="2167">
        <f>'Part VI-Revenues &amp; Expenses'!L123</f>
        <v>0</v>
      </c>
      <c r="M963" s="2167">
        <f>'Part VI-Revenues &amp; Expenses'!M123</f>
        <v>0</v>
      </c>
      <c r="N963" s="2167">
        <f>'Part VI-Revenues &amp; Expenses'!N123</f>
        <v>0</v>
      </c>
      <c r="O963" s="2167">
        <f>'Part VI-Revenues &amp; Expenses'!O123</f>
        <v>0</v>
      </c>
      <c r="P963" s="2152">
        <f t="shared" si="360"/>
        <v>0</v>
      </c>
      <c r="S963" s="2043"/>
      <c r="T963" s="2043"/>
      <c r="U963" s="2043"/>
      <c r="V963" s="2043"/>
      <c r="W963" s="2043"/>
      <c r="X963" s="1818"/>
      <c r="AA963" s="1818"/>
      <c r="AB963" s="435"/>
      <c r="AC963" s="1818"/>
      <c r="AF963" s="1818"/>
      <c r="AG963" s="435"/>
      <c r="AH963" s="1818"/>
      <c r="AK963" s="1818"/>
      <c r="AL963" s="435"/>
      <c r="AM963" s="1818"/>
      <c r="AP963" s="1818"/>
      <c r="AQ963" s="435"/>
      <c r="AR963" s="436"/>
      <c r="AS963" s="436"/>
      <c r="AT963" s="436"/>
      <c r="AU963" s="436"/>
      <c r="AV963" s="436"/>
      <c r="AW963" s="436"/>
      <c r="AX963" s="2112"/>
      <c r="AY963" s="1818"/>
      <c r="BB963" s="436"/>
      <c r="BC963" s="2112"/>
      <c r="BD963" s="1818"/>
      <c r="JW963" s="2051"/>
      <c r="KB963" s="2051"/>
      <c r="KG963" s="2051"/>
      <c r="KL963" s="2051"/>
      <c r="KM963" s="2051"/>
      <c r="KN963" s="2051"/>
      <c r="KO963" s="2051"/>
      <c r="KP963" s="2051"/>
      <c r="KQ963" s="2051"/>
      <c r="KR963" s="2051"/>
      <c r="KS963" s="2051"/>
      <c r="KT963" s="2051"/>
      <c r="KU963" s="2051"/>
      <c r="KV963" s="2051"/>
      <c r="KW963" s="2051"/>
      <c r="KX963" s="2051"/>
      <c r="KY963" s="2051"/>
      <c r="KZ963" s="2051"/>
      <c r="LA963" s="2051"/>
      <c r="LB963" s="2051"/>
      <c r="LC963" s="2051"/>
      <c r="LD963" s="2051"/>
      <c r="LE963" s="2051"/>
      <c r="LF963" s="2051"/>
      <c r="LG963" s="2051"/>
      <c r="NP963" s="1924"/>
    </row>
    <row r="964" spans="1:380" s="1852" customFormat="1" ht="9" customHeight="1">
      <c r="A964" s="2168"/>
      <c r="B964" s="2168"/>
      <c r="C964" s="2168"/>
      <c r="D964" s="2168"/>
      <c r="E964" s="1719"/>
      <c r="F964" s="1818"/>
      <c r="G964" s="1864"/>
      <c r="H964" s="2114"/>
      <c r="K964" s="435"/>
      <c r="L964" s="435"/>
      <c r="M964" s="435"/>
      <c r="N964" s="435"/>
      <c r="O964" s="435"/>
      <c r="P964" s="435"/>
      <c r="S964" s="2043"/>
      <c r="T964" s="2043"/>
      <c r="U964" s="2043"/>
      <c r="V964" s="2043"/>
      <c r="W964" s="2043"/>
      <c r="X964" s="1818"/>
      <c r="AA964" s="1818"/>
      <c r="AB964" s="435"/>
      <c r="AC964" s="1818"/>
      <c r="AF964" s="1818"/>
      <c r="AG964" s="435"/>
      <c r="AH964" s="1818"/>
      <c r="AK964" s="1818"/>
      <c r="AL964" s="435"/>
      <c r="AM964" s="1818"/>
      <c r="AP964" s="1818"/>
      <c r="AQ964" s="435"/>
      <c r="AR964" s="436"/>
      <c r="AS964" s="436"/>
      <c r="AT964" s="436"/>
      <c r="AU964" s="436"/>
      <c r="AV964" s="436"/>
      <c r="AW964" s="436"/>
      <c r="AX964" s="2112"/>
      <c r="AY964" s="1818"/>
      <c r="BB964" s="436"/>
      <c r="BC964" s="2112"/>
      <c r="BD964" s="1818"/>
      <c r="JW964" s="2051"/>
      <c r="KB964" s="2051"/>
      <c r="KG964" s="2051"/>
      <c r="KL964" s="2051"/>
      <c r="KM964" s="2051"/>
      <c r="KN964" s="2051"/>
      <c r="KO964" s="2051"/>
      <c r="KP964" s="2051"/>
      <c r="KQ964" s="2051"/>
      <c r="KR964" s="2051"/>
      <c r="KS964" s="2051"/>
      <c r="KT964" s="2051"/>
      <c r="KU964" s="2051"/>
      <c r="KV964" s="2051"/>
      <c r="KW964" s="2051"/>
      <c r="KX964" s="2051"/>
      <c r="KY964" s="2051"/>
      <c r="KZ964" s="2051"/>
      <c r="LA964" s="2051"/>
      <c r="LB964" s="2051"/>
      <c r="LC964" s="2051"/>
      <c r="LD964" s="2051"/>
      <c r="LE964" s="2051"/>
      <c r="LF964" s="2051"/>
      <c r="LG964" s="2051"/>
      <c r="NP964" s="1924"/>
    </row>
    <row r="965" spans="1:380" s="1852" customFormat="1" ht="14.25" customHeight="1">
      <c r="A965" s="2168"/>
      <c r="B965" s="2168"/>
      <c r="C965" s="2168"/>
      <c r="D965" s="2168"/>
      <c r="E965" s="1719" t="s">
        <v>3118</v>
      </c>
      <c r="F965" s="1818"/>
      <c r="G965" s="1864"/>
      <c r="H965" s="2114"/>
      <c r="K965" s="2152">
        <f>K969+K973+K977+K979+K981+K983</f>
        <v>0</v>
      </c>
      <c r="L965" s="2152">
        <f>L969+L973+L977+L979+L981+L983</f>
        <v>0</v>
      </c>
      <c r="M965" s="2152">
        <f>M969+M973+M977+M979+M981+M983</f>
        <v>0</v>
      </c>
      <c r="N965" s="2152">
        <f>N969+N973+N977+N979+N981+N983</f>
        <v>0</v>
      </c>
      <c r="O965" s="2152">
        <f>O969+O973+O977+O979+O981+O983</f>
        <v>0</v>
      </c>
      <c r="P965" s="2152">
        <f>SUM(K965:O965)</f>
        <v>0</v>
      </c>
      <c r="S965" s="2043"/>
      <c r="T965" s="2043"/>
      <c r="U965" s="2043"/>
      <c r="V965" s="2043"/>
      <c r="W965" s="2043"/>
      <c r="X965" s="1818"/>
      <c r="AA965" s="1818"/>
      <c r="AB965" s="435"/>
      <c r="AC965" s="1818"/>
      <c r="AF965" s="1818"/>
      <c r="AG965" s="435"/>
      <c r="AH965" s="1818"/>
      <c r="AK965" s="1818"/>
      <c r="AL965" s="435"/>
      <c r="AM965" s="1818"/>
      <c r="AP965" s="1818"/>
      <c r="AQ965" s="435"/>
      <c r="AR965" s="436"/>
      <c r="AS965" s="436"/>
      <c r="AT965" s="436"/>
      <c r="AU965" s="436"/>
      <c r="AV965" s="436"/>
      <c r="AW965" s="436"/>
      <c r="AX965" s="2112"/>
      <c r="AY965" s="1818"/>
      <c r="BB965" s="436"/>
      <c r="BC965" s="2112"/>
      <c r="BD965" s="1818"/>
      <c r="JW965" s="2051"/>
      <c r="KB965" s="2051"/>
      <c r="KG965" s="2051"/>
      <c r="KL965" s="2051"/>
      <c r="KM965" s="2051"/>
      <c r="KN965" s="2051"/>
      <c r="KO965" s="2051"/>
      <c r="KP965" s="2051"/>
      <c r="KQ965" s="2051"/>
      <c r="KR965" s="2051"/>
      <c r="KS965" s="2051"/>
      <c r="KT965" s="2051"/>
      <c r="KU965" s="2051"/>
      <c r="KV965" s="2051"/>
      <c r="KW965" s="2051"/>
      <c r="KX965" s="2051"/>
      <c r="KY965" s="2051"/>
      <c r="KZ965" s="2051"/>
      <c r="LA965" s="2051"/>
      <c r="LB965" s="2051"/>
      <c r="LC965" s="2051"/>
      <c r="LD965" s="2051"/>
      <c r="LE965" s="2051"/>
      <c r="LF965" s="2051"/>
      <c r="LG965" s="2051"/>
      <c r="NP965" s="1924"/>
    </row>
    <row r="966" spans="1:380" s="1852" customFormat="1" ht="21" customHeight="1">
      <c r="D966" s="1818"/>
      <c r="E966" s="1719"/>
      <c r="F966" s="1818"/>
      <c r="G966" s="1864"/>
      <c r="H966" s="2114"/>
      <c r="K966" s="2165"/>
      <c r="L966" s="2165"/>
      <c r="M966" s="2165"/>
      <c r="N966" s="2165"/>
      <c r="O966" s="2165"/>
      <c r="P966" s="2165"/>
      <c r="S966" s="1875" t="str">
        <f>C967</f>
        <v xml:space="preserve">Building Type: (for Utility Allowance, Monitoring Fees, etc)
</v>
      </c>
      <c r="U966" s="2488"/>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1"/>
      <c r="KB966" s="2051"/>
      <c r="KG966" s="2051"/>
      <c r="KL966" s="2051"/>
      <c r="KM966" s="2051"/>
      <c r="KN966" s="2051"/>
      <c r="KO966" s="2051"/>
      <c r="KP966" s="2051"/>
      <c r="KQ966" s="2051"/>
      <c r="KR966" s="2051"/>
      <c r="KS966" s="2051"/>
      <c r="KT966" s="2051"/>
      <c r="KU966" s="2051"/>
      <c r="KV966" s="2051"/>
      <c r="KW966" s="2051"/>
      <c r="KX966" s="2051"/>
      <c r="KY966" s="2051"/>
      <c r="KZ966" s="2051"/>
      <c r="LA966" s="2051"/>
      <c r="LB966" s="2051"/>
      <c r="LC966" s="2051"/>
      <c r="LD966" s="2051"/>
      <c r="LE966" s="2051"/>
      <c r="LF966" s="2051"/>
      <c r="LG966" s="2051"/>
      <c r="NP966" s="1924"/>
    </row>
    <row r="967" spans="1:380" s="1852" customFormat="1" ht="14.25" customHeight="1">
      <c r="C967" s="2158" t="s">
        <v>7139</v>
      </c>
      <c r="D967" s="2158"/>
      <c r="E967" s="1719" t="s">
        <v>36</v>
      </c>
      <c r="F967" s="1818"/>
      <c r="G967" s="1864"/>
      <c r="H967" s="2114"/>
      <c r="K967" s="2152">
        <f t="shared" ref="K967:P967" si="361">SUM(K968:K975)</f>
        <v>0</v>
      </c>
      <c r="L967" s="2152">
        <f t="shared" si="361"/>
        <v>12</v>
      </c>
      <c r="M967" s="2152">
        <f t="shared" si="361"/>
        <v>24</v>
      </c>
      <c r="N967" s="2152">
        <f t="shared" si="361"/>
        <v>12</v>
      </c>
      <c r="O967" s="2152">
        <f t="shared" si="361"/>
        <v>0</v>
      </c>
      <c r="P967" s="2152">
        <f t="shared" si="361"/>
        <v>48</v>
      </c>
      <c r="S967" s="2043"/>
      <c r="T967" s="2043"/>
      <c r="U967" s="2043"/>
      <c r="V967" s="2043"/>
      <c r="W967" s="2043"/>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4"/>
    </row>
    <row r="968" spans="1:380" s="1852" customFormat="1" ht="14.25" customHeight="1">
      <c r="C968" s="2158"/>
      <c r="D968" s="2158"/>
      <c r="E968" s="1719"/>
      <c r="F968" s="1818"/>
      <c r="H968" s="2115" t="s">
        <v>6599</v>
      </c>
      <c r="I968" s="2121"/>
      <c r="K968" s="2152">
        <f>JS889</f>
        <v>0</v>
      </c>
      <c r="L968" s="2152">
        <f>JT889</f>
        <v>12</v>
      </c>
      <c r="M968" s="2152">
        <f>JU889</f>
        <v>24</v>
      </c>
      <c r="N968" s="2152">
        <f>JV889</f>
        <v>12</v>
      </c>
      <c r="O968" s="2152">
        <f>JW889</f>
        <v>0</v>
      </c>
      <c r="P968" s="2152">
        <f t="shared" ref="P968:P983" si="362">SUM(K968:O968)</f>
        <v>48</v>
      </c>
      <c r="S968" s="2043"/>
      <c r="T968" s="2043"/>
      <c r="U968" s="2043"/>
      <c r="V968" s="2043"/>
      <c r="W968" s="2043"/>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4"/>
    </row>
    <row r="969" spans="1:380" s="1852" customFormat="1" ht="14.25" customHeight="1">
      <c r="C969" s="2158"/>
      <c r="D969" s="2158"/>
      <c r="E969" s="1719"/>
      <c r="F969" s="1818"/>
      <c r="H969" s="2169" t="s">
        <v>3118</v>
      </c>
      <c r="I969" s="2170"/>
      <c r="K969" s="2157">
        <f>KC889</f>
        <v>0</v>
      </c>
      <c r="L969" s="2157">
        <f>KD889</f>
        <v>0</v>
      </c>
      <c r="M969" s="2157">
        <f>KE889</f>
        <v>0</v>
      </c>
      <c r="N969" s="2157">
        <f>KF889</f>
        <v>0</v>
      </c>
      <c r="O969" s="2157">
        <f>KG889</f>
        <v>0</v>
      </c>
      <c r="P969" s="2157">
        <f t="shared" si="362"/>
        <v>0</v>
      </c>
      <c r="S969" s="2043"/>
      <c r="T969" s="2043"/>
      <c r="U969" s="2043"/>
      <c r="V969" s="2043"/>
      <c r="W969" s="2043"/>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4"/>
    </row>
    <row r="970" spans="1:380" s="1852" customFormat="1" ht="14.25" customHeight="1">
      <c r="C970" s="2158"/>
      <c r="D970" s="2158"/>
      <c r="E970" s="1719"/>
      <c r="F970" s="1818"/>
      <c r="H970" s="2115" t="s">
        <v>6808</v>
      </c>
      <c r="I970" s="2121"/>
      <c r="K970" s="2152">
        <f>JX889</f>
        <v>0</v>
      </c>
      <c r="L970" s="2152">
        <f>JY889</f>
        <v>0</v>
      </c>
      <c r="M970" s="2152">
        <f>JZ889</f>
        <v>0</v>
      </c>
      <c r="N970" s="2152">
        <f>KA889</f>
        <v>0</v>
      </c>
      <c r="O970" s="2152">
        <f>KB889</f>
        <v>0</v>
      </c>
      <c r="P970" s="2152">
        <f t="shared" si="362"/>
        <v>0</v>
      </c>
      <c r="S970" s="2043"/>
      <c r="T970" s="2043"/>
      <c r="U970" s="2043"/>
      <c r="V970" s="2043"/>
      <c r="W970" s="2043"/>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4"/>
    </row>
    <row r="971" spans="1:380" s="1852" customFormat="1" ht="14.25" customHeight="1">
      <c r="C971" s="2158"/>
      <c r="D971" s="2158"/>
      <c r="E971" s="1719"/>
      <c r="F971" s="1818"/>
      <c r="H971" s="2169" t="s">
        <v>3118</v>
      </c>
      <c r="I971" s="2170"/>
      <c r="K971" s="2157">
        <f>KH889</f>
        <v>0</v>
      </c>
      <c r="L971" s="2157">
        <f>KI889</f>
        <v>0</v>
      </c>
      <c r="M971" s="2157">
        <f>KJ889</f>
        <v>0</v>
      </c>
      <c r="N971" s="2157">
        <f>KK889</f>
        <v>0</v>
      </c>
      <c r="O971" s="2157">
        <f>KL889</f>
        <v>0</v>
      </c>
      <c r="P971" s="2157">
        <f t="shared" si="362"/>
        <v>0</v>
      </c>
      <c r="S971" s="2043"/>
      <c r="T971" s="2043"/>
      <c r="U971" s="2043"/>
      <c r="V971" s="2043"/>
      <c r="W971" s="2043"/>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4"/>
    </row>
    <row r="972" spans="1:380" s="1852" customFormat="1" ht="14.25" customHeight="1">
      <c r="C972" s="2158"/>
      <c r="D972" s="2158"/>
      <c r="E972" s="1719"/>
      <c r="F972" s="1818"/>
      <c r="H972" s="2115" t="s">
        <v>6601</v>
      </c>
      <c r="I972" s="2121"/>
      <c r="K972" s="2152">
        <f>KM889</f>
        <v>0</v>
      </c>
      <c r="L972" s="2152">
        <f>KN889</f>
        <v>0</v>
      </c>
      <c r="M972" s="2152">
        <f>KO889</f>
        <v>0</v>
      </c>
      <c r="N972" s="2152">
        <f>KP889</f>
        <v>0</v>
      </c>
      <c r="O972" s="2152">
        <f>KQ889</f>
        <v>0</v>
      </c>
      <c r="P972" s="2152">
        <f t="shared" si="362"/>
        <v>0</v>
      </c>
      <c r="S972" s="2043"/>
      <c r="T972" s="2043"/>
      <c r="U972" s="2043"/>
      <c r="V972" s="2043"/>
      <c r="W972" s="2043"/>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4"/>
    </row>
    <row r="973" spans="1:380" s="1852" customFormat="1" ht="14.25" customHeight="1">
      <c r="C973" s="2158"/>
      <c r="D973" s="2158"/>
      <c r="E973" s="1719"/>
      <c r="F973" s="1818"/>
      <c r="H973" s="2169" t="s">
        <v>3118</v>
      </c>
      <c r="I973" s="2170"/>
      <c r="K973" s="2157">
        <f>KW889</f>
        <v>0</v>
      </c>
      <c r="L973" s="2157">
        <f>KX889</f>
        <v>0</v>
      </c>
      <c r="M973" s="2157">
        <f>KY889</f>
        <v>0</v>
      </c>
      <c r="N973" s="2157">
        <f>KZ889</f>
        <v>0</v>
      </c>
      <c r="O973" s="2157">
        <f>LA889</f>
        <v>0</v>
      </c>
      <c r="P973" s="2157">
        <f t="shared" si="362"/>
        <v>0</v>
      </c>
      <c r="S973" s="2043"/>
      <c r="T973" s="2043"/>
      <c r="U973" s="2043"/>
      <c r="V973" s="2043"/>
      <c r="W973" s="2043"/>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4"/>
    </row>
    <row r="974" spans="1:380" s="1852" customFormat="1" ht="14.25" customHeight="1">
      <c r="C974" s="2158"/>
      <c r="D974" s="2158"/>
      <c r="E974" s="1719"/>
      <c r="F974" s="1818"/>
      <c r="H974" s="2115" t="s">
        <v>6815</v>
      </c>
      <c r="I974" s="2121"/>
      <c r="K974" s="2152">
        <f>KR889</f>
        <v>0</v>
      </c>
      <c r="L974" s="2152">
        <f>KS889</f>
        <v>0</v>
      </c>
      <c r="M974" s="2152">
        <f>KT889</f>
        <v>0</v>
      </c>
      <c r="N974" s="2152">
        <f>KU889</f>
        <v>0</v>
      </c>
      <c r="O974" s="2152">
        <f>KV889</f>
        <v>0</v>
      </c>
      <c r="P974" s="2152">
        <f t="shared" si="362"/>
        <v>0</v>
      </c>
      <c r="S974" s="2043"/>
      <c r="T974" s="2043"/>
      <c r="U974" s="2043"/>
      <c r="V974" s="2043"/>
      <c r="W974" s="2043"/>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4"/>
    </row>
    <row r="975" spans="1:380" s="1852" customFormat="1" ht="14.25" customHeight="1">
      <c r="C975" s="2158"/>
      <c r="D975" s="2158"/>
      <c r="E975" s="1719"/>
      <c r="F975" s="1818"/>
      <c r="H975" s="2169" t="s">
        <v>3118</v>
      </c>
      <c r="I975" s="2170"/>
      <c r="K975" s="2157">
        <f>LB889</f>
        <v>0</v>
      </c>
      <c r="L975" s="2157">
        <f>LC889</f>
        <v>0</v>
      </c>
      <c r="M975" s="2157">
        <f>LD889</f>
        <v>0</v>
      </c>
      <c r="N975" s="2157">
        <f>LE889</f>
        <v>0</v>
      </c>
      <c r="O975" s="2157">
        <f>LF889</f>
        <v>0</v>
      </c>
      <c r="P975" s="2157">
        <f t="shared" si="362"/>
        <v>0</v>
      </c>
      <c r="S975" s="2043"/>
      <c r="T975" s="2043"/>
      <c r="U975" s="2043"/>
      <c r="V975" s="2043"/>
      <c r="W975" s="2043"/>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4"/>
    </row>
    <row r="976" spans="1:380" s="1852" customFormat="1" ht="14.25" customHeight="1">
      <c r="C976" s="2158"/>
      <c r="D976" s="2158"/>
      <c r="E976" s="1719" t="s">
        <v>6810</v>
      </c>
      <c r="F976" s="1818"/>
      <c r="H976" s="2115"/>
      <c r="I976" s="2121"/>
      <c r="K976" s="2152">
        <f>IE889</f>
        <v>0</v>
      </c>
      <c r="L976" s="2152">
        <f>IF889</f>
        <v>0</v>
      </c>
      <c r="M976" s="2152">
        <f>IG889</f>
        <v>0</v>
      </c>
      <c r="N976" s="2152">
        <f>IH889</f>
        <v>0</v>
      </c>
      <c r="O976" s="2152">
        <f>II889</f>
        <v>0</v>
      </c>
      <c r="P976" s="2152">
        <f t="shared" si="362"/>
        <v>0</v>
      </c>
      <c r="S976" s="2043"/>
      <c r="T976" s="2043"/>
      <c r="U976" s="2043"/>
      <c r="V976" s="2043"/>
      <c r="W976" s="2043"/>
      <c r="X976" s="1818"/>
      <c r="AA976" s="1818"/>
      <c r="AB976" s="435"/>
      <c r="AC976" s="1818"/>
      <c r="AF976" s="1818"/>
      <c r="AG976" s="435"/>
      <c r="AH976" s="1818"/>
      <c r="AK976" s="1818"/>
      <c r="AL976" s="435"/>
      <c r="AM976" s="1818"/>
      <c r="AP976" s="1818"/>
      <c r="AQ976" s="435"/>
      <c r="AR976" s="436"/>
      <c r="AS976" s="436"/>
      <c r="AT976" s="436"/>
      <c r="AU976" s="436"/>
      <c r="AV976" s="436"/>
      <c r="AW976" s="436"/>
      <c r="AX976" s="2112"/>
      <c r="AY976" s="1818"/>
      <c r="BB976" s="436"/>
      <c r="BC976" s="2112"/>
      <c r="BD976" s="1818"/>
      <c r="JW976" s="2051"/>
      <c r="KB976" s="2051"/>
      <c r="KG976" s="2051"/>
      <c r="KL976" s="2051"/>
      <c r="KM976" s="2051"/>
      <c r="KN976" s="2051"/>
      <c r="KO976" s="2051"/>
      <c r="KP976" s="2051"/>
      <c r="KQ976" s="2051"/>
      <c r="KR976" s="2051"/>
      <c r="KS976" s="2051"/>
      <c r="KT976" s="2051"/>
      <c r="KU976" s="2051"/>
      <c r="KV976" s="2051"/>
      <c r="KW976" s="2051"/>
      <c r="KX976" s="2051"/>
      <c r="KY976" s="2051"/>
      <c r="KZ976" s="2051"/>
      <c r="LA976" s="2051"/>
      <c r="LB976" s="2051"/>
      <c r="LC976" s="2051"/>
      <c r="LD976" s="2051"/>
      <c r="LE976" s="2051"/>
      <c r="LF976" s="2051"/>
      <c r="LG976" s="2051"/>
      <c r="NP976" s="1924"/>
    </row>
    <row r="977" spans="1:380" s="1852" customFormat="1" ht="14.25" customHeight="1">
      <c r="C977" s="2158"/>
      <c r="D977" s="2158"/>
      <c r="E977" s="1719"/>
      <c r="F977" s="1818"/>
      <c r="H977" s="2169" t="s">
        <v>3118</v>
      </c>
      <c r="I977" s="2170"/>
      <c r="K977" s="2157">
        <f>IJ889</f>
        <v>0</v>
      </c>
      <c r="L977" s="2157">
        <f>IK889</f>
        <v>0</v>
      </c>
      <c r="M977" s="2157">
        <f>IL889</f>
        <v>0</v>
      </c>
      <c r="N977" s="2157">
        <f>IM889</f>
        <v>0</v>
      </c>
      <c r="O977" s="2157">
        <f>IN889</f>
        <v>0</v>
      </c>
      <c r="P977" s="2157">
        <f t="shared" si="362"/>
        <v>0</v>
      </c>
      <c r="S977" s="2043"/>
      <c r="T977" s="2043"/>
      <c r="U977" s="2043"/>
      <c r="V977" s="2043"/>
      <c r="W977" s="2043"/>
      <c r="X977" s="1818"/>
      <c r="AA977" s="1818"/>
      <c r="AB977" s="435"/>
      <c r="AC977" s="1818"/>
      <c r="AF977" s="1818"/>
      <c r="AG977" s="435"/>
      <c r="AH977" s="1818"/>
      <c r="AK977" s="1818"/>
      <c r="AL977" s="435"/>
      <c r="AM977" s="1818"/>
      <c r="AP977" s="1818"/>
      <c r="AQ977" s="435"/>
      <c r="AR977" s="436"/>
      <c r="AS977" s="436"/>
      <c r="AT977" s="436"/>
      <c r="AU977" s="436"/>
      <c r="AV977" s="436"/>
      <c r="AW977" s="436"/>
      <c r="AX977" s="2112"/>
      <c r="AY977" s="1818"/>
      <c r="BB977" s="436"/>
      <c r="BC977" s="2112"/>
      <c r="BD977" s="1818"/>
      <c r="JW977" s="2051"/>
      <c r="KB977" s="2051"/>
      <c r="KG977" s="2051"/>
      <c r="KL977" s="2051"/>
      <c r="KM977" s="2051"/>
      <c r="KN977" s="2051"/>
      <c r="KO977" s="2051"/>
      <c r="KP977" s="2051"/>
      <c r="KQ977" s="2051"/>
      <c r="KR977" s="2051"/>
      <c r="KS977" s="2051"/>
      <c r="KT977" s="2051"/>
      <c r="KU977" s="2051"/>
      <c r="KV977" s="2051"/>
      <c r="KW977" s="2051"/>
      <c r="KX977" s="2051"/>
      <c r="KY977" s="2051"/>
      <c r="KZ977" s="2051"/>
      <c r="LA977" s="2051"/>
      <c r="LB977" s="2051"/>
      <c r="LC977" s="2051"/>
      <c r="LD977" s="2051"/>
      <c r="LE977" s="2051"/>
      <c r="LF977" s="2051"/>
      <c r="LG977" s="2051"/>
      <c r="NP977" s="1924"/>
    </row>
    <row r="978" spans="1:380" s="1852" customFormat="1" ht="14.25" customHeight="1">
      <c r="C978" s="2158"/>
      <c r="D978" s="2158"/>
      <c r="E978" s="1719" t="s">
        <v>6811</v>
      </c>
      <c r="F978" s="1818"/>
      <c r="H978" s="2115"/>
      <c r="I978" s="2121"/>
      <c r="K978" s="2152">
        <f>JI889</f>
        <v>0</v>
      </c>
      <c r="L978" s="2152">
        <f>JJ889</f>
        <v>0</v>
      </c>
      <c r="M978" s="2152">
        <f>JK889</f>
        <v>0</v>
      </c>
      <c r="N978" s="2152">
        <f>JL889</f>
        <v>0</v>
      </c>
      <c r="O978" s="2152">
        <f>JM889</f>
        <v>0</v>
      </c>
      <c r="P978" s="2152">
        <f t="shared" si="362"/>
        <v>0</v>
      </c>
      <c r="S978" s="2043"/>
      <c r="T978" s="2043"/>
      <c r="U978" s="2043"/>
      <c r="V978" s="2043"/>
      <c r="W978" s="2043"/>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4"/>
    </row>
    <row r="979" spans="1:380" s="1852" customFormat="1" ht="14.25" customHeight="1">
      <c r="C979" s="2158"/>
      <c r="D979" s="2158"/>
      <c r="E979" s="1719"/>
      <c r="F979" s="1818"/>
      <c r="H979" s="2169" t="s">
        <v>3118</v>
      </c>
      <c r="I979" s="2170"/>
      <c r="K979" s="2157">
        <f>JN889</f>
        <v>0</v>
      </c>
      <c r="L979" s="2157">
        <f>JO889</f>
        <v>0</v>
      </c>
      <c r="M979" s="2157">
        <f>JP889</f>
        <v>0</v>
      </c>
      <c r="N979" s="2157">
        <f>JQ889</f>
        <v>0</v>
      </c>
      <c r="O979" s="2157">
        <f>JR889</f>
        <v>0</v>
      </c>
      <c r="P979" s="2157">
        <f t="shared" si="362"/>
        <v>0</v>
      </c>
      <c r="S979" s="2043"/>
      <c r="T979" s="2043"/>
      <c r="U979" s="2043"/>
      <c r="V979" s="2043"/>
      <c r="W979" s="2043"/>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4"/>
    </row>
    <row r="980" spans="1:380" s="1852" customFormat="1" ht="14.25" customHeight="1">
      <c r="C980" s="2158"/>
      <c r="D980" s="2158"/>
      <c r="E980" s="1719" t="s">
        <v>6595</v>
      </c>
      <c r="F980" s="1818"/>
      <c r="H980" s="2115"/>
      <c r="I980" s="2121"/>
      <c r="K980" s="2152">
        <f>IY889</f>
        <v>0</v>
      </c>
      <c r="L980" s="2152">
        <f>IZ889</f>
        <v>0</v>
      </c>
      <c r="M980" s="2152">
        <f>JA889</f>
        <v>0</v>
      </c>
      <c r="N980" s="2152">
        <f>JB889</f>
        <v>0</v>
      </c>
      <c r="O980" s="2152">
        <f>JC889</f>
        <v>0</v>
      </c>
      <c r="P980" s="2152">
        <f t="shared" si="362"/>
        <v>0</v>
      </c>
      <c r="S980" s="2043"/>
      <c r="T980" s="2043"/>
      <c r="U980" s="2043"/>
      <c r="V980" s="2043"/>
      <c r="W980" s="2043"/>
      <c r="X980" s="1818"/>
      <c r="AA980" s="1818"/>
      <c r="AB980" s="435"/>
      <c r="AC980" s="1818"/>
      <c r="AF980" s="1818"/>
      <c r="AG980" s="435"/>
      <c r="AH980" s="1818"/>
      <c r="AK980" s="1818"/>
      <c r="AL980" s="435"/>
      <c r="AM980" s="1818"/>
      <c r="AP980" s="1818"/>
      <c r="AQ980" s="435"/>
      <c r="AR980" s="436"/>
      <c r="AS980" s="436"/>
      <c r="AT980" s="436"/>
      <c r="AU980" s="436"/>
      <c r="AV980" s="436"/>
      <c r="AW980" s="436"/>
      <c r="AX980" s="2112"/>
      <c r="AY980" s="1818"/>
      <c r="BB980" s="436"/>
      <c r="BC980" s="2112"/>
      <c r="BD980" s="1818"/>
      <c r="JW980" s="2051"/>
      <c r="KB980" s="2051"/>
      <c r="KG980" s="2051"/>
      <c r="KL980" s="2051"/>
      <c r="KM980" s="2051"/>
      <c r="KN980" s="2051"/>
      <c r="KO980" s="2051"/>
      <c r="KP980" s="2051"/>
      <c r="KQ980" s="2051"/>
      <c r="KR980" s="2051"/>
      <c r="KS980" s="2051"/>
      <c r="KT980" s="2051"/>
      <c r="KU980" s="2051"/>
      <c r="KV980" s="2051"/>
      <c r="KW980" s="2051"/>
      <c r="KX980" s="2051"/>
      <c r="KY980" s="2051"/>
      <c r="KZ980" s="2051"/>
      <c r="LA980" s="2051"/>
      <c r="LB980" s="2051"/>
      <c r="LC980" s="2051"/>
      <c r="LD980" s="2051"/>
      <c r="LE980" s="2051"/>
      <c r="LF980" s="2051"/>
      <c r="LG980" s="2051"/>
      <c r="NP980" s="1924"/>
    </row>
    <row r="981" spans="1:380" s="1852" customFormat="1" ht="14.25" customHeight="1">
      <c r="C981" s="2158"/>
      <c r="D981" s="2158"/>
      <c r="E981" s="1719"/>
      <c r="F981" s="1818"/>
      <c r="H981" s="2169" t="s">
        <v>3118</v>
      </c>
      <c r="I981" s="2170"/>
      <c r="K981" s="2157">
        <f>JD889</f>
        <v>0</v>
      </c>
      <c r="L981" s="2157">
        <f>JE889</f>
        <v>0</v>
      </c>
      <c r="M981" s="2157">
        <f>JF889</f>
        <v>0</v>
      </c>
      <c r="N981" s="2157">
        <f>JG889</f>
        <v>0</v>
      </c>
      <c r="O981" s="2157">
        <f>JH889</f>
        <v>0</v>
      </c>
      <c r="P981" s="2157">
        <f t="shared" si="362"/>
        <v>0</v>
      </c>
      <c r="S981" s="2043"/>
      <c r="T981" s="2043"/>
      <c r="U981" s="2043"/>
      <c r="V981" s="2043"/>
      <c r="W981" s="2043"/>
      <c r="X981" s="1818"/>
      <c r="AA981" s="1818"/>
      <c r="AB981" s="435"/>
      <c r="AC981" s="1818"/>
      <c r="AF981" s="1818"/>
      <c r="AG981" s="435"/>
      <c r="AH981" s="1818"/>
      <c r="AK981" s="1818"/>
      <c r="AL981" s="435"/>
      <c r="AM981" s="1818"/>
      <c r="AP981" s="1818"/>
      <c r="AQ981" s="435"/>
      <c r="AR981" s="436"/>
      <c r="AS981" s="436"/>
      <c r="AT981" s="436"/>
      <c r="AU981" s="436"/>
      <c r="AV981" s="436"/>
      <c r="AW981" s="436"/>
      <c r="AX981" s="2112"/>
      <c r="AY981" s="1818"/>
      <c r="BB981" s="436"/>
      <c r="BC981" s="2112"/>
      <c r="BD981" s="1818"/>
      <c r="JW981" s="2051"/>
      <c r="KB981" s="2051"/>
      <c r="KG981" s="2051"/>
      <c r="KL981" s="2051"/>
      <c r="KM981" s="2051"/>
      <c r="KN981" s="2051"/>
      <c r="KO981" s="2051"/>
      <c r="KP981" s="2051"/>
      <c r="KQ981" s="2051"/>
      <c r="KR981" s="2051"/>
      <c r="KS981" s="2051"/>
      <c r="KT981" s="2051"/>
      <c r="KU981" s="2051"/>
      <c r="KV981" s="2051"/>
      <c r="KW981" s="2051"/>
      <c r="KX981" s="2051"/>
      <c r="KY981" s="2051"/>
      <c r="KZ981" s="2051"/>
      <c r="LA981" s="2051"/>
      <c r="LB981" s="2051"/>
      <c r="LC981" s="2051"/>
      <c r="LD981" s="2051"/>
      <c r="LE981" s="2051"/>
      <c r="LF981" s="2051"/>
      <c r="LG981" s="2051"/>
      <c r="NP981" s="1924"/>
    </row>
    <row r="982" spans="1:380" s="1852" customFormat="1" ht="14.25" customHeight="1">
      <c r="C982" s="2158"/>
      <c r="D982" s="2158"/>
      <c r="E982" s="2114" t="s">
        <v>537</v>
      </c>
      <c r="F982" s="1818"/>
      <c r="H982" s="2115"/>
      <c r="I982" s="2121"/>
      <c r="K982" s="2152">
        <f>IO889</f>
        <v>0</v>
      </c>
      <c r="L982" s="2152">
        <f>IP889</f>
        <v>0</v>
      </c>
      <c r="M982" s="2152">
        <f>IQ889</f>
        <v>0</v>
      </c>
      <c r="N982" s="2152">
        <f>IR889</f>
        <v>0</v>
      </c>
      <c r="O982" s="2152">
        <f>IS889</f>
        <v>0</v>
      </c>
      <c r="P982" s="2152">
        <f t="shared" si="362"/>
        <v>0</v>
      </c>
      <c r="S982" s="2043"/>
      <c r="T982" s="2043"/>
      <c r="U982" s="2043"/>
      <c r="V982" s="2043"/>
      <c r="W982" s="2043"/>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4"/>
    </row>
    <row r="983" spans="1:380" s="1852" customFormat="1" ht="14.25" customHeight="1">
      <c r="C983" s="2158"/>
      <c r="D983" s="2158"/>
      <c r="E983" s="2114"/>
      <c r="F983" s="1818"/>
      <c r="H983" s="2169" t="s">
        <v>3118</v>
      </c>
      <c r="I983" s="2170"/>
      <c r="K983" s="2157">
        <f>IT889</f>
        <v>0</v>
      </c>
      <c r="L983" s="2157">
        <f>IU889</f>
        <v>0</v>
      </c>
      <c r="M983" s="2157">
        <f>IV889</f>
        <v>0</v>
      </c>
      <c r="N983" s="2157">
        <f>IW889</f>
        <v>0</v>
      </c>
      <c r="O983" s="2157">
        <f>IX889</f>
        <v>0</v>
      </c>
      <c r="P983" s="2157">
        <f t="shared" si="362"/>
        <v>0</v>
      </c>
      <c r="S983" s="2043"/>
      <c r="T983" s="2043"/>
      <c r="U983" s="2043"/>
      <c r="V983" s="2043"/>
      <c r="W983" s="2043"/>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4"/>
    </row>
    <row r="984" spans="1:380" s="1852" customFormat="1" ht="10.5" customHeight="1">
      <c r="C984" s="1818"/>
      <c r="H984" s="2168"/>
      <c r="I984" s="2123"/>
      <c r="K984" s="2166"/>
      <c r="L984" s="2166"/>
      <c r="M984" s="2166"/>
      <c r="N984" s="2166"/>
      <c r="O984" s="2166"/>
      <c r="P984" s="2166"/>
      <c r="JW984" s="2051"/>
      <c r="KB984" s="2051"/>
      <c r="KG984" s="2051"/>
      <c r="KL984" s="2051"/>
      <c r="KM984" s="2051"/>
      <c r="KN984" s="2051"/>
      <c r="KO984" s="2051"/>
      <c r="KP984" s="2051"/>
      <c r="KQ984" s="2051"/>
      <c r="KR984" s="2051"/>
      <c r="KS984" s="2051"/>
      <c r="KT984" s="2051"/>
      <c r="KU984" s="2051"/>
      <c r="KV984" s="2051"/>
      <c r="KW984" s="2051"/>
      <c r="KX984" s="2051"/>
      <c r="KY984" s="2051"/>
      <c r="KZ984" s="2051"/>
      <c r="LA984" s="2051"/>
      <c r="LB984" s="2051"/>
      <c r="LC984" s="2051"/>
      <c r="LD984" s="2051"/>
      <c r="LE984" s="2051"/>
      <c r="LF984" s="2051"/>
      <c r="LG984" s="2051"/>
      <c r="NP984" s="1924"/>
    </row>
    <row r="985" spans="1:380" s="1852" customFormat="1" ht="14.45" customHeight="1">
      <c r="A985" s="1852" t="s">
        <v>710</v>
      </c>
      <c r="B985" s="1852" t="s">
        <v>7138</v>
      </c>
      <c r="H985" s="2114"/>
      <c r="L985" s="2149">
        <f>$L$53</f>
        <v>0</v>
      </c>
      <c r="M985" s="2149"/>
      <c r="N985" s="2149"/>
      <c r="O985" s="2149"/>
      <c r="S985" s="1818" t="str">
        <f>B985</f>
        <v>UNIT SUMMARY (Continued)</v>
      </c>
      <c r="T985" s="1818"/>
      <c r="U985" s="1818"/>
      <c r="V985" s="1818"/>
      <c r="AY985" s="1818"/>
      <c r="BD985" s="1818"/>
      <c r="JW985" s="2051"/>
      <c r="KB985" s="2051"/>
      <c r="KG985" s="2051"/>
      <c r="KL985" s="2051"/>
      <c r="KM985" s="2051"/>
      <c r="KN985" s="2051"/>
      <c r="KO985" s="2051"/>
      <c r="KP985" s="2051"/>
      <c r="KQ985" s="2051"/>
      <c r="KR985" s="2051"/>
      <c r="KS985" s="2051"/>
      <c r="KT985" s="2051"/>
      <c r="KU985" s="2051"/>
      <c r="KV985" s="2051"/>
      <c r="KW985" s="2051"/>
      <c r="KX985" s="2051"/>
      <c r="KY985" s="2051"/>
      <c r="KZ985" s="2051"/>
      <c r="LA985" s="2051"/>
      <c r="LB985" s="2051"/>
      <c r="LC985" s="2051"/>
      <c r="LD985" s="2051"/>
      <c r="LE985" s="2051"/>
      <c r="LF985" s="2051"/>
      <c r="LG985" s="2051"/>
      <c r="NP985" s="1924"/>
    </row>
    <row r="986" spans="1:380" s="1852" customFormat="1" ht="9" customHeight="1">
      <c r="H986" s="2114"/>
      <c r="Q986" s="1818"/>
      <c r="S986" s="1856" t="str">
        <f>C987</f>
        <v>Building Type:
(for Cost Limit purposes only - see Application Instructions for further detail)</v>
      </c>
      <c r="U986" s="2150"/>
      <c r="AY986" s="1818"/>
      <c r="BD986" s="1818"/>
      <c r="JW986" s="2051"/>
      <c r="KB986" s="2051"/>
      <c r="KG986" s="2051"/>
      <c r="KL986" s="2051"/>
      <c r="KM986" s="2051"/>
      <c r="KN986" s="2051"/>
      <c r="KO986" s="2051"/>
      <c r="KP986" s="2051"/>
      <c r="KQ986" s="2051"/>
      <c r="KR986" s="2051"/>
      <c r="KS986" s="2051"/>
      <c r="KT986" s="2051"/>
      <c r="KU986" s="2051"/>
      <c r="KV986" s="2051"/>
      <c r="KW986" s="2051"/>
      <c r="KX986" s="2051"/>
      <c r="KY986" s="2051"/>
      <c r="KZ986" s="2051"/>
      <c r="LA986" s="2051"/>
      <c r="LB986" s="2051"/>
      <c r="LC986" s="2051"/>
      <c r="LD986" s="2051"/>
      <c r="LE986" s="2051"/>
      <c r="LF986" s="2051"/>
      <c r="LG986" s="2051"/>
      <c r="NP986" s="1924"/>
    </row>
    <row r="987" spans="1:380" s="1852" customFormat="1" ht="14.25" customHeight="1">
      <c r="C987" s="2158" t="s">
        <v>7140</v>
      </c>
      <c r="D987" s="2158"/>
      <c r="E987" s="1719" t="s">
        <v>3113</v>
      </c>
      <c r="F987" s="1864"/>
      <c r="H987" s="2115"/>
      <c r="I987" s="2121"/>
      <c r="K987" s="2152">
        <f t="shared" ref="K987:O988" si="363">K976+K980+K982</f>
        <v>0</v>
      </c>
      <c r="L987" s="2152">
        <f>L976+L980+L982</f>
        <v>0</v>
      </c>
      <c r="M987" s="2152">
        <f t="shared" si="363"/>
        <v>0</v>
      </c>
      <c r="N987" s="2152">
        <f t="shared" si="363"/>
        <v>0</v>
      </c>
      <c r="O987" s="2152">
        <f t="shared" si="363"/>
        <v>0</v>
      </c>
      <c r="P987" s="2152">
        <f t="shared" ref="P987:P994" si="364">SUM(K987:O987)</f>
        <v>0</v>
      </c>
      <c r="S987" s="2043"/>
      <c r="T987" s="2043"/>
      <c r="U987" s="2043"/>
      <c r="V987" s="2043"/>
      <c r="W987" s="2043"/>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4"/>
    </row>
    <row r="988" spans="1:380" s="1852" customFormat="1" ht="14.25" customHeight="1">
      <c r="C988" s="2158"/>
      <c r="D988" s="2158"/>
      <c r="E988" s="1719"/>
      <c r="F988" s="1864"/>
      <c r="H988" s="2169" t="s">
        <v>3118</v>
      </c>
      <c r="I988" s="2170"/>
      <c r="K988" s="2157">
        <f t="shared" si="363"/>
        <v>0</v>
      </c>
      <c r="L988" s="2157">
        <f t="shared" si="363"/>
        <v>0</v>
      </c>
      <c r="M988" s="2157">
        <f t="shared" si="363"/>
        <v>0</v>
      </c>
      <c r="N988" s="2157">
        <f t="shared" si="363"/>
        <v>0</v>
      </c>
      <c r="O988" s="2157">
        <f t="shared" si="363"/>
        <v>0</v>
      </c>
      <c r="P988" s="2157">
        <f t="shared" si="364"/>
        <v>0</v>
      </c>
      <c r="S988" s="2043"/>
      <c r="T988" s="2043"/>
      <c r="U988" s="2043"/>
      <c r="V988" s="2043"/>
      <c r="W988" s="2043"/>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4"/>
    </row>
    <row r="989" spans="1:380" s="1852" customFormat="1" ht="14.25" customHeight="1">
      <c r="C989" s="2158"/>
      <c r="D989" s="2158"/>
      <c r="E989" s="1719" t="s">
        <v>3114</v>
      </c>
      <c r="F989" s="1864"/>
      <c r="H989" s="1875"/>
      <c r="I989" s="1864"/>
      <c r="K989" s="2152">
        <f t="shared" ref="K989:O990" si="365">K978</f>
        <v>0</v>
      </c>
      <c r="L989" s="2152">
        <f t="shared" si="365"/>
        <v>0</v>
      </c>
      <c r="M989" s="2152">
        <f t="shared" si="365"/>
        <v>0</v>
      </c>
      <c r="N989" s="2152">
        <f t="shared" si="365"/>
        <v>0</v>
      </c>
      <c r="O989" s="2152">
        <f t="shared" si="365"/>
        <v>0</v>
      </c>
      <c r="P989" s="2152">
        <f t="shared" si="364"/>
        <v>0</v>
      </c>
      <c r="S989" s="2043"/>
      <c r="T989" s="2043"/>
      <c r="U989" s="2043"/>
      <c r="V989" s="2043"/>
      <c r="W989" s="2043"/>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4"/>
    </row>
    <row r="990" spans="1:380" s="1852" customFormat="1" ht="14.25" customHeight="1">
      <c r="C990" s="2158"/>
      <c r="D990" s="2158"/>
      <c r="E990" s="1719"/>
      <c r="F990" s="1864"/>
      <c r="H990" s="2169" t="s">
        <v>3118</v>
      </c>
      <c r="I990" s="2170"/>
      <c r="K990" s="2157">
        <f t="shared" si="365"/>
        <v>0</v>
      </c>
      <c r="L990" s="2157">
        <f t="shared" si="365"/>
        <v>0</v>
      </c>
      <c r="M990" s="2157">
        <f t="shared" si="365"/>
        <v>0</v>
      </c>
      <c r="N990" s="2157">
        <f t="shared" si="365"/>
        <v>0</v>
      </c>
      <c r="O990" s="2157">
        <f t="shared" si="365"/>
        <v>0</v>
      </c>
      <c r="P990" s="2157">
        <f t="shared" si="364"/>
        <v>0</v>
      </c>
      <c r="S990" s="2043"/>
      <c r="T990" s="2043"/>
      <c r="U990" s="2043"/>
      <c r="V990" s="2043"/>
      <c r="W990" s="2043"/>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4"/>
    </row>
    <row r="991" spans="1:380" s="1852" customFormat="1" ht="14.25" customHeight="1">
      <c r="C991" s="2158"/>
      <c r="D991" s="2158"/>
      <c r="E991" s="1719" t="s">
        <v>3115</v>
      </c>
      <c r="F991" s="1864"/>
      <c r="H991" s="2115"/>
      <c r="I991" s="2121"/>
      <c r="K991" s="2152">
        <f>K968+K972</f>
        <v>0</v>
      </c>
      <c r="L991" s="2152">
        <f t="shared" ref="L991:O994" si="366">L968+L972</f>
        <v>12</v>
      </c>
      <c r="M991" s="2152">
        <f t="shared" si="366"/>
        <v>24</v>
      </c>
      <c r="N991" s="2152">
        <f t="shared" si="366"/>
        <v>12</v>
      </c>
      <c r="O991" s="2152">
        <f t="shared" si="366"/>
        <v>0</v>
      </c>
      <c r="P991" s="2152">
        <f t="shared" si="364"/>
        <v>48</v>
      </c>
      <c r="S991" s="2043"/>
      <c r="T991" s="2043"/>
      <c r="U991" s="2043"/>
      <c r="V991" s="2043"/>
      <c r="W991" s="2043"/>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4"/>
    </row>
    <row r="992" spans="1:380" s="1852" customFormat="1" ht="14.25" customHeight="1">
      <c r="C992" s="2158"/>
      <c r="D992" s="2158"/>
      <c r="E992" s="1719"/>
      <c r="F992" s="1864"/>
      <c r="H992" s="2169" t="s">
        <v>3118</v>
      </c>
      <c r="I992" s="2170"/>
      <c r="K992" s="2157">
        <f>K969+K973</f>
        <v>0</v>
      </c>
      <c r="L992" s="2157">
        <f t="shared" si="366"/>
        <v>0</v>
      </c>
      <c r="M992" s="2157">
        <f t="shared" si="366"/>
        <v>0</v>
      </c>
      <c r="N992" s="2157">
        <f t="shared" si="366"/>
        <v>0</v>
      </c>
      <c r="O992" s="2157">
        <f t="shared" si="366"/>
        <v>0</v>
      </c>
      <c r="P992" s="2157">
        <f t="shared" si="364"/>
        <v>0</v>
      </c>
      <c r="S992" s="2043"/>
      <c r="T992" s="2043"/>
      <c r="U992" s="2043"/>
      <c r="V992" s="2043"/>
      <c r="W992" s="2043"/>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4"/>
    </row>
    <row r="993" spans="1:380" s="1852" customFormat="1" ht="14.25" customHeight="1">
      <c r="C993" s="2158"/>
      <c r="D993" s="2158"/>
      <c r="E993" s="1719" t="s">
        <v>3116</v>
      </c>
      <c r="F993" s="1864"/>
      <c r="H993" s="2115"/>
      <c r="I993" s="2121"/>
      <c r="K993" s="2152">
        <f>K970+K974</f>
        <v>0</v>
      </c>
      <c r="L993" s="2152">
        <f t="shared" si="366"/>
        <v>0</v>
      </c>
      <c r="M993" s="2152">
        <f t="shared" si="366"/>
        <v>0</v>
      </c>
      <c r="N993" s="2152">
        <f t="shared" si="366"/>
        <v>0</v>
      </c>
      <c r="O993" s="2152">
        <f t="shared" si="366"/>
        <v>0</v>
      </c>
      <c r="P993" s="2152">
        <f t="shared" si="364"/>
        <v>0</v>
      </c>
      <c r="S993" s="2043"/>
      <c r="T993" s="2043"/>
      <c r="U993" s="2043"/>
      <c r="V993" s="2043"/>
      <c r="W993" s="2043"/>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4"/>
    </row>
    <row r="994" spans="1:380" s="1852" customFormat="1" ht="14.25" customHeight="1">
      <c r="C994" s="1818"/>
      <c r="D994" s="1818"/>
      <c r="E994" s="1967"/>
      <c r="F994" s="1864"/>
      <c r="H994" s="2169" t="s">
        <v>3118</v>
      </c>
      <c r="I994" s="2170"/>
      <c r="K994" s="2157">
        <f>K971+K975</f>
        <v>0</v>
      </c>
      <c r="L994" s="2157">
        <f t="shared" si="366"/>
        <v>0</v>
      </c>
      <c r="M994" s="2157">
        <f t="shared" si="366"/>
        <v>0</v>
      </c>
      <c r="N994" s="2157">
        <f t="shared" si="366"/>
        <v>0</v>
      </c>
      <c r="O994" s="2157">
        <f t="shared" si="366"/>
        <v>0</v>
      </c>
      <c r="P994" s="2157">
        <f t="shared" si="364"/>
        <v>0</v>
      </c>
      <c r="Q994" s="1852" t="s">
        <v>7066</v>
      </c>
      <c r="S994" s="2043"/>
      <c r="T994" s="2043"/>
      <c r="U994" s="2043"/>
      <c r="V994" s="2043"/>
      <c r="W994" s="2043"/>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4"/>
    </row>
    <row r="995" spans="1:380" s="1852" customFormat="1" ht="27.75" customHeight="1">
      <c r="A995" s="1719"/>
      <c r="B995" s="1719"/>
      <c r="D995" s="1818"/>
      <c r="E995" s="1719"/>
      <c r="F995" s="1818"/>
      <c r="H995" s="435"/>
      <c r="I995" s="435"/>
      <c r="K995" s="2165"/>
      <c r="L995" s="2165"/>
      <c r="M995" s="2165"/>
      <c r="N995" s="2165"/>
      <c r="O995" s="2165"/>
      <c r="P995" s="2165"/>
      <c r="S995" s="1865"/>
      <c r="U995" s="2488"/>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1"/>
      <c r="KB995" s="2051"/>
      <c r="KG995" s="2051"/>
      <c r="KL995" s="2051"/>
      <c r="KM995" s="2051"/>
      <c r="KN995" s="2051"/>
      <c r="KO995" s="2051"/>
      <c r="KP995" s="2051"/>
      <c r="KQ995" s="2051"/>
      <c r="KR995" s="2051"/>
      <c r="KS995" s="2051"/>
      <c r="KT995" s="2051"/>
      <c r="KU995" s="2051"/>
      <c r="KV995" s="2051"/>
      <c r="KW995" s="2051"/>
      <c r="KX995" s="2051"/>
      <c r="KY995" s="2051"/>
      <c r="KZ995" s="2051"/>
      <c r="LA995" s="2051"/>
      <c r="LB995" s="2051"/>
      <c r="LC995" s="2051"/>
      <c r="LD995" s="2051"/>
      <c r="LE995" s="2051"/>
      <c r="LF995" s="2051"/>
      <c r="LG995" s="2051"/>
      <c r="NP995" s="1924"/>
    </row>
    <row r="996" spans="1:380" s="1852" customFormat="1" ht="12" customHeight="1">
      <c r="B996" s="1852" t="s">
        <v>6824</v>
      </c>
      <c r="C996" s="1818"/>
      <c r="D996" s="1818"/>
      <c r="E996" s="1818"/>
      <c r="F996" s="1818"/>
      <c r="H996" s="2121"/>
      <c r="I996" s="2121"/>
      <c r="K996" s="2149"/>
      <c r="L996" s="2149"/>
      <c r="M996" s="2149"/>
      <c r="N996" s="2149"/>
      <c r="O996" s="2149"/>
      <c r="P996" s="2149"/>
      <c r="S996" s="1856" t="str">
        <f>B996</f>
        <v>UNIT SQUARE FOOTAGE</v>
      </c>
      <c r="T996" s="1856"/>
      <c r="U996" s="1856"/>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1"/>
      <c r="KB996" s="2051"/>
      <c r="KG996" s="2051"/>
      <c r="KL996" s="2051"/>
      <c r="KM996" s="2051"/>
      <c r="KN996" s="2051"/>
      <c r="KO996" s="2051"/>
      <c r="KP996" s="2051"/>
      <c r="KQ996" s="2051"/>
      <c r="KR996" s="2051"/>
      <c r="KS996" s="2051"/>
      <c r="KT996" s="2051"/>
      <c r="KU996" s="2051"/>
      <c r="KV996" s="2051"/>
      <c r="KW996" s="2051"/>
      <c r="KX996" s="2051"/>
      <c r="KY996" s="2051"/>
      <c r="KZ996" s="2051"/>
      <c r="LA996" s="2051"/>
      <c r="LB996" s="2051"/>
      <c r="LC996" s="2051"/>
      <c r="LD996" s="2051"/>
      <c r="LE996" s="2051"/>
      <c r="LF996" s="2051"/>
      <c r="LG996" s="2051"/>
      <c r="NP996" s="1924"/>
    </row>
    <row r="997" spans="1:380" s="1852" customFormat="1" ht="14.25" customHeight="1">
      <c r="C997" s="1818" t="s">
        <v>2043</v>
      </c>
      <c r="D997" s="1818"/>
      <c r="E997" s="1818"/>
      <c r="F997" s="1818"/>
      <c r="H997" s="2114" t="s">
        <v>3832</v>
      </c>
      <c r="I997" s="2112"/>
      <c r="K997" s="2166">
        <f>EI889</f>
        <v>0</v>
      </c>
      <c r="L997" s="2166">
        <f>EJ889</f>
        <v>0</v>
      </c>
      <c r="M997" s="2166">
        <f>EK889</f>
        <v>0</v>
      </c>
      <c r="N997" s="2166">
        <f>EL889</f>
        <v>0</v>
      </c>
      <c r="O997" s="2166">
        <f>EM889</f>
        <v>0</v>
      </c>
      <c r="P997" s="2171">
        <f t="shared" ref="P997:P1003" si="367">SUM(K997:O997)</f>
        <v>0</v>
      </c>
      <c r="Q997" s="2172" t="str">
        <f t="shared" ref="Q997:Q1003" si="368">IF(OR(P896=0,P896=""),"",P997/P896)</f>
        <v/>
      </c>
      <c r="S997" s="2043"/>
      <c r="T997" s="2043"/>
      <c r="U997" s="2043"/>
      <c r="V997" s="2043"/>
      <c r="W997" s="2043"/>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1"/>
      <c r="KB997" s="2051"/>
      <c r="KG997" s="2051"/>
      <c r="KL997" s="2051"/>
      <c r="KM997" s="2051"/>
      <c r="KN997" s="2051"/>
      <c r="KO997" s="2051"/>
      <c r="KP997" s="2051"/>
      <c r="KQ997" s="2051"/>
      <c r="KR997" s="2051"/>
      <c r="KS997" s="2051"/>
      <c r="KT997" s="2051"/>
      <c r="KU997" s="2051"/>
      <c r="KV997" s="2051"/>
      <c r="KW997" s="2051"/>
      <c r="KX997" s="2051"/>
      <c r="KY997" s="2051"/>
      <c r="KZ997" s="2051"/>
      <c r="LA997" s="2051"/>
      <c r="LB997" s="2051"/>
      <c r="LC997" s="2051"/>
      <c r="LD997" s="2051"/>
      <c r="LE997" s="2051"/>
      <c r="LF997" s="2051"/>
      <c r="LG997" s="2051"/>
      <c r="NP997" s="1924"/>
    </row>
    <row r="998" spans="1:380" s="1852" customFormat="1" ht="14.25" customHeight="1">
      <c r="C998" s="1818"/>
      <c r="D998" s="1818"/>
      <c r="E998" s="1818"/>
      <c r="F998" s="1818"/>
      <c r="H998" s="2115" t="s">
        <v>3833</v>
      </c>
      <c r="I998" s="2121"/>
      <c r="K998" s="2171">
        <f>EN889</f>
        <v>0</v>
      </c>
      <c r="L998" s="2171">
        <f>EO889</f>
        <v>1660</v>
      </c>
      <c r="M998" s="2171">
        <f>EP889</f>
        <v>2166</v>
      </c>
      <c r="N998" s="2171">
        <f>EQ889</f>
        <v>2602</v>
      </c>
      <c r="O998" s="2171">
        <f>ER889</f>
        <v>0</v>
      </c>
      <c r="P998" s="2171">
        <f t="shared" si="367"/>
        <v>6428</v>
      </c>
      <c r="Q998" s="2172">
        <f t="shared" si="368"/>
        <v>1071.3333333333333</v>
      </c>
      <c r="S998" s="2043"/>
      <c r="T998" s="2043"/>
      <c r="U998" s="2043"/>
      <c r="V998" s="2043"/>
      <c r="W998" s="2043"/>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1"/>
      <c r="KB998" s="2051"/>
      <c r="KG998" s="2051"/>
      <c r="KL998" s="2051"/>
      <c r="KM998" s="2051"/>
      <c r="KN998" s="2051"/>
      <c r="KO998" s="2051"/>
      <c r="KP998" s="2051"/>
      <c r="KQ998" s="2051"/>
      <c r="KR998" s="2051"/>
      <c r="KS998" s="2051"/>
      <c r="KT998" s="2051"/>
      <c r="KU998" s="2051"/>
      <c r="KV998" s="2051"/>
      <c r="KW998" s="2051"/>
      <c r="KX998" s="2051"/>
      <c r="KY998" s="2051"/>
      <c r="KZ998" s="2051"/>
      <c r="LA998" s="2051"/>
      <c r="LB998" s="2051"/>
      <c r="LC998" s="2051"/>
      <c r="LD998" s="2051"/>
      <c r="LE998" s="2051"/>
      <c r="LF998" s="2051"/>
      <c r="LG998" s="2051"/>
      <c r="NP998" s="1924"/>
    </row>
    <row r="999" spans="1:380" s="1852" customFormat="1" ht="14.25" customHeight="1">
      <c r="C999" s="1818"/>
      <c r="D999" s="1818"/>
      <c r="E999" s="1818"/>
      <c r="F999" s="1818"/>
      <c r="H999" s="2115" t="s">
        <v>1107</v>
      </c>
      <c r="I999" s="2121"/>
      <c r="K999" s="2171">
        <f>ES889</f>
        <v>0</v>
      </c>
      <c r="L999" s="2171">
        <f>ET889</f>
        <v>3320</v>
      </c>
      <c r="M999" s="2171">
        <f>EU889</f>
        <v>14079</v>
      </c>
      <c r="N999" s="2171">
        <f>EV889</f>
        <v>7806</v>
      </c>
      <c r="O999" s="2171">
        <f>EW889</f>
        <v>0</v>
      </c>
      <c r="P999" s="2171">
        <f t="shared" si="367"/>
        <v>25205</v>
      </c>
      <c r="Q999" s="2172">
        <f t="shared" si="368"/>
        <v>1095.8695652173913</v>
      </c>
      <c r="S999" s="2043"/>
      <c r="T999" s="2043"/>
      <c r="U999" s="2043"/>
      <c r="V999" s="2043"/>
      <c r="W999" s="2043"/>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1"/>
      <c r="KB999" s="2051"/>
      <c r="KG999" s="2051"/>
      <c r="KL999" s="2051"/>
      <c r="KM999" s="2051"/>
      <c r="KN999" s="2051"/>
      <c r="KO999" s="2051"/>
      <c r="KP999" s="2051"/>
      <c r="KQ999" s="2051"/>
      <c r="KR999" s="2051"/>
      <c r="KS999" s="2051"/>
      <c r="KT999" s="2051"/>
      <c r="KU999" s="2051"/>
      <c r="KV999" s="2051"/>
      <c r="KW999" s="2051"/>
      <c r="KX999" s="2051"/>
      <c r="KY999" s="2051"/>
      <c r="KZ999" s="2051"/>
      <c r="LA999" s="2051"/>
      <c r="LB999" s="2051"/>
      <c r="LC999" s="2051"/>
      <c r="LD999" s="2051"/>
      <c r="LE999" s="2051"/>
      <c r="LF999" s="2051"/>
      <c r="LG999" s="2051"/>
      <c r="NP999" s="1924"/>
    </row>
    <row r="1000" spans="1:380" s="1852" customFormat="1" ht="14.25" customHeight="1">
      <c r="C1000" s="1818"/>
      <c r="D1000" s="1818"/>
      <c r="E1000" s="1818"/>
      <c r="F1000" s="1818"/>
      <c r="H1000" s="2115" t="s">
        <v>111</v>
      </c>
      <c r="I1000" s="2121"/>
      <c r="K1000" s="2171">
        <f>EX889</f>
        <v>0</v>
      </c>
      <c r="L1000" s="2171">
        <f>EY889</f>
        <v>4980</v>
      </c>
      <c r="M1000" s="2171">
        <f>EZ889</f>
        <v>9747</v>
      </c>
      <c r="N1000" s="2171">
        <f>FA889</f>
        <v>5204</v>
      </c>
      <c r="O1000" s="2171">
        <f>FB889</f>
        <v>0</v>
      </c>
      <c r="P1000" s="2171">
        <f t="shared" si="367"/>
        <v>19931</v>
      </c>
      <c r="Q1000" s="2172">
        <f t="shared" si="368"/>
        <v>1049</v>
      </c>
      <c r="S1000" s="2043"/>
      <c r="T1000" s="2043"/>
      <c r="U1000" s="2043"/>
      <c r="V1000" s="2043"/>
      <c r="W1000" s="2043"/>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1"/>
      <c r="KB1000" s="2051"/>
      <c r="KG1000" s="2051"/>
      <c r="KL1000" s="2051"/>
      <c r="KM1000" s="2051"/>
      <c r="KN1000" s="2051"/>
      <c r="KO1000" s="2051"/>
      <c r="KP1000" s="2051"/>
      <c r="KQ1000" s="2051"/>
      <c r="KR1000" s="2051"/>
      <c r="KS1000" s="2051"/>
      <c r="KT1000" s="2051"/>
      <c r="KU1000" s="2051"/>
      <c r="KV1000" s="2051"/>
      <c r="KW1000" s="2051"/>
      <c r="KX1000" s="2051"/>
      <c r="KY1000" s="2051"/>
      <c r="KZ1000" s="2051"/>
      <c r="LA1000" s="2051"/>
      <c r="LB1000" s="2051"/>
      <c r="LC1000" s="2051"/>
      <c r="LD1000" s="2051"/>
      <c r="LE1000" s="2051"/>
      <c r="LF1000" s="2051"/>
      <c r="LG1000" s="2051"/>
      <c r="NP1000" s="1924"/>
    </row>
    <row r="1001" spans="1:380" s="1852" customFormat="1" ht="14.25" customHeight="1">
      <c r="C1001" s="1818"/>
      <c r="D1001" s="1818"/>
      <c r="E1001" s="1818"/>
      <c r="F1001" s="1818"/>
      <c r="H1001" s="2115" t="s">
        <v>3834</v>
      </c>
      <c r="I1001" s="2121"/>
      <c r="K1001" s="2171">
        <f>FC889</f>
        <v>0</v>
      </c>
      <c r="L1001" s="2171">
        <f>FD889</f>
        <v>0</v>
      </c>
      <c r="M1001" s="2171">
        <f>FE889</f>
        <v>0</v>
      </c>
      <c r="N1001" s="2171">
        <f>FF889</f>
        <v>0</v>
      </c>
      <c r="O1001" s="2171">
        <f>FG889</f>
        <v>0</v>
      </c>
      <c r="P1001" s="2171">
        <f t="shared" si="367"/>
        <v>0</v>
      </c>
      <c r="Q1001" s="2172" t="str">
        <f t="shared" si="368"/>
        <v/>
      </c>
      <c r="S1001" s="2043"/>
      <c r="T1001" s="2043"/>
      <c r="U1001" s="2043"/>
      <c r="V1001" s="2043"/>
      <c r="W1001" s="2043"/>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1"/>
      <c r="KB1001" s="2051"/>
      <c r="KG1001" s="2051"/>
      <c r="KL1001" s="2051"/>
      <c r="KM1001" s="2051"/>
      <c r="KN1001" s="2051"/>
      <c r="KO1001" s="2051"/>
      <c r="KP1001" s="2051"/>
      <c r="KQ1001" s="2051"/>
      <c r="KR1001" s="2051"/>
      <c r="KS1001" s="2051"/>
      <c r="KT1001" s="2051"/>
      <c r="KU1001" s="2051"/>
      <c r="KV1001" s="2051"/>
      <c r="KW1001" s="2051"/>
      <c r="KX1001" s="2051"/>
      <c r="KY1001" s="2051"/>
      <c r="KZ1001" s="2051"/>
      <c r="LA1001" s="2051"/>
      <c r="LB1001" s="2051"/>
      <c r="LC1001" s="2051"/>
      <c r="LD1001" s="2051"/>
      <c r="LE1001" s="2051"/>
      <c r="LF1001" s="2051"/>
      <c r="LG1001" s="2051"/>
      <c r="NP1001" s="1924"/>
    </row>
    <row r="1002" spans="1:380" s="1852" customFormat="1" ht="14.25" customHeight="1">
      <c r="C1002" s="1818"/>
      <c r="D1002" s="1818"/>
      <c r="E1002" s="1818"/>
      <c r="F1002" s="1818"/>
      <c r="H1002" s="2115" t="s">
        <v>3835</v>
      </c>
      <c r="I1002" s="2121"/>
      <c r="K1002" s="2171">
        <f>FH889</f>
        <v>0</v>
      </c>
      <c r="L1002" s="2171">
        <f>FI889</f>
        <v>0</v>
      </c>
      <c r="M1002" s="2171">
        <f>FJ889</f>
        <v>0</v>
      </c>
      <c r="N1002" s="2171">
        <f>FK889</f>
        <v>0</v>
      </c>
      <c r="O1002" s="2171">
        <f>FL889</f>
        <v>0</v>
      </c>
      <c r="P1002" s="2171">
        <f t="shared" si="367"/>
        <v>0</v>
      </c>
      <c r="Q1002" s="2172" t="str">
        <f t="shared" si="368"/>
        <v/>
      </c>
      <c r="S1002" s="2043"/>
      <c r="T1002" s="2043"/>
      <c r="U1002" s="2043"/>
      <c r="V1002" s="2043"/>
      <c r="W1002" s="2043"/>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1"/>
      <c r="KB1002" s="2051"/>
      <c r="KG1002" s="2051"/>
      <c r="KL1002" s="2051"/>
      <c r="KM1002" s="2051"/>
      <c r="KN1002" s="2051"/>
      <c r="KO1002" s="2051"/>
      <c r="KP1002" s="2051"/>
      <c r="KQ1002" s="2051"/>
      <c r="KR1002" s="2051"/>
      <c r="KS1002" s="2051"/>
      <c r="KT1002" s="2051"/>
      <c r="KU1002" s="2051"/>
      <c r="KV1002" s="2051"/>
      <c r="KW1002" s="2051"/>
      <c r="KX1002" s="2051"/>
      <c r="KY1002" s="2051"/>
      <c r="KZ1002" s="2051"/>
      <c r="LA1002" s="2051"/>
      <c r="LB1002" s="2051"/>
      <c r="LC1002" s="2051"/>
      <c r="LD1002" s="2051"/>
      <c r="LE1002" s="2051"/>
      <c r="LF1002" s="2051"/>
      <c r="LG1002" s="2051"/>
      <c r="NP1002" s="1924"/>
    </row>
    <row r="1003" spans="1:380" s="1852" customFormat="1" ht="14.25" customHeight="1">
      <c r="C1003" s="1818"/>
      <c r="D1003" s="1818"/>
      <c r="E1003" s="1818"/>
      <c r="F1003" s="1818"/>
      <c r="H1003" s="2114" t="s">
        <v>3836</v>
      </c>
      <c r="I1003" s="2112"/>
      <c r="K1003" s="2166">
        <f>FM889</f>
        <v>0</v>
      </c>
      <c r="L1003" s="2166">
        <f>FN889</f>
        <v>0</v>
      </c>
      <c r="M1003" s="2166">
        <f>FO889</f>
        <v>0</v>
      </c>
      <c r="N1003" s="2166">
        <f>FP889</f>
        <v>0</v>
      </c>
      <c r="O1003" s="2166">
        <f>FQ889</f>
        <v>0</v>
      </c>
      <c r="P1003" s="2171">
        <f t="shared" si="367"/>
        <v>0</v>
      </c>
      <c r="Q1003" s="2172" t="str">
        <f t="shared" si="368"/>
        <v/>
      </c>
      <c r="S1003" s="2043"/>
      <c r="T1003" s="2043"/>
      <c r="U1003" s="2043"/>
      <c r="V1003" s="2043"/>
      <c r="W1003" s="2043"/>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1"/>
      <c r="KB1003" s="2051"/>
      <c r="KG1003" s="2051"/>
      <c r="KL1003" s="2051"/>
      <c r="KM1003" s="2051"/>
      <c r="KN1003" s="2051"/>
      <c r="KO1003" s="2051"/>
      <c r="KP1003" s="2051"/>
      <c r="KQ1003" s="2051"/>
      <c r="KR1003" s="2051"/>
      <c r="KS1003" s="2051"/>
      <c r="KT1003" s="2051"/>
      <c r="KU1003" s="2051"/>
      <c r="KV1003" s="2051"/>
      <c r="KW1003" s="2051"/>
      <c r="KX1003" s="2051"/>
      <c r="KY1003" s="2051"/>
      <c r="KZ1003" s="2051"/>
      <c r="LA1003" s="2051"/>
      <c r="LB1003" s="2051"/>
      <c r="LC1003" s="2051"/>
      <c r="LD1003" s="2051"/>
      <c r="LE1003" s="2051"/>
      <c r="LF1003" s="2051"/>
      <c r="LG1003" s="2051"/>
      <c r="NP1003" s="1924"/>
    </row>
    <row r="1004" spans="1:380" s="1852" customFormat="1" ht="14.25" customHeight="1">
      <c r="C1004" s="1818"/>
      <c r="D1004" s="1818"/>
      <c r="E1004" s="1818"/>
      <c r="F1004" s="1818"/>
      <c r="H1004" s="2169" t="s">
        <v>3917</v>
      </c>
      <c r="I1004" s="2170"/>
      <c r="J1004" s="2154"/>
      <c r="K1004" s="2173">
        <f>SUM(K997:K1003)</f>
        <v>0</v>
      </c>
      <c r="L1004" s="2173">
        <f>SUM(L997:L1003)</f>
        <v>9960</v>
      </c>
      <c r="M1004" s="2173">
        <f>SUM(M997:M1003)</f>
        <v>25992</v>
      </c>
      <c r="N1004" s="2173">
        <f>SUM(N997:N1003)</f>
        <v>15612</v>
      </c>
      <c r="O1004" s="2173">
        <f>SUM(O997:O1003)</f>
        <v>0</v>
      </c>
      <c r="P1004" s="2173">
        <f>SUM(K1004:O1004)</f>
        <v>51564</v>
      </c>
      <c r="S1004" s="2043"/>
      <c r="T1004" s="2043"/>
      <c r="U1004" s="2043"/>
      <c r="V1004" s="2043"/>
      <c r="W1004" s="2043"/>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1"/>
      <c r="KB1004" s="2051"/>
      <c r="KG1004" s="2051"/>
      <c r="KL1004" s="2051"/>
      <c r="KM1004" s="2051"/>
      <c r="KN1004" s="2051"/>
      <c r="KO1004" s="2051"/>
      <c r="KP1004" s="2051"/>
      <c r="KQ1004" s="2051"/>
      <c r="KR1004" s="2051"/>
      <c r="KS1004" s="2051"/>
      <c r="KT1004" s="2051"/>
      <c r="KU1004" s="2051"/>
      <c r="KV1004" s="2051"/>
      <c r="KW1004" s="2051"/>
      <c r="KX1004" s="2051"/>
      <c r="KY1004" s="2051"/>
      <c r="KZ1004" s="2051"/>
      <c r="LA1004" s="2051"/>
      <c r="LB1004" s="2051"/>
      <c r="LC1004" s="2051"/>
      <c r="LD1004" s="2051"/>
      <c r="LE1004" s="2051"/>
      <c r="LF1004" s="2051"/>
      <c r="LG1004" s="2051"/>
      <c r="NP1004" s="1924"/>
    </row>
    <row r="1005" spans="1:380" s="1852" customFormat="1" ht="14.25" customHeight="1">
      <c r="C1005" s="1818" t="s">
        <v>292</v>
      </c>
      <c r="D1005" s="1818"/>
      <c r="E1005" s="1818"/>
      <c r="F1005" s="1818"/>
      <c r="G1005" s="1818"/>
      <c r="K1005" s="2171">
        <f>FR889</f>
        <v>0</v>
      </c>
      <c r="L1005" s="2171">
        <f>FS889</f>
        <v>0</v>
      </c>
      <c r="M1005" s="2171">
        <f>FT889</f>
        <v>0</v>
      </c>
      <c r="N1005" s="2171">
        <f>FU889</f>
        <v>0</v>
      </c>
      <c r="O1005" s="2171">
        <f>FV889</f>
        <v>0</v>
      </c>
      <c r="P1005" s="2171">
        <f>SUM(K1005:O1005)</f>
        <v>0</v>
      </c>
      <c r="Q1005" s="2172" t="str">
        <f>IF(OR(P904=0,P904=""),"",P1005/P904)</f>
        <v/>
      </c>
      <c r="S1005" s="2043"/>
      <c r="T1005" s="2043"/>
      <c r="U1005" s="2043"/>
      <c r="V1005" s="2043"/>
      <c r="W1005" s="2043"/>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1"/>
      <c r="KB1005" s="2051"/>
      <c r="KG1005" s="2051"/>
      <c r="KL1005" s="2051"/>
      <c r="KM1005" s="2051"/>
      <c r="KN1005" s="2051"/>
      <c r="KO1005" s="2051"/>
      <c r="KP1005" s="2051"/>
      <c r="KQ1005" s="2051"/>
      <c r="KR1005" s="2051"/>
      <c r="KS1005" s="2051"/>
      <c r="KT1005" s="2051"/>
      <c r="KU1005" s="2051"/>
      <c r="KV1005" s="2051"/>
      <c r="KW1005" s="2051"/>
      <c r="KX1005" s="2051"/>
      <c r="KY1005" s="2051"/>
      <c r="KZ1005" s="2051"/>
      <c r="LA1005" s="2051"/>
      <c r="LB1005" s="2051"/>
      <c r="LC1005" s="2051"/>
      <c r="LD1005" s="2051"/>
      <c r="LE1005" s="2051"/>
      <c r="LF1005" s="2051"/>
      <c r="LG1005" s="2051"/>
      <c r="NP1005" s="1924"/>
    </row>
    <row r="1006" spans="1:380" s="1852" customFormat="1" ht="14.25" customHeight="1">
      <c r="C1006" s="2153" t="s">
        <v>1096</v>
      </c>
      <c r="D1006" s="2153"/>
      <c r="E1006" s="2153"/>
      <c r="F1006" s="2153"/>
      <c r="G1006" s="2153"/>
      <c r="H1006" s="2154"/>
      <c r="I1006" s="2154"/>
      <c r="J1006" s="2154"/>
      <c r="K1006" s="2173">
        <f>SUM(K1004:K1005)</f>
        <v>0</v>
      </c>
      <c r="L1006" s="2173">
        <f>SUM(L1004:L1005)</f>
        <v>9960</v>
      </c>
      <c r="M1006" s="2173">
        <f>SUM(M1004:M1005)</f>
        <v>25992</v>
      </c>
      <c r="N1006" s="2173">
        <f>SUM(N1004:N1005)</f>
        <v>15612</v>
      </c>
      <c r="O1006" s="2173">
        <f>SUM(O1004:O1005)</f>
        <v>0</v>
      </c>
      <c r="P1006" s="2173">
        <f>SUM(K1006:O1006)</f>
        <v>51564</v>
      </c>
      <c r="S1006" s="2043"/>
      <c r="T1006" s="2043"/>
      <c r="U1006" s="2043"/>
      <c r="V1006" s="2043"/>
      <c r="W1006" s="2043"/>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1"/>
      <c r="KB1006" s="2051"/>
      <c r="KG1006" s="2051"/>
      <c r="KL1006" s="2051"/>
      <c r="KM1006" s="2051"/>
      <c r="KN1006" s="2051"/>
      <c r="KO1006" s="2051"/>
      <c r="KP1006" s="2051"/>
      <c r="KQ1006" s="2051"/>
      <c r="KR1006" s="2051"/>
      <c r="KS1006" s="2051"/>
      <c r="KT1006" s="2051"/>
      <c r="KU1006" s="2051"/>
      <c r="KV1006" s="2051"/>
      <c r="KW1006" s="2051"/>
      <c r="KX1006" s="2051"/>
      <c r="KY1006" s="2051"/>
      <c r="KZ1006" s="2051"/>
      <c r="LA1006" s="2051"/>
      <c r="LB1006" s="2051"/>
      <c r="LC1006" s="2051"/>
      <c r="LD1006" s="2051"/>
      <c r="LE1006" s="2051"/>
      <c r="LF1006" s="2051"/>
      <c r="LG1006" s="2051"/>
      <c r="NP1006" s="1924"/>
    </row>
    <row r="1007" spans="1:380" s="1852" customFormat="1" ht="14.25" customHeight="1">
      <c r="C1007" s="1818" t="s">
        <v>2394</v>
      </c>
      <c r="D1007" s="1818"/>
      <c r="E1007" s="1818"/>
      <c r="F1007" s="1818"/>
      <c r="G1007" s="1818"/>
      <c r="K1007" s="2171">
        <f>GB889</f>
        <v>0</v>
      </c>
      <c r="L1007" s="2171">
        <f>GC889</f>
        <v>0</v>
      </c>
      <c r="M1007" s="2171">
        <f>GD889</f>
        <v>0</v>
      </c>
      <c r="N1007" s="2171">
        <f>GE889</f>
        <v>0</v>
      </c>
      <c r="O1007" s="2171">
        <f>GF889</f>
        <v>0</v>
      </c>
      <c r="P1007" s="2171">
        <f>SUM(K1007:O1007)</f>
        <v>0</v>
      </c>
      <c r="Q1007" s="2172" t="str">
        <f>IF(OR(P906=0,P906=""),"",P1007/P906)</f>
        <v/>
      </c>
      <c r="S1007" s="2043"/>
      <c r="T1007" s="2043"/>
      <c r="U1007" s="2043"/>
      <c r="V1007" s="2043"/>
      <c r="W1007" s="2043"/>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1"/>
      <c r="KB1007" s="2051"/>
      <c r="KG1007" s="2051"/>
      <c r="KL1007" s="2051"/>
      <c r="KM1007" s="2051"/>
      <c r="KN1007" s="2051"/>
      <c r="KO1007" s="2051"/>
      <c r="KP1007" s="2051"/>
      <c r="KQ1007" s="2051"/>
      <c r="KR1007" s="2051"/>
      <c r="KS1007" s="2051"/>
      <c r="KT1007" s="2051"/>
      <c r="KU1007" s="2051"/>
      <c r="KV1007" s="2051"/>
      <c r="KW1007" s="2051"/>
      <c r="KX1007" s="2051"/>
      <c r="KY1007" s="2051"/>
      <c r="KZ1007" s="2051"/>
      <c r="LA1007" s="2051"/>
      <c r="LB1007" s="2051"/>
      <c r="LC1007" s="2051"/>
      <c r="LD1007" s="2051"/>
      <c r="LE1007" s="2051"/>
      <c r="LF1007" s="2051"/>
      <c r="LG1007" s="2051"/>
      <c r="NP1007" s="1924"/>
    </row>
    <row r="1008" spans="1:380" s="1852" customFormat="1" ht="14.25" customHeight="1">
      <c r="C1008" s="1818" t="s">
        <v>513</v>
      </c>
      <c r="D1008" s="1818"/>
      <c r="E1008" s="1818"/>
      <c r="F1008" s="1818"/>
      <c r="G1008" s="1818"/>
      <c r="K1008" s="2171">
        <f>SUM(K1006:K1007)</f>
        <v>0</v>
      </c>
      <c r="L1008" s="2171">
        <f>SUM(L1006:L1007)</f>
        <v>9960</v>
      </c>
      <c r="M1008" s="2171">
        <f>SUM(M1006:M1007)</f>
        <v>25992</v>
      </c>
      <c r="N1008" s="2171">
        <f>SUM(N1006:N1007)</f>
        <v>15612</v>
      </c>
      <c r="O1008" s="2171">
        <f>SUM(O1006:O1007)</f>
        <v>0</v>
      </c>
      <c r="P1008" s="2171">
        <f>SUM(K1008:O1008)</f>
        <v>51564</v>
      </c>
      <c r="S1008" s="2043"/>
      <c r="T1008" s="2043"/>
      <c r="U1008" s="2043"/>
      <c r="V1008" s="2043"/>
      <c r="W1008" s="2043"/>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1"/>
      <c r="KB1008" s="2051"/>
      <c r="KG1008" s="2051"/>
      <c r="KL1008" s="2051"/>
      <c r="KM1008" s="2051"/>
      <c r="KN1008" s="2051"/>
      <c r="KO1008" s="2051"/>
      <c r="KP1008" s="2051"/>
      <c r="KQ1008" s="2051"/>
      <c r="KR1008" s="2051"/>
      <c r="KS1008" s="2051"/>
      <c r="KT1008" s="2051"/>
      <c r="KU1008" s="2051"/>
      <c r="KV1008" s="2051"/>
      <c r="KW1008" s="2051"/>
      <c r="KX1008" s="2051"/>
      <c r="KY1008" s="2051"/>
      <c r="KZ1008" s="2051"/>
      <c r="LA1008" s="2051"/>
      <c r="LB1008" s="2051"/>
      <c r="LC1008" s="2051"/>
      <c r="LD1008" s="2051"/>
      <c r="LE1008" s="2051"/>
      <c r="LF1008" s="2051"/>
      <c r="LG1008" s="2051"/>
      <c r="NP1008" s="1924"/>
    </row>
    <row r="1009" spans="1:380" s="1852" customFormat="1" ht="14.1" customHeight="1">
      <c r="JW1009" s="2051"/>
      <c r="KB1009" s="2051"/>
      <c r="KG1009" s="2051"/>
      <c r="KL1009" s="2051"/>
      <c r="KM1009" s="2051"/>
      <c r="KN1009" s="2051"/>
      <c r="KO1009" s="2051"/>
      <c r="KP1009" s="2051"/>
      <c r="KQ1009" s="2051"/>
      <c r="KR1009" s="2051"/>
      <c r="KS1009" s="2051"/>
      <c r="KT1009" s="2051"/>
      <c r="KU1009" s="2051"/>
      <c r="KV1009" s="2051"/>
      <c r="KW1009" s="2051"/>
      <c r="KX1009" s="2051"/>
      <c r="KY1009" s="2051"/>
      <c r="KZ1009" s="2051"/>
      <c r="LA1009" s="2051"/>
      <c r="LB1009" s="2051"/>
      <c r="LC1009" s="2051"/>
      <c r="LD1009" s="2051"/>
      <c r="LE1009" s="2051"/>
      <c r="LF1009" s="2051"/>
      <c r="LG1009" s="2051"/>
      <c r="NP1009" s="1924"/>
    </row>
    <row r="1010" spans="1:380" s="1818" customFormat="1" ht="14.1" customHeight="1">
      <c r="JW1010" s="2108"/>
      <c r="KB1010" s="2108"/>
      <c r="KG1010" s="2108"/>
      <c r="KL1010" s="2108"/>
      <c r="KM1010" s="2108"/>
      <c r="KN1010" s="2108"/>
      <c r="KO1010" s="2108"/>
      <c r="KP1010" s="2108"/>
      <c r="KQ1010" s="2108"/>
      <c r="KR1010" s="2108"/>
      <c r="KS1010" s="2108"/>
      <c r="KT1010" s="2108"/>
      <c r="KU1010" s="2108"/>
      <c r="KV1010" s="2108"/>
      <c r="KW1010" s="2108"/>
      <c r="KX1010" s="2108"/>
      <c r="KY1010" s="2108"/>
      <c r="KZ1010" s="2108"/>
      <c r="LA1010" s="2108"/>
      <c r="LB1010" s="2108"/>
      <c r="LC1010" s="2108"/>
      <c r="LD1010" s="2108"/>
      <c r="LE1010" s="2108"/>
      <c r="LF1010" s="2108"/>
      <c r="LG1010" s="2108"/>
      <c r="NP1010" s="1924"/>
    </row>
    <row r="1011" spans="1:380" s="1818" customFormat="1" ht="14.25" customHeight="1">
      <c r="C1011" s="1818" t="s">
        <v>7141</v>
      </c>
      <c r="K1011" s="2174" t="str">
        <f>IF(OR(K907="",K907=0),"",K1008/K907)</f>
        <v/>
      </c>
      <c r="L1011" s="2174">
        <f>IF(OR(L907="",L907=0),"",L1008/L907)</f>
        <v>830</v>
      </c>
      <c r="M1011" s="2174">
        <f>IF(OR(M907="",M907=0),"",M1008/M907)</f>
        <v>1083</v>
      </c>
      <c r="N1011" s="2174">
        <f>IF(OR(N907="",N907=0),"",N1008/N907)</f>
        <v>1301</v>
      </c>
      <c r="O1011" s="2174" t="str">
        <f>IF(OR(O907="",O907=0),"",O1008/O907)</f>
        <v/>
      </c>
      <c r="P1011" s="2174"/>
      <c r="JW1011" s="2108"/>
      <c r="KB1011" s="2108"/>
      <c r="KG1011" s="2108"/>
      <c r="KL1011" s="2108"/>
      <c r="KM1011" s="2108"/>
      <c r="KN1011" s="2108"/>
      <c r="KO1011" s="2108"/>
      <c r="KP1011" s="2108"/>
      <c r="KQ1011" s="2108"/>
      <c r="KR1011" s="2108"/>
      <c r="KS1011" s="2108"/>
      <c r="KT1011" s="2108"/>
      <c r="KU1011" s="2108"/>
      <c r="KV1011" s="2108"/>
      <c r="KW1011" s="2108"/>
      <c r="KX1011" s="2108"/>
      <c r="KY1011" s="2108"/>
      <c r="KZ1011" s="2108"/>
      <c r="LA1011" s="2108"/>
      <c r="LB1011" s="2108"/>
      <c r="LC1011" s="2108"/>
      <c r="LD1011" s="2108"/>
      <c r="LE1011" s="2108"/>
      <c r="LF1011" s="2108"/>
      <c r="LG1011" s="2108"/>
      <c r="NP1011" s="1924"/>
    </row>
    <row r="1012" spans="1:380" s="1818" customFormat="1" ht="14.1" customHeight="1">
      <c r="JW1012" s="2108"/>
      <c r="KB1012" s="2108"/>
      <c r="KG1012" s="2108"/>
      <c r="KL1012" s="2108"/>
      <c r="KM1012" s="2108"/>
      <c r="KN1012" s="2108"/>
      <c r="KO1012" s="2108"/>
      <c r="KP1012" s="2108"/>
      <c r="KQ1012" s="2108"/>
      <c r="KR1012" s="2108"/>
      <c r="KS1012" s="2108"/>
      <c r="KT1012" s="2108"/>
      <c r="KU1012" s="2108"/>
      <c r="KV1012" s="2108"/>
      <c r="KW1012" s="2108"/>
      <c r="KX1012" s="2108"/>
      <c r="KY1012" s="2108"/>
      <c r="KZ1012" s="2108"/>
      <c r="LA1012" s="2108"/>
      <c r="LB1012" s="2108"/>
      <c r="LC1012" s="2108"/>
      <c r="LD1012" s="2108"/>
      <c r="LE1012" s="2108"/>
      <c r="LF1012" s="2108"/>
      <c r="LG1012" s="2108"/>
      <c r="NP1012" s="1924"/>
    </row>
    <row r="1013" spans="1:380" s="1818" customFormat="1" ht="14.1" customHeight="1">
      <c r="A1013" s="2175"/>
      <c r="JW1013" s="2108"/>
      <c r="KB1013" s="2108"/>
      <c r="KG1013" s="2108"/>
      <c r="KL1013" s="2108"/>
      <c r="KM1013" s="2108"/>
      <c r="KN1013" s="2108"/>
      <c r="KO1013" s="2108"/>
      <c r="KP1013" s="2108"/>
      <c r="KQ1013" s="2108"/>
      <c r="KR1013" s="2108"/>
      <c r="KS1013" s="2108"/>
      <c r="KT1013" s="2108"/>
      <c r="KU1013" s="2108"/>
      <c r="KV1013" s="2108"/>
      <c r="KW1013" s="2108"/>
      <c r="KX1013" s="2108"/>
      <c r="KY1013" s="2108"/>
      <c r="KZ1013" s="2108"/>
      <c r="LA1013" s="2108"/>
      <c r="LB1013" s="2108"/>
      <c r="LC1013" s="2108"/>
      <c r="LD1013" s="2108"/>
      <c r="LE1013" s="2108"/>
      <c r="LF1013" s="2108"/>
      <c r="LG1013" s="2108"/>
      <c r="NP1013" s="1924"/>
    </row>
    <row r="1014" spans="1:380" s="1852" customFormat="1" ht="14.1" customHeight="1">
      <c r="A1014" s="1852" t="s">
        <v>712</v>
      </c>
      <c r="B1014" s="1852" t="s">
        <v>7142</v>
      </c>
      <c r="S1014" s="1852" t="s">
        <v>1761</v>
      </c>
      <c r="U1014" s="1818"/>
      <c r="KM1014" s="2051"/>
      <c r="KN1014" s="2051"/>
      <c r="KO1014" s="2051"/>
      <c r="KP1014" s="2051"/>
      <c r="KQ1014" s="2051"/>
      <c r="KR1014" s="2051"/>
      <c r="KS1014" s="2051"/>
      <c r="KT1014" s="2051"/>
      <c r="KU1014" s="2051"/>
      <c r="KV1014" s="2051"/>
      <c r="KW1014" s="2051"/>
      <c r="KX1014" s="2051"/>
      <c r="KY1014" s="2051"/>
      <c r="KZ1014" s="2051"/>
      <c r="LA1014" s="2051"/>
      <c r="LB1014" s="2051"/>
      <c r="LC1014" s="2051"/>
      <c r="LD1014" s="2051"/>
      <c r="LE1014" s="2051"/>
      <c r="LF1014" s="2051"/>
      <c r="LG1014" s="2051"/>
      <c r="LH1014" s="2051"/>
      <c r="NP1014" s="1924"/>
    </row>
    <row r="1015" spans="1:380" s="1852" customFormat="1" ht="2.25" customHeight="1">
      <c r="Q1015" s="1818"/>
      <c r="R1015" s="1818"/>
      <c r="JW1015" s="2051"/>
      <c r="KB1015" s="2051"/>
      <c r="KG1015" s="2051"/>
      <c r="KL1015" s="2051"/>
      <c r="KM1015" s="2051"/>
      <c r="KN1015" s="2051"/>
      <c r="KO1015" s="2051"/>
      <c r="KP1015" s="2051"/>
      <c r="KQ1015" s="2051"/>
      <c r="KR1015" s="2051"/>
      <c r="KS1015" s="2051"/>
      <c r="KT1015" s="2051"/>
      <c r="KU1015" s="2051"/>
      <c r="KV1015" s="2051"/>
      <c r="KW1015" s="2051"/>
      <c r="KX1015" s="2051"/>
      <c r="KY1015" s="2051"/>
      <c r="KZ1015" s="2051"/>
      <c r="LA1015" s="2051"/>
      <c r="LB1015" s="2051"/>
      <c r="LC1015" s="2051"/>
      <c r="LD1015" s="2051"/>
      <c r="LE1015" s="2051"/>
      <c r="LF1015" s="2051"/>
      <c r="LG1015" s="2051"/>
      <c r="NP1015" s="1924"/>
    </row>
    <row r="1016" spans="1:380" s="1818" customFormat="1" ht="15.6" customHeight="1">
      <c r="B1016" s="1719" t="s">
        <v>977</v>
      </c>
      <c r="C1016" s="1719"/>
      <c r="D1016" s="1719"/>
      <c r="E1016" s="1719"/>
      <c r="F1016" s="1719"/>
      <c r="G1016" s="1719"/>
      <c r="H1016" s="2176">
        <f>'Part VI-Revenues &amp; Expenses'!H176</f>
        <v>7310.4000000000005</v>
      </c>
      <c r="I1016" s="2176"/>
      <c r="J1016" s="2176"/>
      <c r="K1016" s="1719"/>
      <c r="L1016" s="2115" t="s">
        <v>7067</v>
      </c>
      <c r="M1016" s="1719"/>
      <c r="N1016" s="1719"/>
      <c r="O1016" s="1719"/>
      <c r="P1016" s="2177">
        <f>IF(M890=0,0,H1016/M890)</f>
        <v>0.02</v>
      </c>
      <c r="Q1016" s="1719"/>
      <c r="R1016" s="1719"/>
      <c r="S1016" s="1818" t="str">
        <f>B1016</f>
        <v>Ancillary Income</v>
      </c>
      <c r="JW1016" s="2108"/>
      <c r="KB1016" s="2108"/>
      <c r="KG1016" s="2108"/>
      <c r="KL1016" s="2108"/>
      <c r="KM1016" s="2108"/>
      <c r="KN1016" s="2108"/>
      <c r="KO1016" s="2108"/>
      <c r="KP1016" s="2108"/>
      <c r="KQ1016" s="2108"/>
      <c r="KR1016" s="2108"/>
      <c r="KS1016" s="2108"/>
      <c r="KT1016" s="2108"/>
      <c r="KU1016" s="2108"/>
      <c r="KV1016" s="2108"/>
      <c r="KW1016" s="2108"/>
      <c r="KX1016" s="2108"/>
      <c r="KY1016" s="2108"/>
      <c r="KZ1016" s="2108"/>
      <c r="LA1016" s="2108"/>
      <c r="LB1016" s="2108"/>
      <c r="LC1016" s="2108"/>
      <c r="LD1016" s="2108"/>
      <c r="LE1016" s="2108"/>
      <c r="LF1016" s="2108"/>
      <c r="LG1016" s="2108"/>
      <c r="NP1016" s="2113"/>
    </row>
    <row r="1017" spans="1:380" s="1852" customFormat="1" ht="15.6" customHeight="1">
      <c r="B1017" s="2114"/>
      <c r="C1017" s="2114"/>
      <c r="D1017" s="1719"/>
      <c r="E1017" s="2114"/>
      <c r="F1017" s="2114"/>
      <c r="G1017" s="2114"/>
      <c r="H1017" s="2114"/>
      <c r="I1017" s="2114"/>
      <c r="J1017" s="2168"/>
      <c r="K1017" s="2114"/>
      <c r="L1017" s="2114"/>
      <c r="M1017" s="2114"/>
      <c r="N1017" s="2114"/>
      <c r="O1017" s="2114"/>
      <c r="P1017" s="2114"/>
      <c r="Q1017" s="1719"/>
      <c r="R1017" s="1719"/>
      <c r="JW1017" s="2051"/>
      <c r="KB1017" s="2051"/>
      <c r="KG1017" s="2051"/>
      <c r="KL1017" s="2051"/>
      <c r="KM1017" s="2051"/>
      <c r="KN1017" s="2051"/>
      <c r="KO1017" s="2051"/>
      <c r="KP1017" s="2051"/>
      <c r="KQ1017" s="2051"/>
      <c r="KR1017" s="2051"/>
      <c r="KS1017" s="2051"/>
      <c r="KT1017" s="2051"/>
      <c r="KU1017" s="2051"/>
      <c r="KV1017" s="2051"/>
      <c r="KW1017" s="2051"/>
      <c r="KX1017" s="2051"/>
      <c r="KY1017" s="2051"/>
      <c r="KZ1017" s="2051"/>
      <c r="LA1017" s="2051"/>
      <c r="LB1017" s="2051"/>
      <c r="LC1017" s="2051"/>
      <c r="LD1017" s="2051"/>
      <c r="LE1017" s="2051"/>
      <c r="LF1017" s="2051"/>
      <c r="LG1017" s="2051"/>
      <c r="NP1017" s="2113"/>
    </row>
    <row r="1018" spans="1:380" s="1852" customFormat="1" ht="15.6" customHeight="1">
      <c r="B1018" s="2114" t="s">
        <v>1390</v>
      </c>
      <c r="C1018" s="2114"/>
      <c r="D1018" s="2114"/>
      <c r="E1018" s="2114"/>
      <c r="F1018" s="2114"/>
      <c r="G1018" s="2114"/>
      <c r="H1018" s="2114"/>
      <c r="I1018" s="2114"/>
      <c r="J1018" s="2114"/>
      <c r="K1018" s="2114"/>
      <c r="L1018" s="2178"/>
      <c r="M1018" s="2114"/>
      <c r="N1018" s="2114"/>
      <c r="O1018" s="2114"/>
      <c r="P1018" s="2114"/>
      <c r="Q1018" s="2114"/>
      <c r="S1018" s="2108" t="str">
        <f>B1018</f>
        <v>Other Income (OI) by Year:</v>
      </c>
      <c r="JW1018" s="2051"/>
      <c r="KB1018" s="2051"/>
      <c r="KG1018" s="2051"/>
      <c r="KL1018" s="2051"/>
      <c r="KM1018" s="2051"/>
      <c r="KN1018" s="2051"/>
      <c r="KO1018" s="2051"/>
      <c r="KP1018" s="2051"/>
      <c r="KQ1018" s="2051"/>
      <c r="KR1018" s="2051"/>
      <c r="KS1018" s="2051"/>
      <c r="KT1018" s="2051"/>
      <c r="KU1018" s="2051"/>
      <c r="KV1018" s="2051"/>
      <c r="KW1018" s="2051"/>
      <c r="KX1018" s="2051"/>
      <c r="KY1018" s="2051"/>
      <c r="KZ1018" s="2051"/>
      <c r="LA1018" s="2051"/>
      <c r="LB1018" s="2051"/>
      <c r="LC1018" s="2051"/>
      <c r="LD1018" s="2051"/>
      <c r="LE1018" s="2051"/>
      <c r="LF1018" s="2051"/>
      <c r="LG1018" s="2051"/>
      <c r="NP1018" s="2113"/>
    </row>
    <row r="1019" spans="1:380" s="1852" customFormat="1" ht="15.6" customHeight="1">
      <c r="B1019" s="2106" t="s">
        <v>2184</v>
      </c>
      <c r="C1019" s="2114"/>
      <c r="D1019" s="2114"/>
      <c r="E1019" s="2114"/>
      <c r="F1019" s="2114"/>
      <c r="H1019" s="2179">
        <v>1</v>
      </c>
      <c r="I1019" s="2179">
        <v>2</v>
      </c>
      <c r="J1019" s="2179">
        <v>3</v>
      </c>
      <c r="K1019" s="2179">
        <v>4</v>
      </c>
      <c r="L1019" s="2179">
        <v>5</v>
      </c>
      <c r="M1019" s="2179">
        <v>6</v>
      </c>
      <c r="N1019" s="2179">
        <v>7</v>
      </c>
      <c r="O1019" s="2179">
        <v>8</v>
      </c>
      <c r="P1019" s="2179">
        <v>9</v>
      </c>
      <c r="Q1019" s="2179">
        <v>10</v>
      </c>
      <c r="R1019" s="2180"/>
      <c r="S1019" s="1818" t="str">
        <f>B1019</f>
        <v>Included in Mgt Fee:</v>
      </c>
      <c r="JW1019" s="2051"/>
      <c r="KB1019" s="2051"/>
      <c r="KG1019" s="2051"/>
      <c r="KL1019" s="2051"/>
      <c r="KM1019" s="2051"/>
      <c r="KN1019" s="2051"/>
      <c r="KO1019" s="2051"/>
      <c r="KP1019" s="2051"/>
      <c r="KQ1019" s="2051"/>
      <c r="KR1019" s="2051"/>
      <c r="KS1019" s="2051"/>
      <c r="KT1019" s="2051"/>
      <c r="KU1019" s="2051"/>
      <c r="KV1019" s="2051"/>
      <c r="KW1019" s="2051"/>
      <c r="KX1019" s="2051"/>
      <c r="KY1019" s="2051"/>
      <c r="KZ1019" s="2051"/>
      <c r="LA1019" s="2051"/>
      <c r="LB1019" s="2051"/>
      <c r="LC1019" s="2051"/>
      <c r="LD1019" s="2051"/>
      <c r="LE1019" s="2051"/>
      <c r="LF1019" s="2051"/>
      <c r="LG1019" s="2051"/>
      <c r="NP1019" s="2113"/>
    </row>
    <row r="1020" spans="1:380" s="1852" customFormat="1" ht="15.6" customHeight="1">
      <c r="B1020" s="1719" t="s">
        <v>978</v>
      </c>
      <c r="C1020" s="1719"/>
      <c r="D1020" s="1719"/>
      <c r="E1020" s="1719"/>
      <c r="F1020" s="1719"/>
      <c r="H1020" s="2181">
        <f>'Part VI-Revenues &amp; Expenses'!H180</f>
        <v>0</v>
      </c>
      <c r="I1020" s="2181">
        <f>'Part VI-Revenues &amp; Expenses'!I180</f>
        <v>0</v>
      </c>
      <c r="J1020" s="2181">
        <f>'Part VI-Revenues &amp; Expenses'!J180</f>
        <v>0</v>
      </c>
      <c r="K1020" s="2181">
        <f>'Part VI-Revenues &amp; Expenses'!K180</f>
        <v>0</v>
      </c>
      <c r="L1020" s="2181">
        <f>'Part VI-Revenues &amp; Expenses'!L180</f>
        <v>0</v>
      </c>
      <c r="M1020" s="2181">
        <f>'Part VI-Revenues &amp; Expenses'!M180</f>
        <v>0</v>
      </c>
      <c r="N1020" s="2181">
        <f>'Part VI-Revenues &amp; Expenses'!N180</f>
        <v>0</v>
      </c>
      <c r="O1020" s="2181">
        <f>'Part VI-Revenues &amp; Expenses'!O180</f>
        <v>0</v>
      </c>
      <c r="P1020" s="2181">
        <f>'Part VI-Revenues &amp; Expenses'!P180</f>
        <v>0</v>
      </c>
      <c r="Q1020" s="2181">
        <f>'Part VI-Revenues &amp; Expenses'!Q180</f>
        <v>0</v>
      </c>
      <c r="R1020" s="2182"/>
      <c r="S1020" s="2043"/>
      <c r="T1020" s="2043"/>
      <c r="U1020" s="2043"/>
      <c r="V1020" s="2043"/>
      <c r="W1020" s="2043"/>
      <c r="JW1020" s="2051"/>
      <c r="KB1020" s="2051"/>
      <c r="KG1020" s="2051"/>
      <c r="KL1020" s="2051"/>
      <c r="KM1020" s="2051"/>
      <c r="KN1020" s="2051"/>
      <c r="KO1020" s="2051"/>
      <c r="KP1020" s="2051"/>
      <c r="KQ1020" s="2051"/>
      <c r="KR1020" s="2051"/>
      <c r="KS1020" s="2051"/>
      <c r="KT1020" s="2051"/>
      <c r="KU1020" s="2051"/>
      <c r="KV1020" s="2051"/>
      <c r="KW1020" s="2051"/>
      <c r="KX1020" s="2051"/>
      <c r="KY1020" s="2051"/>
      <c r="KZ1020" s="2051"/>
      <c r="LA1020" s="2051"/>
      <c r="LB1020" s="2051"/>
      <c r="LC1020" s="2051"/>
      <c r="LD1020" s="2051"/>
      <c r="LE1020" s="2051"/>
      <c r="LF1020" s="2051"/>
      <c r="LG1020" s="2051"/>
      <c r="NP1020" s="1924"/>
    </row>
    <row r="1021" spans="1:380" s="1852" customFormat="1" ht="15.6" customHeight="1">
      <c r="B1021" s="1719" t="s">
        <v>711</v>
      </c>
      <c r="C1021" s="2183">
        <f>'Part VI-Revenues &amp; Expenses'!C181</f>
        <v>0</v>
      </c>
      <c r="D1021" s="2183"/>
      <c r="E1021" s="2183"/>
      <c r="F1021" s="2183"/>
      <c r="H1021" s="2181">
        <f>'Part VI-Revenues &amp; Expenses'!H181</f>
        <v>0</v>
      </c>
      <c r="I1021" s="2181">
        <f>'Part VI-Revenues &amp; Expenses'!I181</f>
        <v>0</v>
      </c>
      <c r="J1021" s="2181">
        <f>'Part VI-Revenues &amp; Expenses'!J181</f>
        <v>0</v>
      </c>
      <c r="K1021" s="2181">
        <f>'Part VI-Revenues &amp; Expenses'!K181</f>
        <v>0</v>
      </c>
      <c r="L1021" s="2181">
        <f>'Part VI-Revenues &amp; Expenses'!L181</f>
        <v>0</v>
      </c>
      <c r="M1021" s="2181">
        <f>'Part VI-Revenues &amp; Expenses'!M181</f>
        <v>0</v>
      </c>
      <c r="N1021" s="2181">
        <f>'Part VI-Revenues &amp; Expenses'!N181</f>
        <v>0</v>
      </c>
      <c r="O1021" s="2181">
        <f>'Part VI-Revenues &amp; Expenses'!O181</f>
        <v>0</v>
      </c>
      <c r="P1021" s="2181">
        <f>'Part VI-Revenues &amp; Expenses'!P181</f>
        <v>0</v>
      </c>
      <c r="Q1021" s="2181">
        <f>'Part VI-Revenues &amp; Expenses'!Q181</f>
        <v>0</v>
      </c>
      <c r="R1021" s="2182"/>
      <c r="S1021" s="2043"/>
      <c r="T1021" s="2043"/>
      <c r="U1021" s="2043"/>
      <c r="V1021" s="2043"/>
      <c r="W1021" s="2043"/>
      <c r="JW1021" s="2051"/>
      <c r="KB1021" s="2051"/>
      <c r="KG1021" s="2051"/>
      <c r="KL1021" s="2051"/>
      <c r="KM1021" s="2051"/>
      <c r="KN1021" s="2051"/>
      <c r="KO1021" s="2051"/>
      <c r="KP1021" s="2051"/>
      <c r="KQ1021" s="2051"/>
      <c r="KR1021" s="2051"/>
      <c r="KS1021" s="2051"/>
      <c r="KT1021" s="2051"/>
      <c r="KU1021" s="2051"/>
      <c r="KV1021" s="2051"/>
      <c r="KW1021" s="2051"/>
      <c r="KX1021" s="2051"/>
      <c r="KY1021" s="2051"/>
      <c r="KZ1021" s="2051"/>
      <c r="LA1021" s="2051"/>
      <c r="LB1021" s="2051"/>
      <c r="LC1021" s="2051"/>
      <c r="LD1021" s="2051"/>
      <c r="LE1021" s="2051"/>
      <c r="LF1021" s="2051"/>
      <c r="LG1021" s="2051"/>
      <c r="NP1021" s="1924"/>
    </row>
    <row r="1022" spans="1:380" s="1852" customFormat="1" ht="15.6" customHeight="1">
      <c r="B1022" s="1719"/>
      <c r="C1022" s="1719" t="s">
        <v>894</v>
      </c>
      <c r="D1022" s="1719"/>
      <c r="E1022" s="1719"/>
      <c r="F1022" s="1719"/>
      <c r="H1022" s="2184">
        <f>SUM(H1020:H1021)</f>
        <v>0</v>
      </c>
      <c r="I1022" s="2184">
        <f>SUM(I1020:I1021)</f>
        <v>0</v>
      </c>
      <c r="J1022" s="2184">
        <f t="shared" ref="J1022:Q1022" si="369">SUM(J1020:J1021)</f>
        <v>0</v>
      </c>
      <c r="K1022" s="2184">
        <f t="shared" si="369"/>
        <v>0</v>
      </c>
      <c r="L1022" s="2184">
        <f t="shared" si="369"/>
        <v>0</v>
      </c>
      <c r="M1022" s="2184">
        <f t="shared" si="369"/>
        <v>0</v>
      </c>
      <c r="N1022" s="2184">
        <f t="shared" si="369"/>
        <v>0</v>
      </c>
      <c r="O1022" s="2184">
        <f t="shared" si="369"/>
        <v>0</v>
      </c>
      <c r="P1022" s="2184">
        <f t="shared" si="369"/>
        <v>0</v>
      </c>
      <c r="Q1022" s="2184">
        <f t="shared" si="369"/>
        <v>0</v>
      </c>
      <c r="R1022" s="436"/>
      <c r="S1022" s="2043"/>
      <c r="T1022" s="2043"/>
      <c r="U1022" s="2043"/>
      <c r="V1022" s="2043"/>
      <c r="W1022" s="2043"/>
      <c r="JW1022" s="2051"/>
      <c r="KB1022" s="2051"/>
      <c r="KG1022" s="2051"/>
      <c r="KL1022" s="2051"/>
      <c r="KM1022" s="2051"/>
      <c r="KN1022" s="2051"/>
      <c r="KO1022" s="2051"/>
      <c r="KP1022" s="2051"/>
      <c r="KQ1022" s="2051"/>
      <c r="KR1022" s="2051"/>
      <c r="KS1022" s="2051"/>
      <c r="KT1022" s="2051"/>
      <c r="KU1022" s="2051"/>
      <c r="KV1022" s="2051"/>
      <c r="KW1022" s="2051"/>
      <c r="KX1022" s="2051"/>
      <c r="KY1022" s="2051"/>
      <c r="KZ1022" s="2051"/>
      <c r="LA1022" s="2051"/>
      <c r="LB1022" s="2051"/>
      <c r="LC1022" s="2051"/>
      <c r="LD1022" s="2051"/>
      <c r="LE1022" s="2051"/>
      <c r="LF1022" s="2051"/>
      <c r="LG1022" s="2051"/>
      <c r="NP1022" s="2113"/>
    </row>
    <row r="1023" spans="1:380" s="1852" customFormat="1" ht="15.6" customHeight="1">
      <c r="B1023" s="2106" t="s">
        <v>7068</v>
      </c>
      <c r="C1023" s="2114"/>
      <c r="D1023" s="2114"/>
      <c r="E1023" s="2114"/>
      <c r="F1023" s="2114"/>
      <c r="H1023" s="2185"/>
      <c r="I1023" s="2114"/>
      <c r="J1023" s="2114"/>
      <c r="K1023" s="2114"/>
      <c r="L1023" s="2114"/>
      <c r="M1023" s="2114"/>
      <c r="N1023" s="2114"/>
      <c r="O1023" s="2114"/>
      <c r="P1023" s="2114"/>
      <c r="Q1023" s="2114"/>
      <c r="S1023" s="1818" t="str">
        <f>B1023</f>
        <v>NOT Included in Mgt Fee:</v>
      </c>
      <c r="JW1023" s="2051"/>
      <c r="KB1023" s="2051"/>
      <c r="KG1023" s="2051"/>
      <c r="KL1023" s="2051"/>
      <c r="KM1023" s="2051"/>
      <c r="KN1023" s="2051"/>
      <c r="KO1023" s="2051"/>
      <c r="KP1023" s="2051"/>
      <c r="KQ1023" s="2051"/>
      <c r="KR1023" s="2051"/>
      <c r="KS1023" s="2051"/>
      <c r="KT1023" s="2051"/>
      <c r="KU1023" s="2051"/>
      <c r="KV1023" s="2051"/>
      <c r="KW1023" s="2051"/>
      <c r="KX1023" s="2051"/>
      <c r="KY1023" s="2051"/>
      <c r="KZ1023" s="2051"/>
      <c r="LA1023" s="2051"/>
      <c r="LB1023" s="2051"/>
      <c r="LC1023" s="2051"/>
      <c r="LD1023" s="2051"/>
      <c r="LE1023" s="2051"/>
      <c r="LF1023" s="2051"/>
      <c r="LG1023" s="2051"/>
      <c r="NP1023" s="1924"/>
    </row>
    <row r="1024" spans="1:380" s="1852" customFormat="1" ht="15.6" customHeight="1">
      <c r="B1024" s="1719" t="s">
        <v>507</v>
      </c>
      <c r="C1024" s="1719"/>
      <c r="D1024" s="1719"/>
      <c r="E1024" s="1719"/>
      <c r="F1024" s="1719"/>
      <c r="H1024" s="2181">
        <f>'Part VI-Revenues &amp; Expenses'!H184</f>
        <v>0</v>
      </c>
      <c r="I1024" s="2181">
        <f>'Part VI-Revenues &amp; Expenses'!I184</f>
        <v>0</v>
      </c>
      <c r="J1024" s="2181">
        <f>'Part VI-Revenues &amp; Expenses'!J184</f>
        <v>0</v>
      </c>
      <c r="K1024" s="2181">
        <f>'Part VI-Revenues &amp; Expenses'!K184</f>
        <v>0</v>
      </c>
      <c r="L1024" s="2181">
        <f>'Part VI-Revenues &amp; Expenses'!L184</f>
        <v>0</v>
      </c>
      <c r="M1024" s="2181">
        <f>'Part VI-Revenues &amp; Expenses'!M184</f>
        <v>0</v>
      </c>
      <c r="N1024" s="2181">
        <f>'Part VI-Revenues &amp; Expenses'!N184</f>
        <v>0</v>
      </c>
      <c r="O1024" s="2181">
        <f>'Part VI-Revenues &amp; Expenses'!O184</f>
        <v>0</v>
      </c>
      <c r="P1024" s="2181">
        <f>'Part VI-Revenues &amp; Expenses'!P184</f>
        <v>0</v>
      </c>
      <c r="Q1024" s="2181">
        <f>'Part VI-Revenues &amp; Expenses'!Q184</f>
        <v>0</v>
      </c>
      <c r="R1024" s="2182"/>
      <c r="S1024" s="2043"/>
      <c r="T1024" s="2043"/>
      <c r="U1024" s="2043"/>
      <c r="V1024" s="2043"/>
      <c r="W1024" s="2043"/>
      <c r="JW1024" s="2051"/>
      <c r="KB1024" s="2051"/>
      <c r="KG1024" s="2051"/>
      <c r="KL1024" s="2051"/>
      <c r="KM1024" s="2051"/>
      <c r="KN1024" s="2051"/>
      <c r="KO1024" s="2051"/>
      <c r="KP1024" s="2051"/>
      <c r="KQ1024" s="2051"/>
      <c r="KR1024" s="2051"/>
      <c r="KS1024" s="2051"/>
      <c r="KT1024" s="2051"/>
      <c r="KU1024" s="2051"/>
      <c r="KV1024" s="2051"/>
      <c r="KW1024" s="2051"/>
      <c r="KX1024" s="2051"/>
      <c r="KY1024" s="2051"/>
      <c r="KZ1024" s="2051"/>
      <c r="LA1024" s="2051"/>
      <c r="LB1024" s="2051"/>
      <c r="LC1024" s="2051"/>
      <c r="LD1024" s="2051"/>
      <c r="LE1024" s="2051"/>
      <c r="LF1024" s="2051"/>
      <c r="LG1024" s="2051"/>
      <c r="NP1024" s="1924"/>
    </row>
    <row r="1025" spans="2:380" s="1852" customFormat="1" ht="15.6" customHeight="1">
      <c r="B1025" s="1719" t="s">
        <v>711</v>
      </c>
      <c r="C1025" s="2183">
        <f>'Part VI-Revenues &amp; Expenses'!C185</f>
        <v>0</v>
      </c>
      <c r="D1025" s="2183"/>
      <c r="E1025" s="2183"/>
      <c r="F1025" s="2183"/>
      <c r="H1025" s="2181">
        <f>'Part VI-Revenues &amp; Expenses'!H185</f>
        <v>0</v>
      </c>
      <c r="I1025" s="2181">
        <f>'Part VI-Revenues &amp; Expenses'!I185</f>
        <v>0</v>
      </c>
      <c r="J1025" s="2181">
        <f>'Part VI-Revenues &amp; Expenses'!J185</f>
        <v>0</v>
      </c>
      <c r="K1025" s="2181">
        <f>'Part VI-Revenues &amp; Expenses'!K185</f>
        <v>0</v>
      </c>
      <c r="L1025" s="2181">
        <f>'Part VI-Revenues &amp; Expenses'!L185</f>
        <v>0</v>
      </c>
      <c r="M1025" s="2181">
        <f>'Part VI-Revenues &amp; Expenses'!M185</f>
        <v>0</v>
      </c>
      <c r="N1025" s="2181">
        <f>'Part VI-Revenues &amp; Expenses'!N185</f>
        <v>0</v>
      </c>
      <c r="O1025" s="2181">
        <f>'Part VI-Revenues &amp; Expenses'!O185</f>
        <v>0</v>
      </c>
      <c r="P1025" s="2181">
        <f>'Part VI-Revenues &amp; Expenses'!P185</f>
        <v>0</v>
      </c>
      <c r="Q1025" s="2181">
        <f>'Part VI-Revenues &amp; Expenses'!Q185</f>
        <v>0</v>
      </c>
      <c r="R1025" s="2182"/>
      <c r="S1025" s="2043"/>
      <c r="T1025" s="2043"/>
      <c r="U1025" s="2043"/>
      <c r="V1025" s="2043"/>
      <c r="W1025" s="2043"/>
      <c r="JW1025" s="2051"/>
      <c r="KB1025" s="2051"/>
      <c r="KG1025" s="2051"/>
      <c r="KL1025" s="2051"/>
      <c r="KM1025" s="2051"/>
      <c r="KN1025" s="2051"/>
      <c r="KO1025" s="2051"/>
      <c r="KP1025" s="2051"/>
      <c r="KQ1025" s="2051"/>
      <c r="KR1025" s="2051"/>
      <c r="KS1025" s="2051"/>
      <c r="KT1025" s="2051"/>
      <c r="KU1025" s="2051"/>
      <c r="KV1025" s="2051"/>
      <c r="KW1025" s="2051"/>
      <c r="KX1025" s="2051"/>
      <c r="KY1025" s="2051"/>
      <c r="KZ1025" s="2051"/>
      <c r="LA1025" s="2051"/>
      <c r="LB1025" s="2051"/>
      <c r="LC1025" s="2051"/>
      <c r="LD1025" s="2051"/>
      <c r="LE1025" s="2051"/>
      <c r="LF1025" s="2051"/>
      <c r="LG1025" s="2051"/>
      <c r="NP1025" s="1924"/>
    </row>
    <row r="1026" spans="2:380" s="1852" customFormat="1" ht="15.6" customHeight="1">
      <c r="B1026" s="1719"/>
      <c r="C1026" s="1719" t="s">
        <v>7069</v>
      </c>
      <c r="D1026" s="1719"/>
      <c r="E1026" s="1719"/>
      <c r="F1026" s="1719"/>
      <c r="H1026" s="2184">
        <f>SUM(H1024:H1025)</f>
        <v>0</v>
      </c>
      <c r="I1026" s="2184">
        <f>SUM(I1024:I1025)</f>
        <v>0</v>
      </c>
      <c r="J1026" s="2184">
        <f t="shared" ref="J1026:Q1026" si="370">SUM(J1024:J1025)</f>
        <v>0</v>
      </c>
      <c r="K1026" s="2184">
        <f t="shared" si="370"/>
        <v>0</v>
      </c>
      <c r="L1026" s="2184">
        <f t="shared" si="370"/>
        <v>0</v>
      </c>
      <c r="M1026" s="2184">
        <f t="shared" si="370"/>
        <v>0</v>
      </c>
      <c r="N1026" s="2184">
        <f t="shared" si="370"/>
        <v>0</v>
      </c>
      <c r="O1026" s="2184">
        <f t="shared" si="370"/>
        <v>0</v>
      </c>
      <c r="P1026" s="2184">
        <f t="shared" si="370"/>
        <v>0</v>
      </c>
      <c r="Q1026" s="2184">
        <f t="shared" si="370"/>
        <v>0</v>
      </c>
      <c r="R1026" s="436"/>
      <c r="S1026" s="2043"/>
      <c r="T1026" s="2043"/>
      <c r="U1026" s="2043"/>
      <c r="V1026" s="2043"/>
      <c r="W1026" s="2043"/>
      <c r="JW1026" s="2051"/>
      <c r="KB1026" s="2051"/>
      <c r="KG1026" s="2051"/>
      <c r="KL1026" s="2051"/>
      <c r="KM1026" s="2051"/>
      <c r="KN1026" s="2051"/>
      <c r="KO1026" s="2051"/>
      <c r="KP1026" s="2051"/>
      <c r="KQ1026" s="2051"/>
      <c r="KR1026" s="2051"/>
      <c r="KS1026" s="2051"/>
      <c r="KT1026" s="2051"/>
      <c r="KU1026" s="2051"/>
      <c r="KV1026" s="2051"/>
      <c r="KW1026" s="2051"/>
      <c r="KX1026" s="2051"/>
      <c r="KY1026" s="2051"/>
      <c r="KZ1026" s="2051"/>
      <c r="LA1026" s="2051"/>
      <c r="LB1026" s="2051"/>
      <c r="LC1026" s="2051"/>
      <c r="LD1026" s="2051"/>
      <c r="LE1026" s="2051"/>
      <c r="LF1026" s="2051"/>
      <c r="LG1026" s="2051"/>
      <c r="NP1026" s="1924"/>
    </row>
    <row r="1027" spans="2:380" s="1852" customFormat="1" ht="15.6" customHeight="1">
      <c r="B1027" s="2114"/>
      <c r="C1027" s="2114"/>
      <c r="D1027" s="2114"/>
      <c r="E1027" s="2114"/>
      <c r="F1027" s="2114"/>
      <c r="H1027" s="2185"/>
      <c r="I1027" s="2114"/>
      <c r="J1027" s="2114"/>
      <c r="K1027" s="2114"/>
      <c r="L1027" s="2114"/>
      <c r="M1027" s="2114"/>
      <c r="N1027" s="2114"/>
      <c r="O1027" s="2114"/>
      <c r="P1027" s="2114"/>
      <c r="Q1027" s="2114"/>
      <c r="JW1027" s="2051"/>
      <c r="KB1027" s="2051"/>
      <c r="KG1027" s="2051"/>
      <c r="KL1027" s="2051"/>
      <c r="KM1027" s="2051"/>
      <c r="KN1027" s="2051"/>
      <c r="KO1027" s="2051"/>
      <c r="KP1027" s="2051"/>
      <c r="KQ1027" s="2051"/>
      <c r="KR1027" s="2051"/>
      <c r="KS1027" s="2051"/>
      <c r="KT1027" s="2051"/>
      <c r="KU1027" s="2051"/>
      <c r="KV1027" s="2051"/>
      <c r="KW1027" s="2051"/>
      <c r="KX1027" s="2051"/>
      <c r="KY1027" s="2051"/>
      <c r="KZ1027" s="2051"/>
      <c r="LA1027" s="2051"/>
      <c r="LB1027" s="2051"/>
      <c r="LC1027" s="2051"/>
      <c r="LD1027" s="2051"/>
      <c r="LE1027" s="2051"/>
      <c r="LF1027" s="2051"/>
      <c r="LG1027" s="2051"/>
      <c r="NP1027" s="1924"/>
    </row>
    <row r="1028" spans="2:380" s="1852" customFormat="1" ht="15.6" customHeight="1">
      <c r="B1028" s="2106" t="s">
        <v>2184</v>
      </c>
      <c r="C1028" s="2114"/>
      <c r="D1028" s="2114"/>
      <c r="E1028" s="2114"/>
      <c r="F1028" s="2114"/>
      <c r="H1028" s="2179">
        <v>11</v>
      </c>
      <c r="I1028" s="2179">
        <v>12</v>
      </c>
      <c r="J1028" s="2179">
        <v>13</v>
      </c>
      <c r="K1028" s="2179">
        <v>14</v>
      </c>
      <c r="L1028" s="2179">
        <v>15</v>
      </c>
      <c r="M1028" s="2179">
        <v>16</v>
      </c>
      <c r="N1028" s="2179">
        <v>17</v>
      </c>
      <c r="O1028" s="2179">
        <v>18</v>
      </c>
      <c r="P1028" s="2179">
        <v>19</v>
      </c>
      <c r="Q1028" s="2179">
        <v>20</v>
      </c>
      <c r="S1028" s="2141" t="s">
        <v>2498</v>
      </c>
      <c r="T1028" s="1818" t="str">
        <f>B1028</f>
        <v>Included in Mgt Fee:</v>
      </c>
      <c r="JW1028" s="2051"/>
      <c r="KB1028" s="2051"/>
      <c r="KG1028" s="2051"/>
      <c r="KL1028" s="2051"/>
      <c r="KM1028" s="2051"/>
      <c r="KN1028" s="2051"/>
      <c r="KO1028" s="2051"/>
      <c r="KP1028" s="2051"/>
      <c r="KQ1028" s="2051"/>
      <c r="KR1028" s="2051"/>
      <c r="KS1028" s="2051"/>
      <c r="KT1028" s="2051"/>
      <c r="KU1028" s="2051"/>
      <c r="KV1028" s="2051"/>
      <c r="KW1028" s="2051"/>
      <c r="KX1028" s="2051"/>
      <c r="KY1028" s="2051"/>
      <c r="KZ1028" s="2051"/>
      <c r="LA1028" s="2051"/>
      <c r="LB1028" s="2051"/>
      <c r="LC1028" s="2051"/>
      <c r="LD1028" s="2051"/>
      <c r="LE1028" s="2051"/>
      <c r="LF1028" s="2051"/>
      <c r="LG1028" s="2051"/>
      <c r="NP1028" s="1924"/>
    </row>
    <row r="1029" spans="2:380" s="1852" customFormat="1" ht="15.6" customHeight="1">
      <c r="B1029" s="1719" t="s">
        <v>978</v>
      </c>
      <c r="C1029" s="1719"/>
      <c r="D1029" s="1719"/>
      <c r="E1029" s="1719"/>
      <c r="F1029" s="1719"/>
      <c r="H1029" s="2181">
        <f>'Part VI-Revenues &amp; Expenses'!H189</f>
        <v>0</v>
      </c>
      <c r="I1029" s="2181">
        <f>'Part VI-Revenues &amp; Expenses'!I189</f>
        <v>0</v>
      </c>
      <c r="J1029" s="2181">
        <f>'Part VI-Revenues &amp; Expenses'!J189</f>
        <v>0</v>
      </c>
      <c r="K1029" s="2181">
        <f>'Part VI-Revenues &amp; Expenses'!K189</f>
        <v>0</v>
      </c>
      <c r="L1029" s="2181">
        <f>'Part VI-Revenues &amp; Expenses'!L189</f>
        <v>0</v>
      </c>
      <c r="M1029" s="2181">
        <f>'Part VI-Revenues &amp; Expenses'!M189</f>
        <v>0</v>
      </c>
      <c r="N1029" s="2181">
        <f>'Part VI-Revenues &amp; Expenses'!N189</f>
        <v>0</v>
      </c>
      <c r="O1029" s="2181">
        <f>'Part VI-Revenues &amp; Expenses'!O189</f>
        <v>0</v>
      </c>
      <c r="P1029" s="2181">
        <f>'Part VI-Revenues &amp; Expenses'!P189</f>
        <v>0</v>
      </c>
      <c r="Q1029" s="2181">
        <f>'Part VI-Revenues &amp; Expenses'!Q189</f>
        <v>0</v>
      </c>
      <c r="R1029" s="2182"/>
      <c r="S1029" s="2043"/>
      <c r="T1029" s="2043"/>
      <c r="U1029" s="2043"/>
      <c r="V1029" s="2043"/>
      <c r="W1029" s="2043"/>
      <c r="NP1029" s="1924"/>
    </row>
    <row r="1030" spans="2:380" s="1852" customFormat="1" ht="15.6" customHeight="1">
      <c r="B1030" s="1719" t="s">
        <v>711</v>
      </c>
      <c r="C1030" s="2183">
        <f>'Part VI-Revenues &amp; Expenses'!C190</f>
        <v>0</v>
      </c>
      <c r="D1030" s="2183"/>
      <c r="E1030" s="2183"/>
      <c r="F1030" s="2183"/>
      <c r="H1030" s="2181">
        <f>'Part VI-Revenues &amp; Expenses'!H190</f>
        <v>0</v>
      </c>
      <c r="I1030" s="2181">
        <f>'Part VI-Revenues &amp; Expenses'!I190</f>
        <v>0</v>
      </c>
      <c r="J1030" s="2181">
        <f>'Part VI-Revenues &amp; Expenses'!J190</f>
        <v>0</v>
      </c>
      <c r="K1030" s="2181">
        <f>'Part VI-Revenues &amp; Expenses'!K190</f>
        <v>0</v>
      </c>
      <c r="L1030" s="2181">
        <f>'Part VI-Revenues &amp; Expenses'!L190</f>
        <v>0</v>
      </c>
      <c r="M1030" s="2181">
        <f>'Part VI-Revenues &amp; Expenses'!M190</f>
        <v>0</v>
      </c>
      <c r="N1030" s="2181">
        <f>'Part VI-Revenues &amp; Expenses'!N190</f>
        <v>0</v>
      </c>
      <c r="O1030" s="2181">
        <f>'Part VI-Revenues &amp; Expenses'!O190</f>
        <v>0</v>
      </c>
      <c r="P1030" s="2181">
        <f>'Part VI-Revenues &amp; Expenses'!P190</f>
        <v>0</v>
      </c>
      <c r="Q1030" s="2181">
        <f>'Part VI-Revenues &amp; Expenses'!Q190</f>
        <v>0</v>
      </c>
      <c r="R1030" s="2182"/>
      <c r="S1030" s="2043"/>
      <c r="T1030" s="2043"/>
      <c r="U1030" s="2043"/>
      <c r="V1030" s="2043"/>
      <c r="W1030" s="2043"/>
      <c r="NP1030" s="1924"/>
    </row>
    <row r="1031" spans="2:380" s="1852" customFormat="1" ht="15.6" customHeight="1">
      <c r="B1031" s="1719"/>
      <c r="C1031" s="1719" t="s">
        <v>894</v>
      </c>
      <c r="D1031" s="1719"/>
      <c r="E1031" s="1719"/>
      <c r="F1031" s="1719"/>
      <c r="H1031" s="2184">
        <f>SUM(H1029:H1030)</f>
        <v>0</v>
      </c>
      <c r="I1031" s="2184">
        <f>SUM(I1029:I1030)</f>
        <v>0</v>
      </c>
      <c r="J1031" s="2184">
        <f t="shared" ref="J1031:Q1031" si="371">SUM(J1029:J1030)</f>
        <v>0</v>
      </c>
      <c r="K1031" s="2184">
        <f t="shared" si="371"/>
        <v>0</v>
      </c>
      <c r="L1031" s="2184">
        <f t="shared" si="371"/>
        <v>0</v>
      </c>
      <c r="M1031" s="2184">
        <f t="shared" si="371"/>
        <v>0</v>
      </c>
      <c r="N1031" s="2184">
        <f t="shared" si="371"/>
        <v>0</v>
      </c>
      <c r="O1031" s="2184">
        <f t="shared" si="371"/>
        <v>0</v>
      </c>
      <c r="P1031" s="2184">
        <f t="shared" si="371"/>
        <v>0</v>
      </c>
      <c r="Q1031" s="2184">
        <f t="shared" si="371"/>
        <v>0</v>
      </c>
      <c r="R1031" s="436"/>
      <c r="S1031" s="2043"/>
      <c r="T1031" s="2043"/>
      <c r="U1031" s="2043"/>
      <c r="V1031" s="2043"/>
      <c r="W1031" s="2043"/>
      <c r="NP1031" s="1924"/>
    </row>
    <row r="1032" spans="2:380" s="1852" customFormat="1" ht="15.6" customHeight="1">
      <c r="B1032" s="2106" t="s">
        <v>7068</v>
      </c>
      <c r="C1032" s="2114"/>
      <c r="D1032" s="2114"/>
      <c r="E1032" s="2114"/>
      <c r="F1032" s="2114"/>
      <c r="H1032" s="2185"/>
      <c r="I1032" s="2114"/>
      <c r="J1032" s="2114"/>
      <c r="K1032" s="2114"/>
      <c r="L1032" s="2114"/>
      <c r="M1032" s="2114"/>
      <c r="N1032" s="2114"/>
      <c r="O1032" s="2114"/>
      <c r="P1032" s="2114"/>
      <c r="Q1032" s="2114"/>
      <c r="S1032" s="1818" t="str">
        <f>B1032</f>
        <v>NOT Included in Mgt Fee:</v>
      </c>
      <c r="NP1032" s="1924"/>
    </row>
    <row r="1033" spans="2:380" s="1852" customFormat="1" ht="15.6" customHeight="1">
      <c r="B1033" s="1719" t="s">
        <v>507</v>
      </c>
      <c r="C1033" s="1719"/>
      <c r="D1033" s="1719"/>
      <c r="E1033" s="1719"/>
      <c r="F1033" s="1719"/>
      <c r="H1033" s="2181">
        <f>'Part VI-Revenues &amp; Expenses'!H193</f>
        <v>0</v>
      </c>
      <c r="I1033" s="2181">
        <f>'Part VI-Revenues &amp; Expenses'!I193</f>
        <v>0</v>
      </c>
      <c r="J1033" s="2181">
        <f>'Part VI-Revenues &amp; Expenses'!J193</f>
        <v>0</v>
      </c>
      <c r="K1033" s="2181">
        <f>'Part VI-Revenues &amp; Expenses'!K193</f>
        <v>0</v>
      </c>
      <c r="L1033" s="2181">
        <f>'Part VI-Revenues &amp; Expenses'!L193</f>
        <v>0</v>
      </c>
      <c r="M1033" s="2181">
        <f>'Part VI-Revenues &amp; Expenses'!M193</f>
        <v>0</v>
      </c>
      <c r="N1033" s="2181">
        <f>'Part VI-Revenues &amp; Expenses'!N193</f>
        <v>0</v>
      </c>
      <c r="O1033" s="2181">
        <f>'Part VI-Revenues &amp; Expenses'!O193</f>
        <v>0</v>
      </c>
      <c r="P1033" s="2181">
        <f>'Part VI-Revenues &amp; Expenses'!P193</f>
        <v>0</v>
      </c>
      <c r="Q1033" s="2181">
        <f>'Part VI-Revenues &amp; Expenses'!Q193</f>
        <v>0</v>
      </c>
      <c r="R1033" s="2182"/>
      <c r="S1033" s="2043"/>
      <c r="T1033" s="2043"/>
      <c r="U1033" s="2043"/>
      <c r="V1033" s="2043"/>
      <c r="W1033" s="2043"/>
      <c r="NP1033" s="1924"/>
    </row>
    <row r="1034" spans="2:380" s="1852" customFormat="1" ht="15.6" customHeight="1">
      <c r="B1034" s="1719" t="s">
        <v>711</v>
      </c>
      <c r="C1034" s="2183">
        <f>'Part VI-Revenues &amp; Expenses'!C194</f>
        <v>0</v>
      </c>
      <c r="D1034" s="2183"/>
      <c r="E1034" s="2183"/>
      <c r="F1034" s="2183"/>
      <c r="H1034" s="2181">
        <f>'Part VI-Revenues &amp; Expenses'!H194</f>
        <v>0</v>
      </c>
      <c r="I1034" s="2181">
        <f>'Part VI-Revenues &amp; Expenses'!I194</f>
        <v>0</v>
      </c>
      <c r="J1034" s="2181">
        <f>'Part VI-Revenues &amp; Expenses'!J194</f>
        <v>0</v>
      </c>
      <c r="K1034" s="2181">
        <f>'Part VI-Revenues &amp; Expenses'!K194</f>
        <v>0</v>
      </c>
      <c r="L1034" s="2181">
        <f>'Part VI-Revenues &amp; Expenses'!L194</f>
        <v>0</v>
      </c>
      <c r="M1034" s="2181">
        <f>'Part VI-Revenues &amp; Expenses'!M194</f>
        <v>0</v>
      </c>
      <c r="N1034" s="2181">
        <f>'Part VI-Revenues &amp; Expenses'!N194</f>
        <v>0</v>
      </c>
      <c r="O1034" s="2181">
        <f>'Part VI-Revenues &amp; Expenses'!O194</f>
        <v>0</v>
      </c>
      <c r="P1034" s="2181">
        <f>'Part VI-Revenues &amp; Expenses'!P194</f>
        <v>0</v>
      </c>
      <c r="Q1034" s="2181">
        <f>'Part VI-Revenues &amp; Expenses'!Q194</f>
        <v>0</v>
      </c>
      <c r="R1034" s="2182"/>
      <c r="S1034" s="2043"/>
      <c r="T1034" s="2043"/>
      <c r="U1034" s="2043"/>
      <c r="V1034" s="2043"/>
      <c r="W1034" s="2043"/>
      <c r="NP1034" s="1924"/>
    </row>
    <row r="1035" spans="2:380" s="1852" customFormat="1" ht="15.6" customHeight="1">
      <c r="B1035" s="1719"/>
      <c r="C1035" s="1719" t="s">
        <v>7069</v>
      </c>
      <c r="D1035" s="1719"/>
      <c r="E1035" s="1719"/>
      <c r="F1035" s="1719"/>
      <c r="H1035" s="2184">
        <f>SUM(H1033:H1034)</f>
        <v>0</v>
      </c>
      <c r="I1035" s="2184">
        <f>SUM(I1033:I1034)</f>
        <v>0</v>
      </c>
      <c r="J1035" s="2184">
        <f t="shared" ref="J1035:Q1035" si="372">SUM(J1033:J1034)</f>
        <v>0</v>
      </c>
      <c r="K1035" s="2184">
        <f t="shared" si="372"/>
        <v>0</v>
      </c>
      <c r="L1035" s="2184">
        <f t="shared" si="372"/>
        <v>0</v>
      </c>
      <c r="M1035" s="2184">
        <f t="shared" si="372"/>
        <v>0</v>
      </c>
      <c r="N1035" s="2184">
        <f t="shared" si="372"/>
        <v>0</v>
      </c>
      <c r="O1035" s="2184">
        <f t="shared" si="372"/>
        <v>0</v>
      </c>
      <c r="P1035" s="2184">
        <f t="shared" si="372"/>
        <v>0</v>
      </c>
      <c r="Q1035" s="2184">
        <f t="shared" si="372"/>
        <v>0</v>
      </c>
      <c r="R1035" s="436"/>
      <c r="S1035" s="2043"/>
      <c r="T1035" s="2043"/>
      <c r="U1035" s="2043"/>
      <c r="V1035" s="2043"/>
      <c r="W1035" s="2043"/>
      <c r="NP1035" s="1924"/>
    </row>
    <row r="1036" spans="2:380" s="1852" customFormat="1" ht="15.6" customHeight="1">
      <c r="B1036" s="2114"/>
      <c r="C1036" s="2114"/>
      <c r="D1036" s="2114"/>
      <c r="E1036" s="2114"/>
      <c r="F1036" s="2114"/>
      <c r="H1036" s="2185"/>
      <c r="I1036" s="2114"/>
      <c r="J1036" s="2114"/>
      <c r="K1036" s="2114"/>
      <c r="L1036" s="2114"/>
      <c r="M1036" s="2114"/>
      <c r="N1036" s="2114"/>
      <c r="O1036" s="2114"/>
      <c r="P1036" s="2114"/>
      <c r="Q1036" s="2114"/>
      <c r="NP1036" s="1924"/>
    </row>
    <row r="1037" spans="2:380" s="1852" customFormat="1" ht="15.6" customHeight="1">
      <c r="B1037" s="2106" t="s">
        <v>2184</v>
      </c>
      <c r="C1037" s="2114"/>
      <c r="D1037" s="2114"/>
      <c r="E1037" s="2114"/>
      <c r="F1037" s="2114"/>
      <c r="H1037" s="2179">
        <v>21</v>
      </c>
      <c r="I1037" s="2179">
        <v>22</v>
      </c>
      <c r="J1037" s="2179">
        <v>23</v>
      </c>
      <c r="K1037" s="2179">
        <v>24</v>
      </c>
      <c r="L1037" s="2179">
        <v>25</v>
      </c>
      <c r="M1037" s="2179">
        <v>26</v>
      </c>
      <c r="N1037" s="2179">
        <v>27</v>
      </c>
      <c r="O1037" s="2179">
        <v>28</v>
      </c>
      <c r="P1037" s="2179">
        <v>29</v>
      </c>
      <c r="Q1037" s="2179">
        <v>30</v>
      </c>
      <c r="R1037" s="2180"/>
      <c r="S1037" s="2141" t="s">
        <v>2499</v>
      </c>
      <c r="T1037" s="1818" t="str">
        <f>B1037</f>
        <v>Included in Mgt Fee:</v>
      </c>
      <c r="NP1037" s="1924"/>
    </row>
    <row r="1038" spans="2:380" s="1852" customFormat="1" ht="15.6" customHeight="1">
      <c r="B1038" s="1719" t="s">
        <v>978</v>
      </c>
      <c r="C1038" s="1719"/>
      <c r="D1038" s="1719"/>
      <c r="E1038" s="1719"/>
      <c r="F1038" s="1719"/>
      <c r="H1038" s="2181">
        <f>'Part VI-Revenues &amp; Expenses'!H198</f>
        <v>0</v>
      </c>
      <c r="I1038" s="2181">
        <f>'Part VI-Revenues &amp; Expenses'!I198</f>
        <v>0</v>
      </c>
      <c r="J1038" s="2181">
        <f>'Part VI-Revenues &amp; Expenses'!J198</f>
        <v>0</v>
      </c>
      <c r="K1038" s="2181">
        <f>'Part VI-Revenues &amp; Expenses'!K198</f>
        <v>0</v>
      </c>
      <c r="L1038" s="2181">
        <f>'Part VI-Revenues &amp; Expenses'!L198</f>
        <v>0</v>
      </c>
      <c r="M1038" s="2181">
        <f>'Part VI-Revenues &amp; Expenses'!M198</f>
        <v>0</v>
      </c>
      <c r="N1038" s="2181">
        <f>'Part VI-Revenues &amp; Expenses'!N198</f>
        <v>0</v>
      </c>
      <c r="O1038" s="2181">
        <f>'Part VI-Revenues &amp; Expenses'!O198</f>
        <v>0</v>
      </c>
      <c r="P1038" s="2181">
        <f>'Part VI-Revenues &amp; Expenses'!P198</f>
        <v>0</v>
      </c>
      <c r="Q1038" s="2181">
        <f>'Part VI-Revenues &amp; Expenses'!Q198</f>
        <v>0</v>
      </c>
      <c r="R1038" s="2182"/>
      <c r="S1038" s="2043"/>
      <c r="T1038" s="2043"/>
      <c r="U1038" s="2043"/>
      <c r="V1038" s="2043"/>
      <c r="W1038" s="2043"/>
      <c r="NP1038" s="1924"/>
    </row>
    <row r="1039" spans="2:380" s="1852" customFormat="1" ht="15.6" customHeight="1">
      <c r="B1039" s="1719" t="s">
        <v>711</v>
      </c>
      <c r="C1039" s="2183">
        <f>'Part VI-Revenues &amp; Expenses'!C199</f>
        <v>0</v>
      </c>
      <c r="D1039" s="2183"/>
      <c r="E1039" s="2183"/>
      <c r="F1039" s="2183"/>
      <c r="H1039" s="2181">
        <f>'Part VI-Revenues &amp; Expenses'!H199</f>
        <v>0</v>
      </c>
      <c r="I1039" s="2181">
        <f>'Part VI-Revenues &amp; Expenses'!I199</f>
        <v>0</v>
      </c>
      <c r="J1039" s="2181">
        <f>'Part VI-Revenues &amp; Expenses'!J199</f>
        <v>0</v>
      </c>
      <c r="K1039" s="2181">
        <f>'Part VI-Revenues &amp; Expenses'!K199</f>
        <v>0</v>
      </c>
      <c r="L1039" s="2181">
        <f>'Part VI-Revenues &amp; Expenses'!L199</f>
        <v>0</v>
      </c>
      <c r="M1039" s="2181">
        <f>'Part VI-Revenues &amp; Expenses'!M199</f>
        <v>0</v>
      </c>
      <c r="N1039" s="2181">
        <f>'Part VI-Revenues &amp; Expenses'!N199</f>
        <v>0</v>
      </c>
      <c r="O1039" s="2181">
        <f>'Part VI-Revenues &amp; Expenses'!O199</f>
        <v>0</v>
      </c>
      <c r="P1039" s="2181">
        <f>'Part VI-Revenues &amp; Expenses'!P199</f>
        <v>0</v>
      </c>
      <c r="Q1039" s="2181">
        <f>'Part VI-Revenues &amp; Expenses'!Q199</f>
        <v>0</v>
      </c>
      <c r="R1039" s="2182"/>
      <c r="S1039" s="2043"/>
      <c r="T1039" s="2043"/>
      <c r="U1039" s="2043"/>
      <c r="V1039" s="2043"/>
      <c r="W1039" s="2043"/>
      <c r="NP1039" s="1924"/>
    </row>
    <row r="1040" spans="2:380" s="1852" customFormat="1" ht="15.6" customHeight="1">
      <c r="B1040" s="1719"/>
      <c r="C1040" s="1719" t="s">
        <v>894</v>
      </c>
      <c r="D1040" s="1719"/>
      <c r="E1040" s="1719"/>
      <c r="F1040" s="1719"/>
      <c r="H1040" s="2184">
        <f>SUM(H1038:H1039)</f>
        <v>0</v>
      </c>
      <c r="I1040" s="2184">
        <f>SUM(I1038:I1039)</f>
        <v>0</v>
      </c>
      <c r="J1040" s="2184">
        <f t="shared" ref="J1040:Q1040" si="373">SUM(J1038:J1039)</f>
        <v>0</v>
      </c>
      <c r="K1040" s="2184">
        <f t="shared" si="373"/>
        <v>0</v>
      </c>
      <c r="L1040" s="2184">
        <f t="shared" si="373"/>
        <v>0</v>
      </c>
      <c r="M1040" s="2184">
        <f t="shared" si="373"/>
        <v>0</v>
      </c>
      <c r="N1040" s="2184">
        <f t="shared" si="373"/>
        <v>0</v>
      </c>
      <c r="O1040" s="2184">
        <f t="shared" si="373"/>
        <v>0</v>
      </c>
      <c r="P1040" s="2184">
        <f t="shared" si="373"/>
        <v>0</v>
      </c>
      <c r="Q1040" s="2184">
        <f t="shared" si="373"/>
        <v>0</v>
      </c>
      <c r="R1040" s="436"/>
      <c r="S1040" s="2043"/>
      <c r="T1040" s="2043"/>
      <c r="U1040" s="2043"/>
      <c r="V1040" s="2043"/>
      <c r="W1040" s="2043"/>
      <c r="NP1040" s="1924"/>
    </row>
    <row r="1041" spans="1:380" s="1852" customFormat="1" ht="15.6" customHeight="1">
      <c r="B1041" s="2106" t="s">
        <v>7068</v>
      </c>
      <c r="C1041" s="2114"/>
      <c r="D1041" s="2114"/>
      <c r="E1041" s="2114"/>
      <c r="F1041" s="2114"/>
      <c r="H1041" s="2185"/>
      <c r="I1041" s="2114"/>
      <c r="J1041" s="2114"/>
      <c r="K1041" s="2114"/>
      <c r="L1041" s="2114"/>
      <c r="M1041" s="2114"/>
      <c r="N1041" s="2114"/>
      <c r="O1041" s="2114"/>
      <c r="P1041" s="2114"/>
      <c r="Q1041" s="2114"/>
      <c r="S1041" s="1818" t="str">
        <f>B1041</f>
        <v>NOT Included in Mgt Fee:</v>
      </c>
      <c r="NP1041" s="1924"/>
    </row>
    <row r="1042" spans="1:380" s="1852" customFormat="1" ht="15.6" customHeight="1">
      <c r="B1042" s="1719" t="s">
        <v>507</v>
      </c>
      <c r="C1042" s="1719"/>
      <c r="D1042" s="1719"/>
      <c r="E1042" s="1719"/>
      <c r="F1042" s="1719"/>
      <c r="H1042" s="2181">
        <f>'Part VI-Revenues &amp; Expenses'!H202</f>
        <v>0</v>
      </c>
      <c r="I1042" s="2181">
        <f>'Part VI-Revenues &amp; Expenses'!I202</f>
        <v>0</v>
      </c>
      <c r="J1042" s="2181">
        <f>'Part VI-Revenues &amp; Expenses'!J202</f>
        <v>0</v>
      </c>
      <c r="K1042" s="2181">
        <f>'Part VI-Revenues &amp; Expenses'!K202</f>
        <v>0</v>
      </c>
      <c r="L1042" s="2181">
        <f>'Part VI-Revenues &amp; Expenses'!L202</f>
        <v>0</v>
      </c>
      <c r="M1042" s="2181">
        <f>'Part VI-Revenues &amp; Expenses'!M202</f>
        <v>0</v>
      </c>
      <c r="N1042" s="2181">
        <f>'Part VI-Revenues &amp; Expenses'!N202</f>
        <v>0</v>
      </c>
      <c r="O1042" s="2181">
        <f>'Part VI-Revenues &amp; Expenses'!O202</f>
        <v>0</v>
      </c>
      <c r="P1042" s="2181">
        <f>'Part VI-Revenues &amp; Expenses'!P202</f>
        <v>0</v>
      </c>
      <c r="Q1042" s="2181">
        <f>'Part VI-Revenues &amp; Expenses'!Q202</f>
        <v>0</v>
      </c>
      <c r="R1042" s="2182"/>
      <c r="S1042" s="2043"/>
      <c r="T1042" s="2043"/>
      <c r="U1042" s="2043"/>
      <c r="V1042" s="2043"/>
      <c r="W1042" s="2043"/>
      <c r="NP1042" s="1924"/>
    </row>
    <row r="1043" spans="1:380" s="1852" customFormat="1" ht="15.6" customHeight="1">
      <c r="B1043" s="1719" t="s">
        <v>711</v>
      </c>
      <c r="C1043" s="2183">
        <f>'Part VI-Revenues &amp; Expenses'!C203</f>
        <v>0</v>
      </c>
      <c r="D1043" s="2183"/>
      <c r="E1043" s="2183"/>
      <c r="F1043" s="2183"/>
      <c r="H1043" s="2181">
        <f>'Part VI-Revenues &amp; Expenses'!H203</f>
        <v>0</v>
      </c>
      <c r="I1043" s="2181">
        <f>'Part VI-Revenues &amp; Expenses'!I203</f>
        <v>0</v>
      </c>
      <c r="J1043" s="2181">
        <f>'Part VI-Revenues &amp; Expenses'!J203</f>
        <v>0</v>
      </c>
      <c r="K1043" s="2181">
        <f>'Part VI-Revenues &amp; Expenses'!K203</f>
        <v>0</v>
      </c>
      <c r="L1043" s="2181">
        <f>'Part VI-Revenues &amp; Expenses'!L203</f>
        <v>0</v>
      </c>
      <c r="M1043" s="2181">
        <f>'Part VI-Revenues &amp; Expenses'!M203</f>
        <v>0</v>
      </c>
      <c r="N1043" s="2181">
        <f>'Part VI-Revenues &amp; Expenses'!N203</f>
        <v>0</v>
      </c>
      <c r="O1043" s="2181">
        <f>'Part VI-Revenues &amp; Expenses'!O203</f>
        <v>0</v>
      </c>
      <c r="P1043" s="2181">
        <f>'Part VI-Revenues &amp; Expenses'!P203</f>
        <v>0</v>
      </c>
      <c r="Q1043" s="2181">
        <f>'Part VI-Revenues &amp; Expenses'!Q203</f>
        <v>0</v>
      </c>
      <c r="R1043" s="2182"/>
      <c r="S1043" s="2043"/>
      <c r="T1043" s="2043"/>
      <c r="U1043" s="2043"/>
      <c r="V1043" s="2043"/>
      <c r="W1043" s="2043"/>
      <c r="NP1043" s="1924"/>
    </row>
    <row r="1044" spans="1:380" s="1852" customFormat="1" ht="15.6" customHeight="1">
      <c r="B1044" s="1719"/>
      <c r="C1044" s="1719" t="s">
        <v>7069</v>
      </c>
      <c r="D1044" s="1719"/>
      <c r="E1044" s="1719"/>
      <c r="F1044" s="1719"/>
      <c r="H1044" s="2184">
        <f>SUM(H1042:H1043)</f>
        <v>0</v>
      </c>
      <c r="I1044" s="2184">
        <f>SUM(I1042:I1043)</f>
        <v>0</v>
      </c>
      <c r="J1044" s="2184">
        <f t="shared" ref="J1044:Q1044" si="374">SUM(J1042:J1043)</f>
        <v>0</v>
      </c>
      <c r="K1044" s="2184">
        <f t="shared" si="374"/>
        <v>0</v>
      </c>
      <c r="L1044" s="2184">
        <f t="shared" si="374"/>
        <v>0</v>
      </c>
      <c r="M1044" s="2184">
        <f t="shared" si="374"/>
        <v>0</v>
      </c>
      <c r="N1044" s="2184">
        <f t="shared" si="374"/>
        <v>0</v>
      </c>
      <c r="O1044" s="2184">
        <f t="shared" si="374"/>
        <v>0</v>
      </c>
      <c r="P1044" s="2184">
        <f t="shared" si="374"/>
        <v>0</v>
      </c>
      <c r="Q1044" s="2184">
        <f t="shared" si="374"/>
        <v>0</v>
      </c>
      <c r="R1044" s="436"/>
      <c r="S1044" s="2043"/>
      <c r="T1044" s="2043"/>
      <c r="U1044" s="2043"/>
      <c r="V1044" s="2043"/>
      <c r="W1044" s="2043"/>
      <c r="NP1044" s="1924"/>
    </row>
    <row r="1045" spans="1:380" s="1852" customFormat="1" ht="15.6" customHeight="1">
      <c r="B1045" s="2114"/>
      <c r="C1045" s="2114"/>
      <c r="D1045" s="2114"/>
      <c r="E1045" s="2114"/>
      <c r="F1045" s="2114"/>
      <c r="H1045" s="2185"/>
      <c r="I1045" s="2114"/>
      <c r="J1045" s="2114"/>
      <c r="K1045" s="2114"/>
      <c r="L1045" s="2114"/>
      <c r="M1045" s="2114"/>
      <c r="N1045" s="2114"/>
      <c r="O1045" s="2114"/>
      <c r="P1045" s="2114"/>
      <c r="Q1045" s="2114"/>
      <c r="JW1045" s="2051"/>
      <c r="KB1045" s="2051"/>
      <c r="KG1045" s="2051"/>
      <c r="KL1045" s="2051"/>
      <c r="KM1045" s="2051"/>
      <c r="KN1045" s="2051"/>
      <c r="KO1045" s="2051"/>
      <c r="KP1045" s="2051"/>
      <c r="KQ1045" s="2051"/>
      <c r="KR1045" s="2051"/>
      <c r="KS1045" s="2051"/>
      <c r="KT1045" s="2051"/>
      <c r="KU1045" s="2051"/>
      <c r="KV1045" s="2051"/>
      <c r="KW1045" s="2051"/>
      <c r="KX1045" s="2051"/>
      <c r="KY1045" s="2051"/>
      <c r="KZ1045" s="2051"/>
      <c r="LA1045" s="2051"/>
      <c r="LB1045" s="2051"/>
      <c r="LC1045" s="2051"/>
      <c r="LD1045" s="2051"/>
      <c r="LE1045" s="2051"/>
      <c r="LF1045" s="2051"/>
      <c r="LG1045" s="2051"/>
      <c r="NP1045" s="1924"/>
    </row>
    <row r="1046" spans="1:380" s="1852" customFormat="1" ht="15.6" customHeight="1">
      <c r="B1046" s="2106" t="s">
        <v>2184</v>
      </c>
      <c r="C1046" s="2114"/>
      <c r="D1046" s="2114"/>
      <c r="E1046" s="2114"/>
      <c r="F1046" s="2114"/>
      <c r="H1046" s="2179">
        <v>31</v>
      </c>
      <c r="I1046" s="2179">
        <v>32</v>
      </c>
      <c r="J1046" s="2179">
        <v>33</v>
      </c>
      <c r="K1046" s="2179">
        <v>34</v>
      </c>
      <c r="L1046" s="2179">
        <v>35</v>
      </c>
      <c r="M1046" s="2114"/>
      <c r="N1046" s="2114"/>
      <c r="O1046" s="2114"/>
      <c r="P1046" s="2114"/>
      <c r="Q1046" s="2114"/>
      <c r="S1046" s="2141" t="s">
        <v>2499</v>
      </c>
      <c r="T1046" s="1818" t="str">
        <f>B1046</f>
        <v>Included in Mgt Fee:</v>
      </c>
      <c r="JW1046" s="2051"/>
      <c r="KB1046" s="2051"/>
      <c r="KG1046" s="2051"/>
      <c r="KL1046" s="2051"/>
      <c r="KM1046" s="2051"/>
      <c r="KN1046" s="2051"/>
      <c r="KO1046" s="2051"/>
      <c r="KP1046" s="2051"/>
      <c r="KQ1046" s="2051"/>
      <c r="KR1046" s="2051"/>
      <c r="KS1046" s="2051"/>
      <c r="KT1046" s="2051"/>
      <c r="KU1046" s="2051"/>
      <c r="KV1046" s="2051"/>
      <c r="KW1046" s="2051"/>
      <c r="KX1046" s="2051"/>
      <c r="KY1046" s="2051"/>
      <c r="KZ1046" s="2051"/>
      <c r="LA1046" s="2051"/>
      <c r="LB1046" s="2051"/>
      <c r="LC1046" s="2051"/>
      <c r="LD1046" s="2051"/>
      <c r="LE1046" s="2051"/>
      <c r="LF1046" s="2051"/>
      <c r="LG1046" s="2051"/>
      <c r="NP1046" s="1924"/>
    </row>
    <row r="1047" spans="1:380" s="1852" customFormat="1" ht="15.6" customHeight="1">
      <c r="B1047" s="1719" t="s">
        <v>978</v>
      </c>
      <c r="C1047" s="1719"/>
      <c r="D1047" s="1719"/>
      <c r="E1047" s="1719"/>
      <c r="F1047" s="1719"/>
      <c r="H1047" s="2181">
        <f>'Part VI-Revenues &amp; Expenses'!H207</f>
        <v>0</v>
      </c>
      <c r="I1047" s="2181">
        <f>'Part VI-Revenues &amp; Expenses'!I207</f>
        <v>0</v>
      </c>
      <c r="J1047" s="2181">
        <f>'Part VI-Revenues &amp; Expenses'!J207</f>
        <v>0</v>
      </c>
      <c r="K1047" s="2181">
        <f>'Part VI-Revenues &amp; Expenses'!K207</f>
        <v>0</v>
      </c>
      <c r="L1047" s="2181">
        <f>'Part VI-Revenues &amp; Expenses'!L207</f>
        <v>0</v>
      </c>
      <c r="M1047" s="2114"/>
      <c r="N1047" s="2114"/>
      <c r="O1047" s="2114"/>
      <c r="P1047" s="2114"/>
      <c r="Q1047" s="2114"/>
      <c r="S1047" s="2043"/>
      <c r="T1047" s="2043"/>
      <c r="U1047" s="2043"/>
      <c r="V1047" s="2043"/>
      <c r="W1047" s="2043"/>
      <c r="JW1047" s="2051"/>
      <c r="KB1047" s="2051"/>
      <c r="KG1047" s="2051"/>
      <c r="KL1047" s="2051"/>
      <c r="KM1047" s="2051"/>
      <c r="KN1047" s="2051"/>
      <c r="KO1047" s="2051"/>
      <c r="KP1047" s="2051"/>
      <c r="KQ1047" s="2051"/>
      <c r="KR1047" s="2051"/>
      <c r="KS1047" s="2051"/>
      <c r="KT1047" s="2051"/>
      <c r="KU1047" s="2051"/>
      <c r="KV1047" s="2051"/>
      <c r="KW1047" s="2051"/>
      <c r="KX1047" s="2051"/>
      <c r="KY1047" s="2051"/>
      <c r="KZ1047" s="2051"/>
      <c r="LA1047" s="2051"/>
      <c r="LB1047" s="2051"/>
      <c r="LC1047" s="2051"/>
      <c r="LD1047" s="2051"/>
      <c r="LE1047" s="2051"/>
      <c r="LF1047" s="2051"/>
      <c r="LG1047" s="2051"/>
      <c r="NP1047" s="1924"/>
    </row>
    <row r="1048" spans="1:380" s="1852" customFormat="1" ht="15.6" customHeight="1">
      <c r="B1048" s="1719" t="s">
        <v>711</v>
      </c>
      <c r="C1048" s="2183">
        <f>'Part VI-Revenues &amp; Expenses'!C208</f>
        <v>0</v>
      </c>
      <c r="D1048" s="2183"/>
      <c r="E1048" s="2183"/>
      <c r="F1048" s="2183"/>
      <c r="H1048" s="2181">
        <f>'Part VI-Revenues &amp; Expenses'!H208</f>
        <v>0</v>
      </c>
      <c r="I1048" s="2181">
        <f>'Part VI-Revenues &amp; Expenses'!I208</f>
        <v>0</v>
      </c>
      <c r="J1048" s="2181">
        <f>'Part VI-Revenues &amp; Expenses'!J208</f>
        <v>0</v>
      </c>
      <c r="K1048" s="2181">
        <f>'Part VI-Revenues &amp; Expenses'!K208</f>
        <v>0</v>
      </c>
      <c r="L1048" s="2181">
        <f>'Part VI-Revenues &amp; Expenses'!L208</f>
        <v>0</v>
      </c>
      <c r="M1048" s="2114"/>
      <c r="N1048" s="2114"/>
      <c r="O1048" s="2114"/>
      <c r="P1048" s="2114"/>
      <c r="Q1048" s="2114"/>
      <c r="S1048" s="2043"/>
      <c r="T1048" s="2043"/>
      <c r="U1048" s="2043"/>
      <c r="V1048" s="2043"/>
      <c r="W1048" s="2043"/>
      <c r="JW1048" s="2051"/>
      <c r="KB1048" s="2051"/>
      <c r="KG1048" s="2051"/>
      <c r="KL1048" s="2051"/>
      <c r="KM1048" s="2051"/>
      <c r="KN1048" s="2051"/>
      <c r="KO1048" s="2051"/>
      <c r="KP1048" s="2051"/>
      <c r="KQ1048" s="2051"/>
      <c r="KR1048" s="2051"/>
      <c r="KS1048" s="2051"/>
      <c r="KT1048" s="2051"/>
      <c r="KU1048" s="2051"/>
      <c r="KV1048" s="2051"/>
      <c r="KW1048" s="2051"/>
      <c r="KX1048" s="2051"/>
      <c r="KY1048" s="2051"/>
      <c r="KZ1048" s="2051"/>
      <c r="LA1048" s="2051"/>
      <c r="LB1048" s="2051"/>
      <c r="LC1048" s="2051"/>
      <c r="LD1048" s="2051"/>
      <c r="LE1048" s="2051"/>
      <c r="LF1048" s="2051"/>
      <c r="LG1048" s="2051"/>
      <c r="NP1048" s="1924"/>
    </row>
    <row r="1049" spans="1:380" s="1852" customFormat="1" ht="15.6" customHeight="1">
      <c r="B1049" s="1719"/>
      <c r="C1049" s="1719" t="s">
        <v>894</v>
      </c>
      <c r="D1049" s="1719"/>
      <c r="E1049" s="1719"/>
      <c r="F1049" s="1719"/>
      <c r="H1049" s="2184">
        <f>SUM(H1047:H1048)</f>
        <v>0</v>
      </c>
      <c r="I1049" s="2184">
        <f>SUM(I1047:I1048)</f>
        <v>0</v>
      </c>
      <c r="J1049" s="2184">
        <f>SUM(J1047:J1048)</f>
        <v>0</v>
      </c>
      <c r="K1049" s="2184">
        <f>SUM(K1047:K1048)</f>
        <v>0</v>
      </c>
      <c r="L1049" s="2184">
        <f>SUM(L1047:L1048)</f>
        <v>0</v>
      </c>
      <c r="M1049" s="2114"/>
      <c r="N1049" s="2114"/>
      <c r="O1049" s="2114"/>
      <c r="P1049" s="2114"/>
      <c r="Q1049" s="2114"/>
      <c r="S1049" s="2043"/>
      <c r="T1049" s="2043"/>
      <c r="U1049" s="2043"/>
      <c r="V1049" s="2043"/>
      <c r="W1049" s="2043"/>
      <c r="JW1049" s="2051"/>
      <c r="KB1049" s="2051"/>
      <c r="KG1049" s="2051"/>
      <c r="KL1049" s="2051"/>
      <c r="KM1049" s="2051"/>
      <c r="KN1049" s="2051"/>
      <c r="KO1049" s="2051"/>
      <c r="KP1049" s="2051"/>
      <c r="KQ1049" s="2051"/>
      <c r="KR1049" s="2051"/>
      <c r="KS1049" s="2051"/>
      <c r="KT1049" s="2051"/>
      <c r="KU1049" s="2051"/>
      <c r="KV1049" s="2051"/>
      <c r="KW1049" s="2051"/>
      <c r="KX1049" s="2051"/>
      <c r="KY1049" s="2051"/>
      <c r="KZ1049" s="2051"/>
      <c r="LA1049" s="2051"/>
      <c r="LB1049" s="2051"/>
      <c r="LC1049" s="2051"/>
      <c r="LD1049" s="2051"/>
      <c r="LE1049" s="2051"/>
      <c r="LF1049" s="2051"/>
      <c r="LG1049" s="2051"/>
      <c r="NP1049" s="1924"/>
    </row>
    <row r="1050" spans="1:380" s="1852" customFormat="1" ht="15.6" customHeight="1">
      <c r="B1050" s="2106" t="s">
        <v>7068</v>
      </c>
      <c r="C1050" s="2114"/>
      <c r="D1050" s="2114"/>
      <c r="E1050" s="2114"/>
      <c r="F1050" s="2114"/>
      <c r="H1050" s="2185"/>
      <c r="I1050" s="2114"/>
      <c r="J1050" s="2114"/>
      <c r="K1050" s="2114"/>
      <c r="L1050" s="2114"/>
      <c r="M1050" s="2114"/>
      <c r="N1050" s="2114"/>
      <c r="O1050" s="2114"/>
      <c r="P1050" s="2114"/>
      <c r="Q1050" s="2114"/>
      <c r="S1050" s="1818" t="str">
        <f>B1050</f>
        <v>NOT Included in Mgt Fee:</v>
      </c>
      <c r="JW1050" s="2051"/>
      <c r="KB1050" s="2051"/>
      <c r="KG1050" s="2051"/>
      <c r="KL1050" s="2051"/>
      <c r="KM1050" s="2051"/>
      <c r="KN1050" s="2051"/>
      <c r="KO1050" s="2051"/>
      <c r="KP1050" s="2051"/>
      <c r="KQ1050" s="2051"/>
      <c r="KR1050" s="2051"/>
      <c r="KS1050" s="2051"/>
      <c r="KT1050" s="2051"/>
      <c r="KU1050" s="2051"/>
      <c r="KV1050" s="2051"/>
      <c r="KW1050" s="2051"/>
      <c r="KX1050" s="2051"/>
      <c r="KY1050" s="2051"/>
      <c r="KZ1050" s="2051"/>
      <c r="LA1050" s="2051"/>
      <c r="LB1050" s="2051"/>
      <c r="LC1050" s="2051"/>
      <c r="LD1050" s="2051"/>
      <c r="LE1050" s="2051"/>
      <c r="LF1050" s="2051"/>
      <c r="LG1050" s="2051"/>
      <c r="NP1050" s="1924"/>
    </row>
    <row r="1051" spans="1:380" s="1852" customFormat="1" ht="15.6" customHeight="1">
      <c r="B1051" s="1719" t="s">
        <v>507</v>
      </c>
      <c r="C1051" s="1719"/>
      <c r="D1051" s="1719"/>
      <c r="E1051" s="1719"/>
      <c r="F1051" s="1719"/>
      <c r="H1051" s="2181">
        <f>'Part VI-Revenues &amp; Expenses'!H211</f>
        <v>0</v>
      </c>
      <c r="I1051" s="2181">
        <f>'Part VI-Revenues &amp; Expenses'!I211</f>
        <v>0</v>
      </c>
      <c r="J1051" s="2181">
        <f>'Part VI-Revenues &amp; Expenses'!J211</f>
        <v>0</v>
      </c>
      <c r="K1051" s="2181">
        <f>'Part VI-Revenues &amp; Expenses'!K211</f>
        <v>0</v>
      </c>
      <c r="L1051" s="2181">
        <f>'Part VI-Revenues &amp; Expenses'!L211</f>
        <v>0</v>
      </c>
      <c r="M1051" s="2114"/>
      <c r="N1051" s="2114"/>
      <c r="O1051" s="2114"/>
      <c r="P1051" s="2114"/>
      <c r="Q1051" s="2114"/>
      <c r="S1051" s="2043"/>
      <c r="T1051" s="2043"/>
      <c r="U1051" s="2043"/>
      <c r="V1051" s="2043"/>
      <c r="W1051" s="2043"/>
      <c r="JW1051" s="2051"/>
      <c r="KB1051" s="2051"/>
      <c r="KG1051" s="2051"/>
      <c r="KL1051" s="2051"/>
      <c r="KM1051" s="2051"/>
      <c r="KN1051" s="2051"/>
      <c r="KO1051" s="2051"/>
      <c r="KP1051" s="2051"/>
      <c r="KQ1051" s="2051"/>
      <c r="KR1051" s="2051"/>
      <c r="KS1051" s="2051"/>
      <c r="KT1051" s="2051"/>
      <c r="KU1051" s="2051"/>
      <c r="KV1051" s="2051"/>
      <c r="KW1051" s="2051"/>
      <c r="KX1051" s="2051"/>
      <c r="KY1051" s="2051"/>
      <c r="KZ1051" s="2051"/>
      <c r="LA1051" s="2051"/>
      <c r="LB1051" s="2051"/>
      <c r="LC1051" s="2051"/>
      <c r="LD1051" s="2051"/>
      <c r="LE1051" s="2051"/>
      <c r="LF1051" s="2051"/>
      <c r="LG1051" s="2051"/>
      <c r="NP1051" s="1924"/>
    </row>
    <row r="1052" spans="1:380" s="1852" customFormat="1" ht="15.6" customHeight="1">
      <c r="B1052" s="1719" t="s">
        <v>711</v>
      </c>
      <c r="C1052" s="2183">
        <f>'Part VI-Revenues &amp; Expenses'!C212</f>
        <v>0</v>
      </c>
      <c r="D1052" s="2183"/>
      <c r="E1052" s="2183"/>
      <c r="F1052" s="2183"/>
      <c r="H1052" s="2181">
        <f>'Part VI-Revenues &amp; Expenses'!H212</f>
        <v>0</v>
      </c>
      <c r="I1052" s="2181">
        <f>'Part VI-Revenues &amp; Expenses'!I212</f>
        <v>0</v>
      </c>
      <c r="J1052" s="2181">
        <f>'Part VI-Revenues &amp; Expenses'!J212</f>
        <v>0</v>
      </c>
      <c r="K1052" s="2181">
        <f>'Part VI-Revenues &amp; Expenses'!K212</f>
        <v>0</v>
      </c>
      <c r="L1052" s="2181">
        <f>'Part VI-Revenues &amp; Expenses'!L212</f>
        <v>0</v>
      </c>
      <c r="M1052" s="2114"/>
      <c r="N1052" s="2114"/>
      <c r="O1052" s="2114"/>
      <c r="P1052" s="2114"/>
      <c r="Q1052" s="2114"/>
      <c r="S1052" s="2043"/>
      <c r="T1052" s="2043"/>
      <c r="U1052" s="2043"/>
      <c r="V1052" s="2043"/>
      <c r="W1052" s="2043"/>
      <c r="JW1052" s="2051"/>
      <c r="KB1052" s="2051"/>
      <c r="KG1052" s="2051"/>
      <c r="KL1052" s="2051"/>
      <c r="KM1052" s="2051"/>
      <c r="KN1052" s="2051"/>
      <c r="KO1052" s="2051"/>
      <c r="KP1052" s="2051"/>
      <c r="KQ1052" s="2051"/>
      <c r="KR1052" s="2051"/>
      <c r="KS1052" s="2051"/>
      <c r="KT1052" s="2051"/>
      <c r="KU1052" s="2051"/>
      <c r="KV1052" s="2051"/>
      <c r="KW1052" s="2051"/>
      <c r="KX1052" s="2051"/>
      <c r="KY1052" s="2051"/>
      <c r="KZ1052" s="2051"/>
      <c r="LA1052" s="2051"/>
      <c r="LB1052" s="2051"/>
      <c r="LC1052" s="2051"/>
      <c r="LD1052" s="2051"/>
      <c r="LE1052" s="2051"/>
      <c r="LF1052" s="2051"/>
      <c r="LG1052" s="2051"/>
      <c r="NP1052" s="1924"/>
    </row>
    <row r="1053" spans="1:380" s="1852" customFormat="1" ht="15.6" customHeight="1">
      <c r="B1053" s="1719"/>
      <c r="C1053" s="1719" t="s">
        <v>7069</v>
      </c>
      <c r="D1053" s="1719"/>
      <c r="E1053" s="1719"/>
      <c r="F1053" s="1719"/>
      <c r="H1053" s="2184">
        <f>SUM(H1051:H1052)</f>
        <v>0</v>
      </c>
      <c r="I1053" s="2184">
        <f>SUM(I1051:I1052)</f>
        <v>0</v>
      </c>
      <c r="J1053" s="2184">
        <f>SUM(J1051:J1052)</f>
        <v>0</v>
      </c>
      <c r="K1053" s="2184">
        <f>SUM(K1051:K1052)</f>
        <v>0</v>
      </c>
      <c r="L1053" s="2184">
        <f>SUM(L1051:L1052)</f>
        <v>0</v>
      </c>
      <c r="M1053" s="2114"/>
      <c r="N1053" s="2114"/>
      <c r="O1053" s="2114"/>
      <c r="P1053" s="2114"/>
      <c r="Q1053" s="2114"/>
      <c r="S1053" s="2043"/>
      <c r="T1053" s="2043"/>
      <c r="U1053" s="2043"/>
      <c r="V1053" s="2043"/>
      <c r="W1053" s="2043"/>
      <c r="JW1053" s="2051"/>
      <c r="KB1053" s="2051"/>
      <c r="KG1053" s="2051"/>
      <c r="KL1053" s="2051"/>
      <c r="KM1053" s="2051"/>
      <c r="KN1053" s="2051"/>
      <c r="KO1053" s="2051"/>
      <c r="KP1053" s="2051"/>
      <c r="KQ1053" s="2051"/>
      <c r="KR1053" s="2051"/>
      <c r="KS1053" s="2051"/>
      <c r="KT1053" s="2051"/>
      <c r="KU1053" s="2051"/>
      <c r="KV1053" s="2051"/>
      <c r="KW1053" s="2051"/>
      <c r="KX1053" s="2051"/>
      <c r="KY1053" s="2051"/>
      <c r="KZ1053" s="2051"/>
      <c r="LA1053" s="2051"/>
      <c r="LB1053" s="2051"/>
      <c r="LC1053" s="2051"/>
      <c r="LD1053" s="2051"/>
      <c r="LE1053" s="2051"/>
      <c r="LF1053" s="2051"/>
      <c r="LG1053" s="2051"/>
      <c r="NP1053" s="1924"/>
    </row>
    <row r="1054" spans="1:380" s="1852" customFormat="1" ht="2.25" customHeight="1">
      <c r="F1054" s="2186"/>
      <c r="G1054" s="2186"/>
      <c r="JW1054" s="2051"/>
      <c r="KB1054" s="2051"/>
      <c r="KG1054" s="2051"/>
      <c r="KL1054" s="2051"/>
      <c r="KM1054" s="2051"/>
      <c r="KN1054" s="2051"/>
      <c r="KO1054" s="2051"/>
      <c r="KP1054" s="2051"/>
      <c r="KQ1054" s="2051"/>
      <c r="KR1054" s="2051"/>
      <c r="KS1054" s="2051"/>
      <c r="KT1054" s="2051"/>
      <c r="KU1054" s="2051"/>
      <c r="KV1054" s="2051"/>
      <c r="KW1054" s="2051"/>
      <c r="KX1054" s="2051"/>
      <c r="KY1054" s="2051"/>
      <c r="KZ1054" s="2051"/>
      <c r="LA1054" s="2051"/>
      <c r="LB1054" s="2051"/>
      <c r="LC1054" s="2051"/>
      <c r="LD1054" s="2051"/>
      <c r="LE1054" s="2051"/>
      <c r="LF1054" s="2051"/>
      <c r="LG1054" s="2051"/>
      <c r="NP1054" s="1924"/>
    </row>
    <row r="1055" spans="1:380" s="1818" customFormat="1" ht="11.25" customHeight="1">
      <c r="A1055" s="1818" t="s">
        <v>1711</v>
      </c>
      <c r="B1055" s="2105" t="s">
        <v>980</v>
      </c>
      <c r="C1055" s="2105"/>
      <c r="D1055" s="2105"/>
      <c r="E1055" s="2105"/>
      <c r="F1055" s="2105"/>
      <c r="G1055" s="2105"/>
      <c r="H1055" s="2105"/>
      <c r="I1055" s="2105"/>
      <c r="J1055" s="2105"/>
      <c r="K1055" s="2105"/>
      <c r="L1055" s="2105"/>
      <c r="N1055" s="2187"/>
      <c r="O1055" s="2108"/>
      <c r="P1055" s="2108"/>
      <c r="S1055" s="1818" t="str">
        <f>B1055</f>
        <v>ANNUAL OPERATING EXPENSE BUDGET</v>
      </c>
      <c r="T1055" s="1852"/>
      <c r="X1055" s="1852"/>
      <c r="AC1055" s="1852"/>
      <c r="AH1055" s="1852"/>
      <c r="AM1055" s="1852"/>
      <c r="JW1055" s="2108"/>
      <c r="KB1055" s="2108"/>
      <c r="KG1055" s="2108"/>
      <c r="KL1055" s="2108"/>
      <c r="KM1055" s="2108"/>
      <c r="KN1055" s="2108"/>
      <c r="KO1055" s="2108"/>
      <c r="KP1055" s="2108"/>
      <c r="KQ1055" s="2108"/>
      <c r="KR1055" s="2108"/>
      <c r="KS1055" s="2108"/>
      <c r="KT1055" s="2108"/>
      <c r="KU1055" s="2108"/>
      <c r="KV1055" s="2108"/>
      <c r="KW1055" s="2108"/>
      <c r="KX1055" s="2108"/>
      <c r="KY1055" s="2108"/>
      <c r="KZ1055" s="2108"/>
      <c r="LA1055" s="2108"/>
      <c r="LB1055" s="2108"/>
      <c r="LC1055" s="2108"/>
      <c r="LD1055" s="2108"/>
      <c r="LE1055" s="2108"/>
      <c r="LF1055" s="2108"/>
      <c r="LG1055" s="2108"/>
      <c r="NP1055" s="1924"/>
    </row>
    <row r="1056" spans="1:380" s="1818" customFormat="1" ht="11.25" customHeight="1">
      <c r="B1056" s="2105"/>
      <c r="C1056" s="2105"/>
      <c r="D1056" s="2105"/>
      <c r="E1056" s="2105"/>
      <c r="F1056" s="2105"/>
      <c r="G1056" s="2105"/>
      <c r="H1056" s="2105"/>
      <c r="I1056" s="2105"/>
      <c r="J1056" s="2105"/>
      <c r="K1056" s="2105"/>
      <c r="S1056" s="2112" t="s">
        <v>1761</v>
      </c>
      <c r="T1056" s="2112"/>
      <c r="JW1056" s="2108"/>
      <c r="KB1056" s="2108"/>
      <c r="KG1056" s="2108"/>
      <c r="KL1056" s="2108"/>
      <c r="KM1056" s="2108"/>
      <c r="KN1056" s="2108"/>
      <c r="KO1056" s="2108"/>
      <c r="KP1056" s="2108"/>
      <c r="KQ1056" s="2108"/>
      <c r="KR1056" s="2108"/>
      <c r="KS1056" s="2108"/>
      <c r="KT1056" s="2108"/>
      <c r="KU1056" s="2108"/>
      <c r="KV1056" s="2108"/>
      <c r="KW1056" s="2108"/>
      <c r="KX1056" s="2108"/>
      <c r="KY1056" s="2108"/>
      <c r="KZ1056" s="2108"/>
      <c r="LA1056" s="2108"/>
      <c r="LB1056" s="2108"/>
      <c r="LC1056" s="2108"/>
      <c r="LD1056" s="2108"/>
      <c r="LE1056" s="2108"/>
      <c r="LF1056" s="2108"/>
      <c r="LG1056" s="2108"/>
      <c r="NP1056" s="1924"/>
    </row>
    <row r="1057" spans="2:380" s="1818" customFormat="1" ht="13.35" customHeight="1">
      <c r="B1057" s="1818" t="s">
        <v>1242</v>
      </c>
      <c r="F1057" s="1852"/>
      <c r="G1057" s="1852"/>
      <c r="I1057" s="1818" t="s">
        <v>1328</v>
      </c>
      <c r="O1057" s="1818" t="s">
        <v>1331</v>
      </c>
      <c r="Q1057" s="2188">
        <f>'Part VI-Revenues &amp; Expenses'!Q217</f>
        <v>31206</v>
      </c>
      <c r="S1057" s="2043"/>
      <c r="T1057" s="2043"/>
      <c r="U1057" s="2043"/>
      <c r="V1057" s="2043"/>
      <c r="W1057" s="2043"/>
      <c r="X1057" s="1852"/>
      <c r="AC1057" s="1852"/>
      <c r="AH1057" s="1852"/>
      <c r="AM1057" s="1852"/>
      <c r="JW1057" s="2108"/>
      <c r="KB1057" s="2108"/>
      <c r="KG1057" s="2108"/>
      <c r="KL1057" s="2108"/>
      <c r="KM1057" s="2108"/>
      <c r="KN1057" s="2108"/>
      <c r="KO1057" s="2108"/>
      <c r="KP1057" s="2108"/>
      <c r="KQ1057" s="2108"/>
      <c r="KR1057" s="2108"/>
      <c r="KS1057" s="2108"/>
      <c r="KT1057" s="2108"/>
      <c r="KU1057" s="2108"/>
      <c r="KV1057" s="2108"/>
      <c r="KW1057" s="2108"/>
      <c r="KX1057" s="2108"/>
      <c r="KY1057" s="2108"/>
      <c r="KZ1057" s="2108"/>
      <c r="LA1057" s="2108"/>
      <c r="LB1057" s="2108"/>
      <c r="LC1057" s="2108"/>
      <c r="LD1057" s="2108"/>
      <c r="LE1057" s="2108"/>
      <c r="LF1057" s="2108"/>
      <c r="LG1057" s="2108"/>
      <c r="NP1057" s="1924"/>
    </row>
    <row r="1058" spans="2:380" s="1818" customFormat="1" ht="15.6" customHeight="1">
      <c r="B1058" s="1818" t="s">
        <v>2102</v>
      </c>
      <c r="F1058" s="2189">
        <f>'Part VI-Revenues &amp; Expenses'!F218</f>
        <v>22848</v>
      </c>
      <c r="G1058" s="2189"/>
      <c r="I1058" s="1818" t="s">
        <v>1329</v>
      </c>
      <c r="L1058" s="2189">
        <f>'Part VI-Revenues &amp; Expenses'!L218</f>
        <v>0</v>
      </c>
      <c r="M1058" s="2189"/>
      <c r="O1058" s="2190">
        <f>+Q1057/(P907*0.93)</f>
        <v>699.05913978494618</v>
      </c>
      <c r="P1058" s="2156" t="s">
        <v>2587</v>
      </c>
      <c r="R1058" s="2182"/>
      <c r="S1058" s="2043"/>
      <c r="T1058" s="2043"/>
      <c r="U1058" s="2043"/>
      <c r="V1058" s="2043"/>
      <c r="W1058" s="2043"/>
      <c r="X1058" s="1852"/>
      <c r="AC1058" s="1852"/>
      <c r="AH1058" s="1852"/>
      <c r="AM1058" s="1852"/>
      <c r="JW1058" s="2108"/>
      <c r="KB1058" s="2108"/>
      <c r="KG1058" s="2108"/>
      <c r="KL1058" s="2108"/>
      <c r="KM1058" s="2108"/>
      <c r="KN1058" s="2108"/>
      <c r="KO1058" s="2108"/>
      <c r="KP1058" s="2108"/>
      <c r="KQ1058" s="2108"/>
      <c r="KR1058" s="2108"/>
      <c r="KS1058" s="2108"/>
      <c r="KT1058" s="2108"/>
      <c r="KU1058" s="2108"/>
      <c r="KV1058" s="2108"/>
      <c r="KW1058" s="2108"/>
      <c r="KX1058" s="2108"/>
      <c r="KY1058" s="2108"/>
      <c r="KZ1058" s="2108"/>
      <c r="LA1058" s="2108"/>
      <c r="LB1058" s="2108"/>
      <c r="LC1058" s="2108"/>
      <c r="LD1058" s="2108"/>
      <c r="LE1058" s="2108"/>
      <c r="LF1058" s="2108"/>
      <c r="LG1058" s="2108"/>
      <c r="NP1058" s="1924"/>
    </row>
    <row r="1059" spans="2:380" s="1818" customFormat="1" ht="15.6" customHeight="1">
      <c r="B1059" s="1818" t="s">
        <v>1318</v>
      </c>
      <c r="F1059" s="2189">
        <f>'Part VI-Revenues &amp; Expenses'!F219</f>
        <v>18000</v>
      </c>
      <c r="G1059" s="2189"/>
      <c r="I1059" s="1818" t="s">
        <v>1330</v>
      </c>
      <c r="L1059" s="2189">
        <f>'Part VI-Revenues &amp; Expenses'!L219</f>
        <v>0</v>
      </c>
      <c r="M1059" s="2189"/>
      <c r="O1059" s="2190">
        <f>+Q1057/(P907*0.93)/12</f>
        <v>58.25492831541218</v>
      </c>
      <c r="P1059" s="2156" t="s">
        <v>2588</v>
      </c>
      <c r="R1059" s="2182"/>
      <c r="S1059" s="2043"/>
      <c r="T1059" s="2043"/>
      <c r="U1059" s="2043"/>
      <c r="V1059" s="2043"/>
      <c r="W1059" s="2043"/>
      <c r="X1059" s="1852"/>
      <c r="AC1059" s="1852"/>
      <c r="AH1059" s="1852"/>
      <c r="AM1059" s="1852"/>
      <c r="JW1059" s="2108"/>
      <c r="KB1059" s="2108"/>
      <c r="KG1059" s="2108"/>
      <c r="KL1059" s="2108"/>
      <c r="KM1059" s="2108"/>
      <c r="KN1059" s="2108"/>
      <c r="KO1059" s="2108"/>
      <c r="KP1059" s="2108"/>
      <c r="KQ1059" s="2108"/>
      <c r="KR1059" s="2108"/>
      <c r="KS1059" s="2108"/>
      <c r="KT1059" s="2108"/>
      <c r="KU1059" s="2108"/>
      <c r="KV1059" s="2108"/>
      <c r="KW1059" s="2108"/>
      <c r="KX1059" s="2108"/>
      <c r="KY1059" s="2108"/>
      <c r="KZ1059" s="2108"/>
      <c r="LA1059" s="2108"/>
      <c r="LB1059" s="2108"/>
      <c r="LC1059" s="2108"/>
      <c r="LD1059" s="2108"/>
      <c r="LE1059" s="2108"/>
      <c r="LF1059" s="2108"/>
      <c r="LG1059" s="2108"/>
      <c r="NP1059" s="1924"/>
    </row>
    <row r="1060" spans="2:380" s="1818" customFormat="1" ht="15.6" customHeight="1">
      <c r="B1060" s="1818" t="s">
        <v>1193</v>
      </c>
      <c r="F1060" s="2189">
        <f>'Part VI-Revenues &amp; Expenses'!F220</f>
        <v>0</v>
      </c>
      <c r="G1060" s="2189"/>
      <c r="K1060" s="2191" t="s">
        <v>183</v>
      </c>
      <c r="L1060" s="2171">
        <f>SUM(L1058:M1059)</f>
        <v>0</v>
      </c>
      <c r="M1060" s="2171"/>
      <c r="O1060" s="435" t="s">
        <v>3356</v>
      </c>
      <c r="P1060" s="435"/>
      <c r="Q1060" s="435"/>
      <c r="R1060" s="2182"/>
      <c r="S1060" s="2043"/>
      <c r="T1060" s="2043"/>
      <c r="U1060" s="2043"/>
      <c r="V1060" s="2043"/>
      <c r="W1060" s="2043"/>
      <c r="X1060" s="1852"/>
      <c r="AC1060" s="1852"/>
      <c r="AH1060" s="1852"/>
      <c r="AM1060" s="1852"/>
      <c r="JW1060" s="2108"/>
      <c r="KB1060" s="2108"/>
      <c r="KG1060" s="2108"/>
      <c r="KL1060" s="2108"/>
      <c r="KM1060" s="2108"/>
      <c r="KN1060" s="2108"/>
      <c r="KO1060" s="2108"/>
      <c r="KP1060" s="2108"/>
      <c r="KQ1060" s="2108"/>
      <c r="KR1060" s="2108"/>
      <c r="KS1060" s="2108"/>
      <c r="KT1060" s="2108"/>
      <c r="KU1060" s="2108"/>
      <c r="KV1060" s="2108"/>
      <c r="KW1060" s="2108"/>
      <c r="KX1060" s="2108"/>
      <c r="KY1060" s="2108"/>
      <c r="KZ1060" s="2108"/>
      <c r="LA1060" s="2108"/>
      <c r="LB1060" s="2108"/>
      <c r="LC1060" s="2108"/>
      <c r="LD1060" s="2108"/>
      <c r="LE1060" s="2108"/>
      <c r="LF1060" s="2108"/>
      <c r="LG1060" s="2108"/>
      <c r="NP1060" s="1924"/>
    </row>
    <row r="1061" spans="2:380" s="1818" customFormat="1" ht="15.6" customHeight="1">
      <c r="B1061" s="2105" t="s">
        <v>4224</v>
      </c>
      <c r="F1061" s="2189">
        <f>'Part VI-Revenues &amp; Expenses'!F221</f>
        <v>0</v>
      </c>
      <c r="G1061" s="2189"/>
      <c r="R1061" s="2174"/>
      <c r="S1061" s="2043"/>
      <c r="T1061" s="2043"/>
      <c r="U1061" s="2043"/>
      <c r="V1061" s="2043"/>
      <c r="W1061" s="2043"/>
      <c r="X1061" s="1852"/>
      <c r="AC1061" s="1852"/>
      <c r="AH1061" s="1852"/>
      <c r="AM1061" s="1852"/>
      <c r="JW1061" s="2108"/>
      <c r="KB1061" s="2108"/>
      <c r="KG1061" s="2108"/>
      <c r="KL1061" s="2108"/>
      <c r="KM1061" s="2108"/>
      <c r="KN1061" s="2108"/>
      <c r="KO1061" s="2108"/>
      <c r="KP1061" s="2108"/>
      <c r="KQ1061" s="2108"/>
      <c r="KR1061" s="2108"/>
      <c r="KS1061" s="2108"/>
      <c r="KT1061" s="2108"/>
      <c r="KU1061" s="2108"/>
      <c r="KV1061" s="2108"/>
      <c r="KW1061" s="2108"/>
      <c r="KX1061" s="2108"/>
      <c r="KY1061" s="2108"/>
      <c r="KZ1061" s="2108"/>
      <c r="LA1061" s="2108"/>
      <c r="LB1061" s="2108"/>
      <c r="LC1061" s="2108"/>
      <c r="LD1061" s="2108"/>
      <c r="LE1061" s="2108"/>
      <c r="LF1061" s="2108"/>
      <c r="LG1061" s="2108"/>
      <c r="NP1061" s="2113"/>
    </row>
    <row r="1062" spans="2:380" s="1818" customFormat="1" ht="15.6" customHeight="1">
      <c r="B1062" s="2105" t="s">
        <v>4225</v>
      </c>
      <c r="F1062" s="2189">
        <f>'Part VI-Revenues &amp; Expenses'!F222</f>
        <v>0</v>
      </c>
      <c r="G1062" s="2189"/>
      <c r="R1062" s="2174"/>
      <c r="S1062" s="2043"/>
      <c r="T1062" s="2043"/>
      <c r="U1062" s="2043"/>
      <c r="V1062" s="2043"/>
      <c r="W1062" s="2043"/>
      <c r="X1062" s="1852"/>
      <c r="AC1062" s="1852"/>
      <c r="AH1062" s="1852"/>
      <c r="AM1062" s="1852"/>
      <c r="JW1062" s="2108"/>
      <c r="KB1062" s="2108"/>
      <c r="KG1062" s="2108"/>
      <c r="KL1062" s="2108"/>
      <c r="KM1062" s="2108"/>
      <c r="KN1062" s="2108"/>
      <c r="KO1062" s="2108"/>
      <c r="KP1062" s="2108"/>
      <c r="KQ1062" s="2108"/>
      <c r="KR1062" s="2108"/>
      <c r="KS1062" s="2108"/>
      <c r="KT1062" s="2108"/>
      <c r="KU1062" s="2108"/>
      <c r="KV1062" s="2108"/>
      <c r="KW1062" s="2108"/>
      <c r="KX1062" s="2108"/>
      <c r="KY1062" s="2108"/>
      <c r="KZ1062" s="2108"/>
      <c r="LA1062" s="2108"/>
      <c r="LB1062" s="2108"/>
      <c r="LC1062" s="2108"/>
      <c r="LD1062" s="2108"/>
      <c r="LE1062" s="2108"/>
      <c r="LF1062" s="2108"/>
      <c r="LG1062" s="2108"/>
      <c r="NP1062" s="2113"/>
    </row>
    <row r="1063" spans="2:380" s="1818" customFormat="1" ht="15.6" customHeight="1">
      <c r="B1063" s="2111" t="str">
        <f>'Part VI-Revenues &amp; Expenses'!B223</f>
        <v>Other (describe here)</v>
      </c>
      <c r="C1063" s="2111"/>
      <c r="D1063" s="2111"/>
      <c r="E1063" s="2111"/>
      <c r="F1063" s="2189">
        <f>'Part VI-Revenues &amp; Expenses'!F223</f>
        <v>0</v>
      </c>
      <c r="G1063" s="2189"/>
      <c r="I1063" s="1818" t="s">
        <v>1244</v>
      </c>
      <c r="R1063" s="2174"/>
      <c r="S1063" s="2043"/>
      <c r="T1063" s="2043"/>
      <c r="U1063" s="2043"/>
      <c r="V1063" s="2043"/>
      <c r="W1063" s="2043"/>
      <c r="X1063" s="1852"/>
      <c r="AC1063" s="1852"/>
      <c r="AH1063" s="1852"/>
      <c r="AM1063" s="1852"/>
      <c r="JW1063" s="2108"/>
      <c r="KB1063" s="2108"/>
      <c r="KG1063" s="2108"/>
      <c r="KL1063" s="2108"/>
      <c r="KM1063" s="2108"/>
      <c r="KN1063" s="2108"/>
      <c r="KO1063" s="2108"/>
      <c r="KP1063" s="2108"/>
      <c r="KQ1063" s="2108"/>
      <c r="KR1063" s="2108"/>
      <c r="KS1063" s="2108"/>
      <c r="KT1063" s="2108"/>
      <c r="KU1063" s="2108"/>
      <c r="KV1063" s="2108"/>
      <c r="KW1063" s="2108"/>
      <c r="KX1063" s="2108"/>
      <c r="KY1063" s="2108"/>
      <c r="KZ1063" s="2108"/>
      <c r="LA1063" s="2108"/>
      <c r="LB1063" s="2108"/>
      <c r="LC1063" s="2108"/>
      <c r="LD1063" s="2108"/>
      <c r="LE1063" s="2108"/>
      <c r="LF1063" s="2108"/>
      <c r="LG1063" s="2108"/>
      <c r="NP1063" s="2113"/>
    </row>
    <row r="1064" spans="2:380" s="1818" customFormat="1" ht="15.6" customHeight="1">
      <c r="E1064" s="2191" t="s">
        <v>183</v>
      </c>
      <c r="F1064" s="2171">
        <f>SUM(F1058:G1063)</f>
        <v>40848</v>
      </c>
      <c r="G1064" s="2171"/>
      <c r="I1064" s="1818" t="s">
        <v>1536</v>
      </c>
      <c r="L1064" s="2189">
        <f>'Part VI-Revenues &amp; Expenses'!L224</f>
        <v>2640</v>
      </c>
      <c r="M1064" s="2189"/>
      <c r="S1064" s="2043"/>
      <c r="T1064" s="2043"/>
      <c r="U1064" s="2043"/>
      <c r="V1064" s="2043"/>
      <c r="W1064" s="2043"/>
      <c r="X1064" s="1852"/>
      <c r="AC1064" s="1852"/>
      <c r="AH1064" s="1852"/>
      <c r="AM1064" s="1852"/>
      <c r="JW1064" s="2108"/>
      <c r="KB1064" s="2108"/>
      <c r="KG1064" s="2108"/>
      <c r="KL1064" s="2108"/>
      <c r="KM1064" s="2108"/>
      <c r="KN1064" s="2108"/>
      <c r="KO1064" s="2108"/>
      <c r="KP1064" s="2108"/>
      <c r="KQ1064" s="2108"/>
      <c r="KR1064" s="2108"/>
      <c r="KS1064" s="2108"/>
      <c r="KT1064" s="2108"/>
      <c r="KU1064" s="2108"/>
      <c r="KV1064" s="2108"/>
      <c r="KW1064" s="2108"/>
      <c r="KX1064" s="2108"/>
      <c r="KY1064" s="2108"/>
      <c r="KZ1064" s="2108"/>
      <c r="LA1064" s="2108"/>
      <c r="LB1064" s="2108"/>
      <c r="LC1064" s="2108"/>
      <c r="LD1064" s="2108"/>
      <c r="LE1064" s="2108"/>
      <c r="LF1064" s="2108"/>
      <c r="LG1064" s="2108"/>
      <c r="NP1064" s="2113"/>
    </row>
    <row r="1065" spans="2:380" s="1818" customFormat="1" ht="15" customHeight="1">
      <c r="D1065" s="2191"/>
      <c r="F1065" s="2152"/>
      <c r="G1065" s="2152"/>
      <c r="I1065" s="1818" t="s">
        <v>1958</v>
      </c>
      <c r="L1065" s="2189">
        <f>'Part VI-Revenues &amp; Expenses'!L225</f>
        <v>4880</v>
      </c>
      <c r="M1065" s="2189"/>
      <c r="N1065" s="1719" t="str">
        <f>IF(Q1067="","",IF(Q1065&lt;Q1067, "WARNING! OE below required minimum.",""))</f>
        <v/>
      </c>
      <c r="O1065" s="1818" t="s">
        <v>2092</v>
      </c>
      <c r="Q1065" s="2174">
        <f>F1064+F1073+F1084+L1060+L1068+L1077+L1084+Q1057</f>
        <v>190922</v>
      </c>
      <c r="S1065" s="2043"/>
      <c r="T1065" s="2043"/>
      <c r="U1065" s="2043"/>
      <c r="V1065" s="2043"/>
      <c r="W1065" s="2043"/>
      <c r="JW1065" s="2108"/>
      <c r="KB1065" s="2108"/>
      <c r="KG1065" s="2108"/>
      <c r="KL1065" s="2108"/>
      <c r="KM1065" s="2108"/>
      <c r="KN1065" s="2108"/>
      <c r="KO1065" s="2108"/>
      <c r="KP1065" s="2108"/>
      <c r="KQ1065" s="2108"/>
      <c r="KR1065" s="2108"/>
      <c r="KS1065" s="2108"/>
      <c r="KT1065" s="2108"/>
      <c r="KU1065" s="2108"/>
      <c r="KV1065" s="2108"/>
      <c r="KW1065" s="2108"/>
      <c r="KX1065" s="2108"/>
      <c r="KY1065" s="2108"/>
      <c r="KZ1065" s="2108"/>
      <c r="LA1065" s="2108"/>
      <c r="LB1065" s="2108"/>
      <c r="LC1065" s="2108"/>
      <c r="LD1065" s="2108"/>
      <c r="LE1065" s="2108"/>
      <c r="LF1065" s="2108"/>
      <c r="LG1065" s="2108"/>
      <c r="NP1065" s="2113"/>
    </row>
    <row r="1066" spans="2:380" s="1818" customFormat="1" ht="13.35" customHeight="1">
      <c r="B1066" s="1818" t="s">
        <v>1243</v>
      </c>
      <c r="D1066" s="2192"/>
      <c r="I1066" s="1818" t="s">
        <v>1537</v>
      </c>
      <c r="L1066" s="2189">
        <f>'Part VI-Revenues &amp; Expenses'!L226</f>
        <v>540</v>
      </c>
      <c r="M1066" s="2189"/>
      <c r="N1066" s="1719"/>
      <c r="O1066" s="2156" t="s">
        <v>2589</v>
      </c>
      <c r="P1066" s="2190">
        <f>+Q1065/P907</f>
        <v>3977.5416666666665</v>
      </c>
      <c r="R1066" s="2188"/>
      <c r="S1066" s="2043"/>
      <c r="T1066" s="2043"/>
      <c r="U1066" s="2043"/>
      <c r="V1066" s="2043"/>
      <c r="W1066" s="2043"/>
      <c r="X1066" s="1852"/>
      <c r="AC1066" s="1852"/>
      <c r="AH1066" s="1852"/>
      <c r="AM1066" s="1852"/>
      <c r="JW1066" s="2108"/>
      <c r="KB1066" s="2108"/>
      <c r="KG1066" s="2108"/>
      <c r="KL1066" s="2108"/>
      <c r="KM1066" s="2108"/>
      <c r="KN1066" s="2108"/>
      <c r="KO1066" s="2108"/>
      <c r="KP1066" s="2108"/>
      <c r="KQ1066" s="2108"/>
      <c r="KR1066" s="2108"/>
      <c r="KS1066" s="2108"/>
      <c r="KT1066" s="2108"/>
      <c r="KU1066" s="2108"/>
      <c r="KV1066" s="2108"/>
      <c r="KW1066" s="2108"/>
      <c r="KX1066" s="2108"/>
      <c r="KY1066" s="2108"/>
      <c r="KZ1066" s="2108"/>
      <c r="LA1066" s="2108"/>
      <c r="LB1066" s="2108"/>
      <c r="LC1066" s="2108"/>
      <c r="LD1066" s="2108"/>
      <c r="LE1066" s="2108"/>
      <c r="LF1066" s="2108"/>
      <c r="LG1066" s="2108"/>
      <c r="NP1066" s="2113" t="s">
        <v>6760</v>
      </c>
    </row>
    <row r="1067" spans="2:380" s="1818" customFormat="1" ht="15.6" customHeight="1">
      <c r="B1067" s="1818" t="s">
        <v>1323</v>
      </c>
      <c r="D1067" s="2192"/>
      <c r="F1067" s="2189">
        <f>'Part VI-Revenues &amp; Expenses'!F227</f>
        <v>1800</v>
      </c>
      <c r="G1067" s="2189"/>
      <c r="I1067" s="2193" t="str">
        <f>'Part VI-Revenues &amp; Expenses'!I227</f>
        <v>Other (business license)</v>
      </c>
      <c r="J1067" s="2193"/>
      <c r="K1067" s="2193"/>
      <c r="L1067" s="2189">
        <f>'Part VI-Revenues &amp; Expenses'!L227</f>
        <v>240</v>
      </c>
      <c r="M1067" s="2189"/>
      <c r="N1067" s="1719"/>
      <c r="P1067" s="2156" t="s">
        <v>3357</v>
      </c>
      <c r="Q1067" s="2174">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3"/>
      <c r="T1067" s="2043"/>
      <c r="U1067" s="2043"/>
      <c r="V1067" s="2043"/>
      <c r="W1067" s="2043"/>
      <c r="X1067" s="1852"/>
      <c r="AC1067" s="1852"/>
      <c r="AH1067" s="1852"/>
      <c r="AM1067" s="1852"/>
      <c r="JW1067" s="2108"/>
      <c r="KB1067" s="2108"/>
      <c r="KG1067" s="2108"/>
      <c r="KL1067" s="2108"/>
      <c r="KM1067" s="2108"/>
      <c r="KN1067" s="2108"/>
      <c r="KO1067" s="2108"/>
      <c r="KP1067" s="2108"/>
      <c r="KQ1067" s="2108"/>
      <c r="KR1067" s="2108"/>
      <c r="KS1067" s="2108"/>
      <c r="KT1067" s="2108"/>
      <c r="KU1067" s="2108"/>
      <c r="KV1067" s="2108"/>
      <c r="KW1067" s="2108"/>
      <c r="KX1067" s="2108"/>
      <c r="KY1067" s="2108"/>
      <c r="KZ1067" s="2108"/>
      <c r="LA1067" s="2108"/>
      <c r="LB1067" s="2108"/>
      <c r="LC1067" s="2108"/>
      <c r="LD1067" s="2108"/>
      <c r="LE1067" s="2108"/>
      <c r="LF1067" s="2108"/>
      <c r="LG1067" s="2108"/>
      <c r="NP1067" s="2113"/>
    </row>
    <row r="1068" spans="2:380" s="1818" customFormat="1" ht="15.6" customHeight="1">
      <c r="B1068" s="1818" t="s">
        <v>1324</v>
      </c>
      <c r="D1068" s="2192"/>
      <c r="F1068" s="2189">
        <f>'Part VI-Revenues &amp; Expenses'!F228</f>
        <v>3180</v>
      </c>
      <c r="G1068" s="2189"/>
      <c r="K1068" s="2191" t="s">
        <v>183</v>
      </c>
      <c r="L1068" s="2174">
        <f>SUM(L1064:L1067)</f>
        <v>8300</v>
      </c>
      <c r="M1068" s="2174"/>
      <c r="N1068" s="1719"/>
      <c r="S1068" s="2043"/>
      <c r="T1068" s="2043"/>
      <c r="U1068" s="2043"/>
      <c r="V1068" s="2043"/>
      <c r="W1068" s="2043"/>
      <c r="X1068" s="1852"/>
      <c r="AC1068" s="1852"/>
      <c r="AH1068" s="1852"/>
      <c r="AM1068" s="1852"/>
      <c r="JW1068" s="2108"/>
      <c r="KB1068" s="2108"/>
      <c r="KG1068" s="2108"/>
      <c r="KL1068" s="2108"/>
      <c r="KM1068" s="2108"/>
      <c r="KN1068" s="2108"/>
      <c r="KO1068" s="2108"/>
      <c r="KP1068" s="2108"/>
      <c r="KQ1068" s="2108"/>
      <c r="KR1068" s="2108"/>
      <c r="KS1068" s="2108"/>
      <c r="KT1068" s="2108"/>
      <c r="KU1068" s="2108"/>
      <c r="KV1068" s="2108"/>
      <c r="KW1068" s="2108"/>
      <c r="KX1068" s="2108"/>
      <c r="KY1068" s="2108"/>
      <c r="KZ1068" s="2108"/>
      <c r="LA1068" s="2108"/>
      <c r="LB1068" s="2108"/>
      <c r="LC1068" s="2108"/>
      <c r="LD1068" s="2108"/>
      <c r="LE1068" s="2108"/>
      <c r="LF1068" s="2108"/>
      <c r="LG1068" s="2108"/>
      <c r="NP1068" s="2113"/>
    </row>
    <row r="1069" spans="2:380" s="1818" customFormat="1" ht="15.6" customHeight="1">
      <c r="B1069" s="1818" t="s">
        <v>1325</v>
      </c>
      <c r="D1069" s="2192"/>
      <c r="F1069" s="2189">
        <f>'Part VI-Revenues &amp; Expenses'!F229</f>
        <v>2000</v>
      </c>
      <c r="G1069" s="2189"/>
      <c r="R1069" s="2121"/>
      <c r="S1069" s="2043"/>
      <c r="T1069" s="2043"/>
      <c r="U1069" s="2043"/>
      <c r="V1069" s="2043"/>
      <c r="W1069" s="2043"/>
      <c r="X1069" s="1852"/>
      <c r="AC1069" s="1852"/>
      <c r="AH1069" s="1852"/>
      <c r="AM1069" s="1852"/>
      <c r="JW1069" s="2108"/>
      <c r="KB1069" s="2108"/>
      <c r="KG1069" s="2108"/>
      <c r="KL1069" s="2108"/>
      <c r="KM1069" s="2108"/>
      <c r="KN1069" s="2108"/>
      <c r="KO1069" s="2108"/>
      <c r="KP1069" s="2108"/>
      <c r="KQ1069" s="2108"/>
      <c r="KR1069" s="2108"/>
      <c r="KS1069" s="2108"/>
      <c r="KT1069" s="2108"/>
      <c r="KU1069" s="2108"/>
      <c r="KV1069" s="2108"/>
      <c r="KW1069" s="2108"/>
      <c r="KX1069" s="2108"/>
      <c r="KY1069" s="2108"/>
      <c r="KZ1069" s="2108"/>
      <c r="LA1069" s="2108"/>
      <c r="LB1069" s="2108"/>
      <c r="LC1069" s="2108"/>
      <c r="LD1069" s="2108"/>
      <c r="LE1069" s="2108"/>
      <c r="LF1069" s="2108"/>
      <c r="LG1069" s="2108"/>
      <c r="NP1069" s="2113"/>
    </row>
    <row r="1070" spans="2:380" s="1818" customFormat="1" ht="15.6" customHeight="1">
      <c r="B1070" s="1818" t="s">
        <v>2238</v>
      </c>
      <c r="D1070" s="2192"/>
      <c r="F1070" s="2189">
        <f>'Part VI-Revenues &amp; Expenses'!F230</f>
        <v>9612</v>
      </c>
      <c r="G1070" s="2189"/>
      <c r="R1070" s="2121"/>
      <c r="S1070" s="2043"/>
      <c r="T1070" s="2043"/>
      <c r="U1070" s="2043"/>
      <c r="V1070" s="2043"/>
      <c r="W1070" s="2043"/>
      <c r="X1070" s="1852"/>
      <c r="AC1070" s="1852"/>
      <c r="AH1070" s="1852"/>
      <c r="AM1070" s="1852"/>
      <c r="JW1070" s="2108"/>
      <c r="KB1070" s="2108"/>
      <c r="KG1070" s="2108"/>
      <c r="KL1070" s="2108"/>
      <c r="KM1070" s="2108"/>
      <c r="KN1070" s="2108"/>
      <c r="KO1070" s="2108"/>
      <c r="KP1070" s="2108"/>
      <c r="KQ1070" s="2108"/>
      <c r="KR1070" s="2108"/>
      <c r="KS1070" s="2108"/>
      <c r="KT1070" s="2108"/>
      <c r="KU1070" s="2108"/>
      <c r="KV1070" s="2108"/>
      <c r="KW1070" s="2108"/>
      <c r="KX1070" s="2108"/>
      <c r="KY1070" s="2108"/>
      <c r="KZ1070" s="2108"/>
      <c r="LA1070" s="2108"/>
      <c r="LB1070" s="2108"/>
      <c r="LC1070" s="2108"/>
      <c r="LD1070" s="2108"/>
      <c r="LE1070" s="2108"/>
      <c r="LF1070" s="2108"/>
      <c r="LG1070" s="2108"/>
      <c r="NP1070" s="2113" t="s">
        <v>6761</v>
      </c>
    </row>
    <row r="1071" spans="2:380" s="1818" customFormat="1" ht="15.6" customHeight="1">
      <c r="B1071" s="1818" t="s">
        <v>1534</v>
      </c>
      <c r="D1071" s="2192"/>
      <c r="F1071" s="2189">
        <f>'Part VI-Revenues &amp; Expenses'!F231</f>
        <v>1920</v>
      </c>
      <c r="G1071" s="2189"/>
      <c r="I1071" s="1818" t="s">
        <v>1326</v>
      </c>
      <c r="K1071" s="1857" t="s">
        <v>4067</v>
      </c>
      <c r="O1071" s="1818" t="s">
        <v>3207</v>
      </c>
      <c r="Q1071" s="2194">
        <f>'Part VI-Revenues &amp; Expenses'!Q231</f>
        <v>12000</v>
      </c>
      <c r="S1071" s="2043"/>
      <c r="T1071" s="2043"/>
      <c r="U1071" s="2043"/>
      <c r="V1071" s="2043"/>
      <c r="W1071" s="2043"/>
      <c r="X1071" s="1852"/>
      <c r="AC1071" s="1852"/>
      <c r="AH1071" s="1852"/>
      <c r="AM1071" s="1852"/>
      <c r="JW1071" s="2108"/>
      <c r="KB1071" s="2108"/>
      <c r="KG1071" s="2108"/>
      <c r="KL1071" s="2108"/>
      <c r="KM1071" s="2108"/>
      <c r="KN1071" s="2108"/>
      <c r="KO1071" s="2108"/>
      <c r="KP1071" s="2108"/>
      <c r="KQ1071" s="2108"/>
      <c r="KR1071" s="2108"/>
      <c r="KS1071" s="2108"/>
      <c r="KT1071" s="2108"/>
      <c r="KU1071" s="2108"/>
      <c r="KV1071" s="2108"/>
      <c r="KW1071" s="2108"/>
      <c r="KX1071" s="2108"/>
      <c r="KY1071" s="2108"/>
      <c r="KZ1071" s="2108"/>
      <c r="LA1071" s="2108"/>
      <c r="LB1071" s="2108"/>
      <c r="LC1071" s="2108"/>
      <c r="LD1071" s="2108"/>
      <c r="LE1071" s="2108"/>
      <c r="LF1071" s="2108"/>
      <c r="LG1071" s="2108"/>
      <c r="NP1071" s="2113"/>
    </row>
    <row r="1072" spans="2:380" s="1818" customFormat="1" ht="15.6" customHeight="1">
      <c r="B1072" s="2111" t="str">
        <f>'Part VI-Revenues &amp; Expenses'!B232</f>
        <v>Other (Bank Fees)</v>
      </c>
      <c r="C1072" s="2111"/>
      <c r="D1072" s="2111"/>
      <c r="E1072" s="2111"/>
      <c r="F1072" s="2189">
        <f>'Part VI-Revenues &amp; Expenses'!F232</f>
        <v>500</v>
      </c>
      <c r="G1072" s="2189"/>
      <c r="I1072" s="1818" t="s">
        <v>1319</v>
      </c>
      <c r="K1072" s="2010">
        <f>L1072/12/P907</f>
        <v>9.1666666666666661</v>
      </c>
      <c r="L1072" s="2189">
        <f>'Part VI-Revenues &amp; Expenses'!L232</f>
        <v>5280</v>
      </c>
      <c r="M1072" s="2189"/>
      <c r="N1072" s="1719" t="str">
        <f>IF(Q1071&lt;Q1080, "WARNING! RR proposed is below the DCA required minimum.","")</f>
        <v/>
      </c>
      <c r="O1072" s="435" t="s">
        <v>4066</v>
      </c>
      <c r="Q1072" s="2195">
        <f>Q1071/P1080</f>
        <v>250</v>
      </c>
      <c r="R1072" s="2174"/>
      <c r="S1072" s="2043"/>
      <c r="T1072" s="2043"/>
      <c r="U1072" s="2043"/>
      <c r="V1072" s="2043"/>
      <c r="W1072" s="2043"/>
      <c r="X1072" s="1852"/>
      <c r="AC1072" s="1852"/>
      <c r="AH1072" s="1852"/>
      <c r="AM1072" s="1852"/>
      <c r="JW1072" s="2108"/>
      <c r="KB1072" s="2108"/>
      <c r="KG1072" s="2108"/>
      <c r="KL1072" s="2108"/>
      <c r="KM1072" s="2108"/>
      <c r="KN1072" s="2108"/>
      <c r="KO1072" s="2108"/>
      <c r="KP1072" s="2108"/>
      <c r="KQ1072" s="2108"/>
      <c r="KR1072" s="2108"/>
      <c r="KS1072" s="2108"/>
      <c r="KT1072" s="2108"/>
      <c r="KU1072" s="2108"/>
      <c r="KV1072" s="2108"/>
      <c r="KW1072" s="2108"/>
      <c r="KX1072" s="2108"/>
      <c r="KY1072" s="2108"/>
      <c r="KZ1072" s="2108"/>
      <c r="LA1072" s="2108"/>
      <c r="LB1072" s="2108"/>
      <c r="LC1072" s="2108"/>
      <c r="LD1072" s="2108"/>
      <c r="LE1072" s="2108"/>
      <c r="LF1072" s="2108"/>
      <c r="LG1072" s="2108"/>
      <c r="NP1072" s="2113"/>
    </row>
    <row r="1073" spans="1:380" s="1818" customFormat="1" ht="15.6" customHeight="1">
      <c r="E1073" s="2191" t="s">
        <v>183</v>
      </c>
      <c r="F1073" s="2171">
        <f>SUM(F1067:G1072)</f>
        <v>19012</v>
      </c>
      <c r="G1073" s="2171"/>
      <c r="I1073" s="1818" t="s">
        <v>1320</v>
      </c>
      <c r="K1073" s="2010">
        <f>L1073/12/P907</f>
        <v>0</v>
      </c>
      <c r="L1073" s="2189">
        <f>'Part VI-Revenues &amp; Expenses'!L233</f>
        <v>0</v>
      </c>
      <c r="M1073" s="2189"/>
      <c r="N1073" s="1719"/>
      <c r="O1073" s="2196" t="s">
        <v>3364</v>
      </c>
      <c r="P1073" s="2196"/>
      <c r="Q1073" s="2196"/>
      <c r="S1073" s="2043"/>
      <c r="T1073" s="2043"/>
      <c r="U1073" s="2043"/>
      <c r="V1073" s="2043"/>
      <c r="W1073" s="2043"/>
      <c r="X1073" s="1852"/>
      <c r="AC1073" s="1852"/>
      <c r="AH1073" s="1852"/>
      <c r="AM1073" s="1852"/>
      <c r="JW1073" s="2108"/>
      <c r="KB1073" s="2108"/>
      <c r="KG1073" s="2108"/>
      <c r="KL1073" s="2108"/>
      <c r="KM1073" s="2108"/>
      <c r="KN1073" s="2108"/>
      <c r="KO1073" s="2108"/>
      <c r="KP1073" s="2108"/>
      <c r="KQ1073" s="2108"/>
      <c r="KR1073" s="2108"/>
      <c r="KS1073" s="2108"/>
      <c r="KT1073" s="2108"/>
      <c r="KU1073" s="2108"/>
      <c r="KV1073" s="2108"/>
      <c r="KW1073" s="2108"/>
      <c r="KX1073" s="2108"/>
      <c r="KY1073" s="2108"/>
      <c r="KZ1073" s="2108"/>
      <c r="LA1073" s="2108"/>
      <c r="LB1073" s="2108"/>
      <c r="LC1073" s="2108"/>
      <c r="LD1073" s="2108"/>
      <c r="LE1073" s="2108"/>
      <c r="LF1073" s="2108"/>
      <c r="LG1073" s="2108"/>
      <c r="NP1073" s="2113"/>
    </row>
    <row r="1074" spans="1:380" s="1818" customFormat="1" ht="15" customHeight="1">
      <c r="D1074" s="2191"/>
      <c r="F1074" s="2152"/>
      <c r="G1074" s="2152"/>
      <c r="I1074" s="1818" t="s">
        <v>4124</v>
      </c>
      <c r="K1074" s="2010">
        <f>L1074/12/P907</f>
        <v>6.666666666666667</v>
      </c>
      <c r="L1074" s="2189">
        <f>'Part VI-Revenues &amp; Expenses'!L234</f>
        <v>3840</v>
      </c>
      <c r="M1074" s="2189"/>
      <c r="N1074" s="1719"/>
      <c r="O1074" s="2197" t="s">
        <v>2562</v>
      </c>
      <c r="P1074" s="2198" t="s">
        <v>3421</v>
      </c>
      <c r="Q1074" s="2198" t="s">
        <v>3175</v>
      </c>
      <c r="S1074" s="2043"/>
      <c r="T1074" s="2043"/>
      <c r="U1074" s="2043"/>
      <c r="V1074" s="2043"/>
      <c r="W1074" s="2043"/>
      <c r="JW1074" s="2108"/>
      <c r="KB1074" s="2108"/>
      <c r="KG1074" s="2108"/>
      <c r="KL1074" s="2108"/>
      <c r="KM1074" s="2108"/>
      <c r="KN1074" s="2108"/>
      <c r="KO1074" s="2108"/>
      <c r="KP1074" s="2108"/>
      <c r="KQ1074" s="2108"/>
      <c r="KR1074" s="2108"/>
      <c r="KS1074" s="2108"/>
      <c r="KT1074" s="2108"/>
      <c r="KU1074" s="2108"/>
      <c r="KV1074" s="2108"/>
      <c r="KW1074" s="2108"/>
      <c r="KX1074" s="2108"/>
      <c r="KY1074" s="2108"/>
      <c r="KZ1074" s="2108"/>
      <c r="LA1074" s="2108"/>
      <c r="LB1074" s="2108"/>
      <c r="LC1074" s="2108"/>
      <c r="LD1074" s="2108"/>
      <c r="LE1074" s="2108"/>
      <c r="LF1074" s="2108"/>
      <c r="LG1074" s="2108"/>
      <c r="NP1074" s="2113" t="s">
        <v>6694</v>
      </c>
    </row>
    <row r="1075" spans="1:380" s="1818" customFormat="1" ht="15.75" customHeight="1">
      <c r="B1075" s="1818" t="s">
        <v>1245</v>
      </c>
      <c r="D1075" s="2192"/>
      <c r="I1075" s="1818" t="s">
        <v>1322</v>
      </c>
      <c r="L1075" s="2189">
        <f>'Part VI-Revenues &amp; Expenses'!L235</f>
        <v>7400</v>
      </c>
      <c r="M1075" s="2189"/>
      <c r="N1075" s="1719"/>
      <c r="O1075" s="1967" t="s">
        <v>36</v>
      </c>
      <c r="R1075" s="2188"/>
      <c r="S1075" s="2043"/>
      <c r="T1075" s="2043"/>
      <c r="U1075" s="2043"/>
      <c r="V1075" s="2043"/>
      <c r="W1075" s="2043"/>
      <c r="X1075" s="1852"/>
      <c r="AC1075" s="1852"/>
      <c r="AH1075" s="1852"/>
      <c r="AM1075" s="1852"/>
      <c r="JW1075" s="2108"/>
      <c r="KB1075" s="2108"/>
      <c r="KG1075" s="2108"/>
      <c r="KL1075" s="2108"/>
      <c r="KM1075" s="2108"/>
      <c r="KN1075" s="2108"/>
      <c r="KO1075" s="2108"/>
      <c r="KP1075" s="2108"/>
      <c r="KQ1075" s="2108"/>
      <c r="KR1075" s="2108"/>
      <c r="KS1075" s="2108"/>
      <c r="KT1075" s="2108"/>
      <c r="KU1075" s="2108"/>
      <c r="KV1075" s="2108"/>
      <c r="KW1075" s="2108"/>
      <c r="KX1075" s="2108"/>
      <c r="KY1075" s="2108"/>
      <c r="KZ1075" s="2108"/>
      <c r="LA1075" s="2108"/>
      <c r="LB1075" s="2108"/>
      <c r="LC1075" s="2108"/>
      <c r="LD1075" s="2108"/>
      <c r="LE1075" s="2108"/>
      <c r="LF1075" s="2108"/>
      <c r="LG1075" s="2108"/>
      <c r="NP1075" s="2113"/>
    </row>
    <row r="1076" spans="1:380" s="1818" customFormat="1" ht="15.6" customHeight="1">
      <c r="B1076" s="1818" t="s">
        <v>1538</v>
      </c>
      <c r="D1076" s="2192"/>
      <c r="F1076" s="2189">
        <f>'Part VI-Revenues &amp; Expenses'!F236</f>
        <v>0</v>
      </c>
      <c r="G1076" s="2189"/>
      <c r="I1076" s="2193" t="str">
        <f>'Part VI-Revenues &amp; Expenses'!I236</f>
        <v>Other (describe here)</v>
      </c>
      <c r="J1076" s="2193"/>
      <c r="K1076" s="2193"/>
      <c r="L1076" s="2189">
        <f>'Part VI-Revenues &amp; Expenses'!L236</f>
        <v>0</v>
      </c>
      <c r="M1076" s="2189"/>
      <c r="N1076" s="1719"/>
      <c r="O1076" s="1864" t="s">
        <v>3173</v>
      </c>
      <c r="P1076" s="2199" t="str">
        <f>CONCATENATE(SUM(MF889:MJ889)," units x $",'DCA Underwriting Assumptions'!$Q$68," =")</f>
        <v>0 units x $350 =</v>
      </c>
      <c r="Q1076" s="2199">
        <f>SUM(MF889:MJ889)*'DCA Underwriting Assumptions'!$Q$68</f>
        <v>0</v>
      </c>
      <c r="R1076" s="2194"/>
      <c r="S1076" s="2043"/>
      <c r="T1076" s="2043"/>
      <c r="U1076" s="2043"/>
      <c r="V1076" s="2043"/>
      <c r="W1076" s="2043"/>
      <c r="X1076" s="1852"/>
      <c r="AC1076" s="1852"/>
      <c r="AH1076" s="1852"/>
      <c r="AM1076" s="1852"/>
      <c r="JW1076" s="2108"/>
      <c r="KB1076" s="2108"/>
      <c r="KG1076" s="2108"/>
      <c r="KL1076" s="2108"/>
      <c r="KM1076" s="2108"/>
      <c r="KN1076" s="2108"/>
      <c r="KO1076" s="2108"/>
      <c r="KP1076" s="2108"/>
      <c r="KQ1076" s="2108"/>
      <c r="KR1076" s="2108"/>
      <c r="KS1076" s="2108"/>
      <c r="KT1076" s="2108"/>
      <c r="KU1076" s="2108"/>
      <c r="KV1076" s="2108"/>
      <c r="KW1076" s="2108"/>
      <c r="KX1076" s="2108"/>
      <c r="KY1076" s="2108"/>
      <c r="KZ1076" s="2108"/>
      <c r="LA1076" s="2108"/>
      <c r="LB1076" s="2108"/>
      <c r="LC1076" s="2108"/>
      <c r="LD1076" s="2108"/>
      <c r="LE1076" s="2108"/>
      <c r="LF1076" s="2108"/>
      <c r="LG1076" s="2108"/>
      <c r="NP1076" s="2113"/>
    </row>
    <row r="1077" spans="1:380" s="1818" customFormat="1" ht="15.6" customHeight="1">
      <c r="B1077" s="1818" t="s">
        <v>1539</v>
      </c>
      <c r="D1077" s="2192"/>
      <c r="F1077" s="2189">
        <f>'Part VI-Revenues &amp; Expenses'!F237</f>
        <v>3120</v>
      </c>
      <c r="G1077" s="2189"/>
      <c r="K1077" s="2191" t="s">
        <v>183</v>
      </c>
      <c r="L1077" s="2174">
        <f>SUM(L1072:L1076)</f>
        <v>16520</v>
      </c>
      <c r="M1077" s="2174"/>
      <c r="N1077" s="1719"/>
      <c r="O1077" s="1864" t="s">
        <v>3172</v>
      </c>
      <c r="P1077" s="2199" t="str">
        <f>CONCATENATE(SUM(MK889:MO889)," units x $",'DCA Underwriting Assumptions'!$Q$69," =")</f>
        <v>48 units x $250 =</v>
      </c>
      <c r="Q1077" s="2199">
        <f>SUM(MK889:MO889)*'DCA Underwriting Assumptions'!$Q$69</f>
        <v>12000</v>
      </c>
      <c r="S1077" s="2043"/>
      <c r="T1077" s="2043"/>
      <c r="U1077" s="2043"/>
      <c r="V1077" s="2043"/>
      <c r="W1077" s="2043"/>
      <c r="X1077" s="1852"/>
      <c r="AC1077" s="1852"/>
      <c r="AH1077" s="1852"/>
      <c r="AM1077" s="1852"/>
      <c r="JW1077" s="2108"/>
      <c r="KB1077" s="2108"/>
      <c r="KG1077" s="2108"/>
      <c r="KL1077" s="2108"/>
      <c r="KM1077" s="2108"/>
      <c r="KN1077" s="2108"/>
      <c r="KO1077" s="2108"/>
      <c r="KP1077" s="2108"/>
      <c r="KQ1077" s="2108"/>
      <c r="KR1077" s="2108"/>
      <c r="KS1077" s="2108"/>
      <c r="KT1077" s="2108"/>
      <c r="KU1077" s="2108"/>
      <c r="KV1077" s="2108"/>
      <c r="KW1077" s="2108"/>
      <c r="KX1077" s="2108"/>
      <c r="KY1077" s="2108"/>
      <c r="KZ1077" s="2108"/>
      <c r="LA1077" s="2108"/>
      <c r="LB1077" s="2108"/>
      <c r="LC1077" s="2108"/>
      <c r="LD1077" s="2108"/>
      <c r="LE1077" s="2108"/>
      <c r="LF1077" s="2108"/>
      <c r="LG1077" s="2108"/>
      <c r="NP1077" s="2113"/>
    </row>
    <row r="1078" spans="1:380" s="1818" customFormat="1" ht="15.6" customHeight="1">
      <c r="B1078" s="1818" t="s">
        <v>1540</v>
      </c>
      <c r="D1078" s="2192"/>
      <c r="F1078" s="2189">
        <f>'Part VI-Revenues &amp; Expenses'!F238</f>
        <v>6400</v>
      </c>
      <c r="G1078" s="2189"/>
      <c r="N1078" s="1719"/>
      <c r="O1078" s="1864" t="s">
        <v>6836</v>
      </c>
      <c r="P1078" s="2199" t="str">
        <f>CONCATENATE(SUM(MP889:MT889)," units x $",'DCA Underwriting Assumptions'!$Q$70," =")</f>
        <v>0 units x $420 =</v>
      </c>
      <c r="Q1078" s="2199">
        <f>SUM(MP889:MT889)*'DCA Underwriting Assumptions'!$Q$70</f>
        <v>0</v>
      </c>
      <c r="R1078" s="2198"/>
      <c r="S1078" s="2043"/>
      <c r="T1078" s="2043"/>
      <c r="U1078" s="2043"/>
      <c r="V1078" s="2043"/>
      <c r="W1078" s="2043"/>
      <c r="X1078" s="1852"/>
      <c r="AC1078" s="1852"/>
      <c r="AH1078" s="1852"/>
      <c r="AM1078" s="1852"/>
      <c r="JW1078" s="2108"/>
      <c r="KB1078" s="2108"/>
      <c r="KG1078" s="2108"/>
      <c r="KL1078" s="2108"/>
      <c r="KM1078" s="2108"/>
      <c r="KN1078" s="2108"/>
      <c r="KO1078" s="2108"/>
      <c r="KP1078" s="2108"/>
      <c r="KQ1078" s="2108"/>
      <c r="KR1078" s="2108"/>
      <c r="KS1078" s="2108"/>
      <c r="KT1078" s="2108"/>
      <c r="KU1078" s="2108"/>
      <c r="KV1078" s="2108"/>
      <c r="KW1078" s="2108"/>
      <c r="KX1078" s="2108"/>
      <c r="KY1078" s="2108"/>
      <c r="KZ1078" s="2108"/>
      <c r="LA1078" s="2108"/>
      <c r="LB1078" s="2108"/>
      <c r="LC1078" s="2108"/>
      <c r="LD1078" s="2108"/>
      <c r="LE1078" s="2108"/>
      <c r="LF1078" s="2108"/>
      <c r="LG1078" s="2108"/>
      <c r="NP1078" s="2113"/>
    </row>
    <row r="1079" spans="1:380" s="1818" customFormat="1" ht="15.6" customHeight="1">
      <c r="B1079" s="1818" t="s">
        <v>964</v>
      </c>
      <c r="D1079" s="2192"/>
      <c r="F1079" s="2189">
        <f>'Part VI-Revenues &amp; Expenses'!F239</f>
        <v>2240</v>
      </c>
      <c r="G1079" s="2189"/>
      <c r="O1079" s="1864" t="s">
        <v>3171</v>
      </c>
      <c r="P1079" s="2199" t="str">
        <f>CONCATENATE(P965," units x $",'DCA Underwriting Assumptions'!$Q$70," =")</f>
        <v>0 units x $420 =</v>
      </c>
      <c r="Q1079" s="2199">
        <f>P965*'DCA Underwriting Assumptions'!$Q$70</f>
        <v>0</v>
      </c>
      <c r="S1079" s="2043"/>
      <c r="T1079" s="2043"/>
      <c r="U1079" s="2043"/>
      <c r="V1079" s="2043"/>
      <c r="W1079" s="2043"/>
      <c r="X1079" s="1852"/>
      <c r="AC1079" s="1852"/>
      <c r="AH1079" s="1852"/>
      <c r="AM1079" s="1852"/>
      <c r="JW1079" s="2108"/>
      <c r="KB1079" s="2108"/>
      <c r="KG1079" s="2108"/>
      <c r="KL1079" s="2108"/>
      <c r="KM1079" s="2108"/>
      <c r="KN1079" s="2108"/>
      <c r="KO1079" s="2108"/>
      <c r="KP1079" s="2108"/>
      <c r="KQ1079" s="2108"/>
      <c r="KR1079" s="2108"/>
      <c r="KS1079" s="2108"/>
      <c r="KT1079" s="2108"/>
      <c r="KU1079" s="2108"/>
      <c r="KV1079" s="2108"/>
      <c r="KW1079" s="2108"/>
      <c r="KX1079" s="2108"/>
      <c r="KY1079" s="2108"/>
      <c r="KZ1079" s="2108"/>
      <c r="LA1079" s="2108"/>
      <c r="LB1079" s="2108"/>
      <c r="LC1079" s="2108"/>
      <c r="LD1079" s="2108"/>
      <c r="LE1079" s="2108"/>
      <c r="LF1079" s="2108"/>
      <c r="LG1079" s="2108"/>
      <c r="NP1079" s="2113" t="s">
        <v>6762</v>
      </c>
    </row>
    <row r="1080" spans="1:380" s="1818" customFormat="1" ht="15.6" customHeight="1">
      <c r="B1080" s="1818" t="s">
        <v>965</v>
      </c>
      <c r="D1080" s="2192"/>
      <c r="F1080" s="2189">
        <f>'Part VI-Revenues &amp; Expenses'!F240</f>
        <v>6000</v>
      </c>
      <c r="G1080" s="2189"/>
      <c r="I1080" s="1818" t="s">
        <v>1327</v>
      </c>
      <c r="O1080" s="2141" t="s">
        <v>2565</v>
      </c>
      <c r="P1080" s="2200">
        <f>SUM(MF889:MJ889)+SUM(MK889:MO889)+SUM(MP889:MT889)+P965</f>
        <v>48</v>
      </c>
      <c r="Q1080" s="2200">
        <f>SUM(Q1076:Q1079)</f>
        <v>12000</v>
      </c>
      <c r="R1080" s="2199"/>
      <c r="S1080" s="2043"/>
      <c r="T1080" s="2043"/>
      <c r="U1080" s="2043"/>
      <c r="V1080" s="2043"/>
      <c r="W1080" s="2043"/>
      <c r="X1080" s="1852"/>
      <c r="AC1080" s="1852"/>
      <c r="AH1080" s="1852"/>
      <c r="AM1080" s="1852"/>
      <c r="JW1080" s="2108"/>
      <c r="KB1080" s="2108"/>
      <c r="KG1080" s="2108"/>
      <c r="KL1080" s="2108"/>
      <c r="KM1080" s="2108"/>
      <c r="KN1080" s="2108"/>
      <c r="KO1080" s="2108"/>
      <c r="KP1080" s="2108"/>
      <c r="KQ1080" s="2108"/>
      <c r="KR1080" s="2108"/>
      <c r="KS1080" s="2108"/>
      <c r="KT1080" s="2108"/>
      <c r="KU1080" s="2108"/>
      <c r="KV1080" s="2108"/>
      <c r="KW1080" s="2108"/>
      <c r="KX1080" s="2108"/>
      <c r="KY1080" s="2108"/>
      <c r="KZ1080" s="2108"/>
      <c r="LA1080" s="2108"/>
      <c r="LB1080" s="2108"/>
      <c r="LC1080" s="2108"/>
      <c r="LD1080" s="2108"/>
      <c r="LE1080" s="2108"/>
      <c r="LF1080" s="2108"/>
      <c r="LG1080" s="2108"/>
      <c r="NP1080" s="2113"/>
    </row>
    <row r="1081" spans="1:380" s="1818" customFormat="1" ht="15.6" customHeight="1">
      <c r="B1081" s="1818" t="s">
        <v>966</v>
      </c>
      <c r="D1081" s="2192"/>
      <c r="F1081" s="2189">
        <f>'Part VI-Revenues &amp; Expenses'!F241</f>
        <v>0</v>
      </c>
      <c r="G1081" s="2189"/>
      <c r="I1081" s="1818" t="s">
        <v>7143</v>
      </c>
      <c r="L1081" s="2189">
        <f>'Part VI-Revenues &amp; Expenses'!L241</f>
        <v>32016</v>
      </c>
      <c r="M1081" s="2189"/>
      <c r="R1081" s="2199"/>
      <c r="S1081" s="2043"/>
      <c r="T1081" s="2043"/>
      <c r="U1081" s="2043"/>
      <c r="V1081" s="2043"/>
      <c r="W1081" s="2043"/>
      <c r="X1081" s="1852"/>
      <c r="AC1081" s="1852"/>
      <c r="AH1081" s="1852"/>
      <c r="AM1081" s="1852"/>
      <c r="JW1081" s="2108"/>
      <c r="KB1081" s="2108"/>
      <c r="KG1081" s="2108"/>
      <c r="KL1081" s="2108"/>
      <c r="KM1081" s="2108"/>
      <c r="KN1081" s="2108"/>
      <c r="KO1081" s="2108"/>
      <c r="KP1081" s="2108"/>
      <c r="KQ1081" s="2108"/>
      <c r="KR1081" s="2108"/>
      <c r="KS1081" s="2108"/>
      <c r="KT1081" s="2108"/>
      <c r="KU1081" s="2108"/>
      <c r="KV1081" s="2108"/>
      <c r="KW1081" s="2108"/>
      <c r="KX1081" s="2108"/>
      <c r="KY1081" s="2108"/>
      <c r="KZ1081" s="2108"/>
      <c r="LA1081" s="2108"/>
      <c r="LB1081" s="2108"/>
      <c r="LC1081" s="2108"/>
      <c r="LD1081" s="2108"/>
      <c r="LE1081" s="2108"/>
      <c r="LF1081" s="2108"/>
      <c r="LG1081" s="2108"/>
      <c r="NP1081" s="2113"/>
    </row>
    <row r="1082" spans="1:380" s="1818" customFormat="1" ht="15.6" customHeight="1">
      <c r="B1082" s="1818" t="s">
        <v>835</v>
      </c>
      <c r="D1082" s="2192"/>
      <c r="F1082" s="2189">
        <f>'Part VI-Revenues &amp; Expenses'!F242</f>
        <v>5760</v>
      </c>
      <c r="G1082" s="2189"/>
      <c r="I1082" s="1818" t="s">
        <v>139</v>
      </c>
      <c r="L1082" s="2189">
        <f>'Part VI-Revenues &amp; Expenses'!L242</f>
        <v>19500</v>
      </c>
      <c r="M1082" s="2189"/>
      <c r="R1082" s="2199"/>
      <c r="S1082" s="2043"/>
      <c r="T1082" s="2043"/>
      <c r="U1082" s="2043"/>
      <c r="V1082" s="2043"/>
      <c r="W1082" s="2043"/>
      <c r="X1082" s="1852"/>
      <c r="AC1082" s="1852"/>
      <c r="AH1082" s="1852"/>
      <c r="AM1082" s="1852"/>
      <c r="JW1082" s="2108"/>
      <c r="KB1082" s="2108"/>
      <c r="KG1082" s="2108"/>
      <c r="KL1082" s="2108"/>
      <c r="KM1082" s="2108"/>
      <c r="KN1082" s="2108"/>
      <c r="KO1082" s="2108"/>
      <c r="KP1082" s="2108"/>
      <c r="KQ1082" s="2108"/>
      <c r="KR1082" s="2108"/>
      <c r="KS1082" s="2108"/>
      <c r="KT1082" s="2108"/>
      <c r="KU1082" s="2108"/>
      <c r="KV1082" s="2108"/>
      <c r="KW1082" s="2108"/>
      <c r="KX1082" s="2108"/>
      <c r="KY1082" s="2108"/>
      <c r="KZ1082" s="2108"/>
      <c r="LA1082" s="2108"/>
      <c r="LB1082" s="2108"/>
      <c r="LC1082" s="2108"/>
      <c r="LD1082" s="2108"/>
      <c r="LE1082" s="2108"/>
      <c r="LF1082" s="2108"/>
      <c r="LG1082" s="2108"/>
      <c r="NP1082" s="2113"/>
    </row>
    <row r="1083" spans="1:380" s="1818" customFormat="1" ht="15.6" customHeight="1">
      <c r="B1083" s="2111" t="str">
        <f>'Part VI-Revenues &amp; Expenses'!B243</f>
        <v>Other (describe here)</v>
      </c>
      <c r="C1083" s="2111"/>
      <c r="D1083" s="2111"/>
      <c r="E1083" s="2111"/>
      <c r="F1083" s="2189">
        <f>'Part VI-Revenues &amp; Expenses'!F243</f>
        <v>0</v>
      </c>
      <c r="G1083" s="2189"/>
      <c r="I1083" s="2193" t="str">
        <f>'Part VI-Revenues &amp; Expenses'!I243</f>
        <v>Other (describe here)</v>
      </c>
      <c r="J1083" s="2193"/>
      <c r="K1083" s="2193"/>
      <c r="L1083" s="2189">
        <f>'Part VI-Revenues &amp; Expenses'!L243</f>
        <v>0</v>
      </c>
      <c r="M1083" s="2189"/>
      <c r="R1083" s="2199"/>
      <c r="S1083" s="2043"/>
      <c r="T1083" s="2043"/>
      <c r="U1083" s="2043"/>
      <c r="V1083" s="2043"/>
      <c r="W1083" s="2043"/>
      <c r="X1083" s="1852"/>
      <c r="AC1083" s="1852"/>
      <c r="AH1083" s="1852"/>
      <c r="AM1083" s="1852"/>
      <c r="JW1083" s="2108"/>
      <c r="KB1083" s="2108"/>
      <c r="KG1083" s="2108"/>
      <c r="KL1083" s="2108"/>
      <c r="KM1083" s="2108"/>
      <c r="KN1083" s="2108"/>
      <c r="KO1083" s="2108"/>
      <c r="KP1083" s="2108"/>
      <c r="KQ1083" s="2108"/>
      <c r="KR1083" s="2108"/>
      <c r="KS1083" s="2108"/>
      <c r="KT1083" s="2108"/>
      <c r="KU1083" s="2108"/>
      <c r="KV1083" s="2108"/>
      <c r="KW1083" s="2108"/>
      <c r="KX1083" s="2108"/>
      <c r="KY1083" s="2108"/>
      <c r="KZ1083" s="2108"/>
      <c r="LA1083" s="2108"/>
      <c r="LB1083" s="2108"/>
      <c r="LC1083" s="2108"/>
      <c r="LD1083" s="2108"/>
      <c r="LE1083" s="2108"/>
      <c r="LF1083" s="2108"/>
      <c r="LG1083" s="2108"/>
      <c r="NP1083" s="2113" t="s">
        <v>6763</v>
      </c>
    </row>
    <row r="1084" spans="1:380" s="1818" customFormat="1" ht="15.6" customHeight="1">
      <c r="E1084" s="2191" t="s">
        <v>183</v>
      </c>
      <c r="F1084" s="2171">
        <f>SUM(F1076:G1083)</f>
        <v>23520</v>
      </c>
      <c r="G1084" s="2171"/>
      <c r="K1084" s="2191" t="s">
        <v>183</v>
      </c>
      <c r="L1084" s="2174">
        <f>SUM(L1080:L1083)</f>
        <v>51516</v>
      </c>
      <c r="M1084" s="2174"/>
      <c r="O1084" s="1818" t="s">
        <v>2093</v>
      </c>
      <c r="Q1084" s="2174">
        <f>Q1065+Q1071</f>
        <v>202922</v>
      </c>
      <c r="R1084" s="2199"/>
      <c r="S1084" s="2043"/>
      <c r="T1084" s="2043"/>
      <c r="U1084" s="2043"/>
      <c r="V1084" s="2043"/>
      <c r="W1084" s="2043"/>
      <c r="X1084" s="1852"/>
      <c r="AC1084" s="1852"/>
      <c r="AH1084" s="1852"/>
      <c r="AM1084" s="1852"/>
      <c r="JW1084" s="2108"/>
      <c r="KB1084" s="2108"/>
      <c r="KG1084" s="2108"/>
      <c r="KL1084" s="2108"/>
      <c r="KM1084" s="2108"/>
      <c r="KN1084" s="2108"/>
      <c r="KO1084" s="2108"/>
      <c r="KP1084" s="2108"/>
      <c r="KQ1084" s="2108"/>
      <c r="KR1084" s="2108"/>
      <c r="KS1084" s="2108"/>
      <c r="KT1084" s="2108"/>
      <c r="KU1084" s="2108"/>
      <c r="KV1084" s="2108"/>
      <c r="KW1084" s="2108"/>
      <c r="KX1084" s="2108"/>
      <c r="KY1084" s="2108"/>
      <c r="KZ1084" s="2108"/>
      <c r="LA1084" s="2108"/>
      <c r="LB1084" s="2108"/>
      <c r="LC1084" s="2108"/>
      <c r="LD1084" s="2108"/>
      <c r="LE1084" s="2108"/>
      <c r="LF1084" s="2108"/>
      <c r="LG1084" s="2108"/>
      <c r="NP1084" s="2113"/>
    </row>
    <row r="1085" spans="1:380" s="1818" customFormat="1" ht="6" customHeight="1">
      <c r="C1085" s="2191"/>
      <c r="F1085" s="2152"/>
      <c r="G1085" s="2152"/>
      <c r="K1085" s="2152"/>
      <c r="X1085" s="1852"/>
      <c r="AC1085" s="1852"/>
      <c r="AH1085" s="1852"/>
      <c r="AM1085" s="1852"/>
      <c r="JW1085" s="2108"/>
      <c r="KB1085" s="2108"/>
      <c r="KG1085" s="2108"/>
      <c r="KL1085" s="2108"/>
      <c r="KM1085" s="2108"/>
      <c r="KN1085" s="2108"/>
      <c r="KO1085" s="2108"/>
      <c r="KP1085" s="2108"/>
      <c r="KQ1085" s="2108"/>
      <c r="KR1085" s="2108"/>
      <c r="KS1085" s="2108"/>
      <c r="KT1085" s="2108"/>
      <c r="KU1085" s="2108"/>
      <c r="KV1085" s="2108"/>
      <c r="KW1085" s="2108"/>
      <c r="KX1085" s="2108"/>
      <c r="KY1085" s="2108"/>
      <c r="KZ1085" s="2108"/>
      <c r="LA1085" s="2108"/>
      <c r="LB1085" s="2108"/>
      <c r="LC1085" s="2108"/>
      <c r="LD1085" s="2108"/>
      <c r="LE1085" s="2108"/>
      <c r="LF1085" s="2108"/>
      <c r="LG1085" s="2108"/>
      <c r="NP1085" s="2113"/>
    </row>
    <row r="1086" spans="1:380" s="1818" customFormat="1" ht="15.6" customHeight="1">
      <c r="C1086" s="2191"/>
      <c r="F1086" s="2152"/>
      <c r="G1086" s="2152"/>
      <c r="K1086" s="2152"/>
      <c r="R1086" s="2174"/>
      <c r="X1086" s="1852"/>
      <c r="AC1086" s="1852"/>
      <c r="AH1086" s="1852"/>
      <c r="AM1086" s="1852"/>
      <c r="JW1086" s="2108"/>
      <c r="KB1086" s="2108"/>
      <c r="KG1086" s="2108"/>
      <c r="KL1086" s="2108"/>
      <c r="KM1086" s="2108"/>
      <c r="KN1086" s="2108"/>
      <c r="KO1086" s="2108"/>
      <c r="KP1086" s="2108"/>
      <c r="KQ1086" s="2108"/>
      <c r="KR1086" s="2108"/>
      <c r="KS1086" s="2108"/>
      <c r="KT1086" s="2108"/>
      <c r="KU1086" s="2108"/>
      <c r="KV1086" s="2108"/>
      <c r="KW1086" s="2108"/>
      <c r="KX1086" s="2108"/>
      <c r="KY1086" s="2108"/>
      <c r="KZ1086" s="2108"/>
      <c r="LA1086" s="2108"/>
      <c r="LB1086" s="2108"/>
      <c r="LC1086" s="2108"/>
      <c r="LD1086" s="2108"/>
      <c r="LE1086" s="2108"/>
      <c r="LF1086" s="2108"/>
      <c r="LG1086" s="2108"/>
      <c r="NP1086" s="2113"/>
    </row>
    <row r="1087" spans="1:380" s="1818" customFormat="1" ht="15" customHeight="1">
      <c r="C1087" s="2191"/>
      <c r="F1087" s="2152"/>
      <c r="G1087" s="2152"/>
      <c r="K1087" s="2152"/>
      <c r="Q1087" s="2174"/>
      <c r="R1087" s="2174"/>
      <c r="X1087" s="1852"/>
      <c r="AC1087" s="1852"/>
      <c r="AH1087" s="1852"/>
      <c r="AM1087" s="1852"/>
      <c r="JW1087" s="2108"/>
      <c r="KB1087" s="2108"/>
      <c r="KG1087" s="2108"/>
      <c r="KL1087" s="2108"/>
      <c r="KM1087" s="2108"/>
      <c r="KN1087" s="2108"/>
      <c r="KO1087" s="2108"/>
      <c r="KP1087" s="2108"/>
      <c r="KQ1087" s="2108"/>
      <c r="KR1087" s="2108"/>
      <c r="KS1087" s="2108"/>
      <c r="KT1087" s="2108"/>
      <c r="KU1087" s="2108"/>
      <c r="KV1087" s="2108"/>
      <c r="KW1087" s="2108"/>
      <c r="KX1087" s="2108"/>
      <c r="KY1087" s="2108"/>
      <c r="KZ1087" s="2108"/>
      <c r="LA1087" s="2108"/>
      <c r="LB1087" s="2108"/>
      <c r="LC1087" s="2108"/>
      <c r="LD1087" s="2108"/>
      <c r="LE1087" s="2108"/>
      <c r="LF1087" s="2108"/>
      <c r="LG1087" s="2108"/>
      <c r="NP1087" s="2113"/>
    </row>
    <row r="1088" spans="1:380" s="1818" customFormat="1" ht="15" customHeight="1">
      <c r="A1088" s="1852" t="s">
        <v>1713</v>
      </c>
      <c r="B1088" s="1818" t="s">
        <v>4056</v>
      </c>
      <c r="C1088" s="2191"/>
      <c r="H1088" s="2152"/>
      <c r="I1088" s="2201" t="s">
        <v>4057</v>
      </c>
      <c r="K1088" s="2182">
        <f>'Part VI-Revenues &amp; Expenses'!K248</f>
        <v>0</v>
      </c>
      <c r="L1088" s="2182"/>
      <c r="M1088" s="2105" t="s">
        <v>4094</v>
      </c>
      <c r="N1088" s="2122">
        <f>'Part VI-Revenues &amp; Expenses'!N248</f>
        <v>0</v>
      </c>
      <c r="O1088" s="1818" t="s">
        <v>4059</v>
      </c>
      <c r="Q1088" s="2122">
        <f>K1088*N1088</f>
        <v>0</v>
      </c>
      <c r="R1088" s="2174"/>
      <c r="S1088" s="2043"/>
      <c r="T1088" s="2043"/>
      <c r="U1088" s="2043"/>
      <c r="V1088" s="2043"/>
      <c r="W1088" s="2043"/>
      <c r="X1088" s="1852"/>
      <c r="AC1088" s="1852"/>
      <c r="AH1088" s="1852"/>
      <c r="AM1088" s="1852"/>
      <c r="JW1088" s="2108"/>
      <c r="KB1088" s="2108"/>
      <c r="KG1088" s="2108"/>
      <c r="KL1088" s="2108"/>
      <c r="KM1088" s="2108"/>
      <c r="KN1088" s="2108"/>
      <c r="KO1088" s="2108"/>
      <c r="KP1088" s="2108"/>
      <c r="KQ1088" s="2108"/>
      <c r="KR1088" s="2108"/>
      <c r="KS1088" s="2108"/>
      <c r="KT1088" s="2108"/>
      <c r="KU1088" s="2108"/>
      <c r="KV1088" s="2108"/>
      <c r="KW1088" s="2108"/>
      <c r="KX1088" s="2108"/>
      <c r="KY1088" s="2108"/>
      <c r="KZ1088" s="2108"/>
      <c r="LA1088" s="2108"/>
      <c r="LB1088" s="2108"/>
      <c r="LC1088" s="2108"/>
      <c r="LD1088" s="2108"/>
      <c r="LE1088" s="2108"/>
      <c r="LF1088" s="2108"/>
      <c r="LG1088" s="2108"/>
      <c r="NP1088" s="2113"/>
    </row>
    <row r="1089" spans="1:380" s="1818" customFormat="1" ht="6" customHeight="1">
      <c r="C1089" s="2191"/>
      <c r="F1089" s="2152"/>
      <c r="G1089" s="2152"/>
      <c r="K1089" s="2152"/>
      <c r="Q1089" s="2174"/>
      <c r="R1089" s="2174"/>
      <c r="X1089" s="1852"/>
      <c r="AC1089" s="1852"/>
      <c r="AH1089" s="1852"/>
      <c r="AM1089" s="1852"/>
      <c r="JW1089" s="2108"/>
      <c r="KB1089" s="2108"/>
      <c r="KG1089" s="2108"/>
      <c r="KL1089" s="2108"/>
      <c r="KM1089" s="2108"/>
      <c r="KN1089" s="2108"/>
      <c r="KO1089" s="2108"/>
      <c r="KP1089" s="2108"/>
      <c r="KQ1089" s="2108"/>
      <c r="KR1089" s="2108"/>
      <c r="KS1089" s="2108"/>
      <c r="KT1089" s="2108"/>
      <c r="KU1089" s="2108"/>
      <c r="KV1089" s="2108"/>
      <c r="KW1089" s="2108"/>
      <c r="KX1089" s="2108"/>
      <c r="KY1089" s="2108"/>
      <c r="KZ1089" s="2108"/>
      <c r="LA1089" s="2108"/>
      <c r="LB1089" s="2108"/>
      <c r="LC1089" s="2108"/>
      <c r="LD1089" s="2108"/>
      <c r="LE1089" s="2108"/>
      <c r="LF1089" s="2108"/>
      <c r="LG1089" s="2108"/>
      <c r="NP1089" s="2113"/>
    </row>
    <row r="1090" spans="1:380" s="1818" customFormat="1" ht="15" customHeight="1">
      <c r="B1090" s="1818" t="s">
        <v>4095</v>
      </c>
      <c r="C1090" s="2191"/>
      <c r="F1090" s="2152"/>
      <c r="G1090" s="2152"/>
      <c r="J1090" s="2110" t="str">
        <f>'Part VI-Revenues &amp; Expenses'!J250</f>
        <v>&lt;&lt;Select&gt;&gt;</v>
      </c>
      <c r="K1090" s="2201" t="s">
        <v>4097</v>
      </c>
      <c r="L1090" s="2110" t="str">
        <f>'Part VI-Revenues &amp; Expenses'!L250</f>
        <v>&lt;&lt;Select&gt;&gt;</v>
      </c>
      <c r="M1090" s="2108" t="s">
        <v>4098</v>
      </c>
      <c r="N1090" s="2122">
        <f>'Part VI-Revenues &amp; Expenses'!N250</f>
        <v>0</v>
      </c>
      <c r="O1090" s="1818" t="s">
        <v>4096</v>
      </c>
      <c r="Q1090" s="2122">
        <f>'Part VI-Revenues &amp; Expenses'!Q250</f>
        <v>0</v>
      </c>
      <c r="R1090" s="2174"/>
      <c r="S1090" s="2043"/>
      <c r="T1090" s="2043"/>
      <c r="U1090" s="2043"/>
      <c r="V1090" s="2043"/>
      <c r="W1090" s="2043"/>
      <c r="X1090" s="1852"/>
      <c r="AC1090" s="1852"/>
      <c r="AH1090" s="1852"/>
      <c r="AM1090" s="1852"/>
      <c r="JW1090" s="2108"/>
      <c r="KB1090" s="2108"/>
      <c r="KG1090" s="2108"/>
      <c r="KL1090" s="2108"/>
      <c r="KM1090" s="2108"/>
      <c r="KN1090" s="2108"/>
      <c r="KO1090" s="2108"/>
      <c r="KP1090" s="2108"/>
      <c r="KQ1090" s="2108"/>
      <c r="KR1090" s="2108"/>
      <c r="KS1090" s="2108"/>
      <c r="KT1090" s="2108"/>
      <c r="KU1090" s="2108"/>
      <c r="KV1090" s="2108"/>
      <c r="KW1090" s="2108"/>
      <c r="KX1090" s="2108"/>
      <c r="KY1090" s="2108"/>
      <c r="KZ1090" s="2108"/>
      <c r="LA1090" s="2108"/>
      <c r="LB1090" s="2108"/>
      <c r="LC1090" s="2108"/>
      <c r="LD1090" s="2108"/>
      <c r="LE1090" s="2108"/>
      <c r="LF1090" s="2108"/>
      <c r="LG1090" s="2108"/>
      <c r="NP1090" s="2113" t="s">
        <v>6764</v>
      </c>
    </row>
    <row r="1091" spans="1:380" s="1818" customFormat="1" ht="39" customHeight="1">
      <c r="C1091" s="2191"/>
      <c r="F1091" s="2152"/>
      <c r="G1091" s="2152"/>
      <c r="K1091" s="2152"/>
      <c r="Q1091" s="2174"/>
      <c r="R1091" s="2174"/>
      <c r="X1091" s="1852"/>
      <c r="AC1091" s="1852"/>
      <c r="AH1091" s="1852"/>
      <c r="AM1091" s="1852"/>
      <c r="JW1091" s="2108"/>
      <c r="KB1091" s="2108"/>
      <c r="KG1091" s="2108"/>
      <c r="KL1091" s="2108"/>
      <c r="KM1091" s="2108"/>
      <c r="KN1091" s="2108"/>
      <c r="KO1091" s="2108"/>
      <c r="KP1091" s="2108"/>
      <c r="KQ1091" s="2108"/>
      <c r="KR1091" s="2108"/>
      <c r="KS1091" s="2108"/>
      <c r="KT1091" s="2108"/>
      <c r="KU1091" s="2108"/>
      <c r="KV1091" s="2108"/>
      <c r="KW1091" s="2108"/>
      <c r="KX1091" s="2108"/>
      <c r="KY1091" s="2108"/>
      <c r="KZ1091" s="2108"/>
      <c r="LA1091" s="2108"/>
      <c r="LB1091" s="2108"/>
      <c r="LC1091" s="2108"/>
      <c r="LD1091" s="2108"/>
      <c r="LE1091" s="2108"/>
      <c r="LF1091" s="2108"/>
      <c r="LG1091" s="2108"/>
      <c r="NP1091" s="2113"/>
    </row>
    <row r="1092" spans="1:380" s="1852" customFormat="1" ht="12" customHeight="1">
      <c r="A1092" s="1852" t="s">
        <v>3527</v>
      </c>
      <c r="B1092" s="1852" t="s">
        <v>543</v>
      </c>
      <c r="N1092" s="1852" t="s">
        <v>4055</v>
      </c>
      <c r="JW1092" s="2051"/>
      <c r="KB1092" s="2051"/>
      <c r="KG1092" s="2051"/>
      <c r="KL1092" s="2051"/>
      <c r="KM1092" s="2051"/>
      <c r="KN1092" s="2051"/>
      <c r="KO1092" s="2051"/>
      <c r="KP1092" s="2051"/>
      <c r="KQ1092" s="2051"/>
      <c r="KR1092" s="2051"/>
      <c r="KS1092" s="2051"/>
      <c r="KT1092" s="2051"/>
      <c r="KU1092" s="2051"/>
      <c r="KV1092" s="2051"/>
      <c r="KW1092" s="2051"/>
      <c r="KX1092" s="2051"/>
      <c r="KY1092" s="2051"/>
      <c r="KZ1092" s="2051"/>
      <c r="LA1092" s="2051"/>
      <c r="LB1092" s="2051"/>
      <c r="LC1092" s="2051"/>
      <c r="LD1092" s="2051"/>
      <c r="LE1092" s="2051"/>
      <c r="LF1092" s="2051"/>
      <c r="LG1092" s="2051"/>
      <c r="NP1092" s="2113"/>
    </row>
    <row r="1093" spans="1:380" s="1852" customFormat="1" ht="408.75" customHeight="1">
      <c r="A1093" s="1956" t="str">
        <f>'Part VI-Revenues &amp; Expenses'!A253</f>
        <v>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these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non-MSA, the minimum operating expense is $3,750 per unit. The above listed proposed budget exceeds the minimum
Section V. is blank as there is no ground lease in place.</v>
      </c>
      <c r="B1093" s="1956"/>
      <c r="C1093" s="1956"/>
      <c r="D1093" s="1956"/>
      <c r="E1093" s="1956"/>
      <c r="F1093" s="1956"/>
      <c r="G1093" s="1956"/>
      <c r="H1093" s="1956"/>
      <c r="I1093" s="1956"/>
      <c r="J1093" s="1956"/>
      <c r="K1093" s="1956"/>
      <c r="L1093" s="1956"/>
      <c r="M1093" s="1956"/>
      <c r="N1093" s="1956"/>
      <c r="O1093" s="1956"/>
      <c r="P1093" s="1956"/>
      <c r="Q1093" s="1956"/>
      <c r="R1093" s="1855" t="s">
        <v>3526</v>
      </c>
      <c r="S1093" s="1855"/>
      <c r="T1093" s="1855"/>
      <c r="U1093" s="1855"/>
      <c r="JW1093" s="2051"/>
      <c r="KB1093" s="2051"/>
      <c r="KG1093" s="2051"/>
      <c r="KL1093" s="2051"/>
      <c r="KM1093" s="2051"/>
      <c r="KN1093" s="2051"/>
      <c r="KO1093" s="2051"/>
      <c r="KP1093" s="2051"/>
      <c r="KQ1093" s="2051"/>
      <c r="KR1093" s="2051"/>
      <c r="KS1093" s="2051"/>
      <c r="KT1093" s="2051"/>
      <c r="KU1093" s="2051"/>
      <c r="KV1093" s="2051"/>
      <c r="KW1093" s="2051"/>
      <c r="KX1093" s="2051"/>
      <c r="KY1093" s="2051"/>
      <c r="KZ1093" s="2051"/>
      <c r="LA1093" s="2051"/>
      <c r="LB1093" s="2051"/>
      <c r="LC1093" s="2051"/>
      <c r="LD1093" s="2051"/>
      <c r="LE1093" s="2051"/>
      <c r="LF1093" s="2051"/>
      <c r="LG1093" s="2051"/>
      <c r="NP1093" s="2113"/>
    </row>
    <row r="1098" spans="1:380" s="1852" customFormat="1" ht="14.1" customHeight="1">
      <c r="A1098" s="1818" t="str">
        <f>CONCATENATE("PART SEVEN - OPERATING PRO FORMA","  -  ",'Part I-Project Information'!$O$7," ",'Part I-Project Information'!$F$35,", ",'Part I-Project Information'!F1085,", ",'Part I-Project Information'!J1086," County")</f>
        <v>PART SEVEN - OPERATING PRO FORMA  -  2021-015 The Peaks at Turnberry, ,  County</v>
      </c>
      <c r="B1098" s="1924"/>
      <c r="C1098" s="1924"/>
      <c r="D1098" s="1924"/>
      <c r="E1098" s="1924"/>
      <c r="F1098" s="1924"/>
      <c r="G1098" s="1924"/>
      <c r="H1098" s="1924"/>
      <c r="I1098" s="1924"/>
      <c r="J1098" s="1924"/>
      <c r="K1098" s="1924"/>
      <c r="L1098" s="1818"/>
      <c r="M1098" s="1818"/>
      <c r="N1098" s="1818" t="str">
        <f>A1098</f>
        <v>PART SEVEN - OPERATING PRO FORMA  -  2021-015 The Peaks at Turnberry, ,  County</v>
      </c>
      <c r="O1098" s="1818"/>
      <c r="P1098" s="1818"/>
      <c r="Z1098" s="1924"/>
      <c r="AA1098" s="2051">
        <v>2</v>
      </c>
    </row>
    <row r="1099" spans="1:380" s="1852" customFormat="1" ht="13.5" customHeight="1">
      <c r="N1099" s="1852" t="s">
        <v>1761</v>
      </c>
      <c r="Z1099" s="1924"/>
      <c r="AA1099" s="2051">
        <v>3</v>
      </c>
    </row>
    <row r="1100" spans="1:380" s="1852" customFormat="1" ht="13.5" customHeight="1">
      <c r="A1100" s="1852" t="s">
        <v>85</v>
      </c>
      <c r="C1100" s="2202" t="str">
        <f>'Part I-Project Information'!$B$7</f>
        <v>2021 Core App
May 10 Rev</v>
      </c>
      <c r="D1100" s="1852" t="s">
        <v>75</v>
      </c>
      <c r="E1100" s="2108"/>
      <c r="F1100" s="1859" t="s">
        <v>7070</v>
      </c>
      <c r="N1100" s="1852" t="str">
        <f>A1100</f>
        <v>I.  OPERATING ASSUMPTIONS</v>
      </c>
      <c r="Z1100" s="1924"/>
      <c r="AA1100" s="2051">
        <v>4</v>
      </c>
    </row>
    <row r="1101" spans="1:380" s="1852" customFormat="1" ht="2.4500000000000002" customHeight="1">
      <c r="C1101" s="2202"/>
      <c r="Z1101" s="1924"/>
      <c r="AA1101" s="2051">
        <v>5</v>
      </c>
    </row>
    <row r="1102" spans="1:380" s="1852" customFormat="1" ht="13.5" customHeight="1">
      <c r="A1102" s="1852" t="s">
        <v>2094</v>
      </c>
      <c r="B1102" s="2203">
        <v>0.02</v>
      </c>
      <c r="C1102" s="2202"/>
      <c r="D1102" s="2158" t="s">
        <v>7144</v>
      </c>
      <c r="E1102" s="2158"/>
      <c r="F1102" s="2158"/>
      <c r="G1102" s="2204">
        <f>'Part VII-Pro Forma'!G6</f>
        <v>5400</v>
      </c>
      <c r="H1102" s="2123" t="s">
        <v>1819</v>
      </c>
      <c r="K1102" s="2205" t="str">
        <f>IF(($B$15+$B$16+$B$17+$B$18)=0,"",B1127/($B$15+$B$16+$B$17+$B$18))</f>
        <v/>
      </c>
      <c r="N1102" s="2043"/>
      <c r="O1102" s="2043"/>
      <c r="Z1102" s="1924"/>
      <c r="AA1102" s="2051">
        <v>6</v>
      </c>
    </row>
    <row r="1103" spans="1:380" s="1852" customFormat="1">
      <c r="A1103" s="1852" t="s">
        <v>2095</v>
      </c>
      <c r="B1103" s="2203">
        <v>0.03</v>
      </c>
      <c r="C1103" s="2202"/>
      <c r="D1103" s="2158"/>
      <c r="E1103" s="2158"/>
      <c r="F1103" s="2158"/>
      <c r="G1103" s="2206">
        <f>IF(OR('Part III-Sources of Funds'!E1052="Yes",'Part III-Sources of Funds'!H1052&gt;0),'DCA Underwriting Assumptions'!$Q$101,0)</f>
        <v>0</v>
      </c>
      <c r="N1103" s="2043"/>
      <c r="O1103" s="2043"/>
      <c r="Z1103" s="1924"/>
      <c r="AA1103" s="2051">
        <v>7</v>
      </c>
    </row>
    <row r="1104" spans="1:380" s="1852" customFormat="1">
      <c r="A1104" s="1852" t="s">
        <v>2097</v>
      </c>
      <c r="B1104" s="2203">
        <v>0.03</v>
      </c>
      <c r="C1104" s="2202"/>
      <c r="D1104" s="1818" t="s">
        <v>259</v>
      </c>
      <c r="G1104" s="2207"/>
      <c r="H1104" s="2123" t="s">
        <v>2270</v>
      </c>
      <c r="K1104" s="2205" t="str">
        <f>IF(($B$15+$B$16+$B$17+$B$18)=0,"",-B1118/($B$15+$B$16+$B$17+$B$18))</f>
        <v/>
      </c>
      <c r="N1104" s="2043"/>
      <c r="O1104" s="2043"/>
      <c r="Z1104" s="1924"/>
      <c r="AA1104" s="2051">
        <v>8</v>
      </c>
    </row>
    <row r="1105" spans="1:27" s="1852" customFormat="1" ht="13.35" customHeight="1">
      <c r="A1105" s="1852" t="s">
        <v>2096</v>
      </c>
      <c r="B1105" s="2208">
        <f>'Part VII-Pro Forma'!B9</f>
        <v>7.0000000000000007E-2</v>
      </c>
      <c r="C1105" s="1857" t="str">
        <f>IF(B1105&lt;0.07, "Must be &gt;= 7%!","")</f>
        <v/>
      </c>
      <c r="D1105" s="1818" t="s">
        <v>2392</v>
      </c>
      <c r="G1105" s="2209">
        <f>'Part VII-Pro Forma'!G9</f>
        <v>0</v>
      </c>
      <c r="H1105" s="2210" t="s">
        <v>1389</v>
      </c>
      <c r="K1105" s="2211">
        <f>'Part VII-Pro Forma'!K9</f>
        <v>0</v>
      </c>
      <c r="N1105" s="2043"/>
      <c r="O1105" s="2043"/>
      <c r="Z1105" s="1924"/>
      <c r="AA1105" s="2051">
        <v>9</v>
      </c>
    </row>
    <row r="1106" spans="1:27" s="1852" customFormat="1">
      <c r="A1106" s="1852" t="s">
        <v>1367</v>
      </c>
      <c r="B1106" s="2203">
        <v>0.02</v>
      </c>
      <c r="D1106" s="1818" t="s">
        <v>1641</v>
      </c>
      <c r="G1106" s="2209" t="str">
        <f>'Part VII-Pro Forma'!G10</f>
        <v>Yes</v>
      </c>
      <c r="H1106" s="2210" t="s">
        <v>2252</v>
      </c>
      <c r="K1106" s="2212">
        <f>'Part VII-Pro Forma'!K10</f>
        <v>0.09</v>
      </c>
      <c r="N1106" s="2043"/>
      <c r="O1106" s="2043"/>
      <c r="Z1106" s="1924"/>
      <c r="AA1106" s="1929">
        <v>10</v>
      </c>
    </row>
    <row r="1107" spans="1:27" s="1852" customFormat="1" ht="9" customHeight="1">
      <c r="Z1107" s="1924"/>
      <c r="AA1107" s="2051">
        <v>11</v>
      </c>
    </row>
    <row r="1108" spans="1:27" s="1852" customFormat="1">
      <c r="A1108" s="1852" t="s">
        <v>86</v>
      </c>
      <c r="D1108" s="2105"/>
      <c r="N1108" s="1852" t="str">
        <f>A1108</f>
        <v>II.  OPERATING PRO FORMA</v>
      </c>
      <c r="Z1108" s="1924"/>
      <c r="AA1108" s="2051">
        <v>12</v>
      </c>
    </row>
    <row r="1109" spans="1:27" s="1852" customFormat="1" ht="2.4500000000000002" customHeight="1">
      <c r="Z1109" s="1924"/>
      <c r="AA1109" s="2051">
        <v>13</v>
      </c>
    </row>
    <row r="1110" spans="1:27" s="1852" customFormat="1" ht="14.45" customHeight="1">
      <c r="A1110" s="1852" t="s">
        <v>2369</v>
      </c>
      <c r="B1110" s="1852">
        <v>1</v>
      </c>
      <c r="C1110" s="1852">
        <f t="shared" ref="C1110:K1110" si="375">B1110+1</f>
        <v>2</v>
      </c>
      <c r="D1110" s="1852">
        <f t="shared" si="375"/>
        <v>3</v>
      </c>
      <c r="E1110" s="1852">
        <f t="shared" si="375"/>
        <v>4</v>
      </c>
      <c r="F1110" s="1852">
        <f t="shared" si="375"/>
        <v>5</v>
      </c>
      <c r="G1110" s="1852">
        <f t="shared" si="375"/>
        <v>6</v>
      </c>
      <c r="H1110" s="1852">
        <f t="shared" si="375"/>
        <v>7</v>
      </c>
      <c r="I1110" s="1852">
        <f t="shared" si="375"/>
        <v>8</v>
      </c>
      <c r="J1110" s="1852">
        <f t="shared" si="375"/>
        <v>9</v>
      </c>
      <c r="K1110" s="1852">
        <f t="shared" si="375"/>
        <v>10</v>
      </c>
      <c r="N1110" s="1852" t="s">
        <v>2500</v>
      </c>
      <c r="Z1110" s="1924"/>
      <c r="AA1110" s="2051">
        <v>14</v>
      </c>
    </row>
    <row r="1111" spans="1:27" s="1852" customFormat="1" ht="13.35" customHeight="1">
      <c r="A1111" s="1852" t="s">
        <v>2295</v>
      </c>
      <c r="B1111" s="2213">
        <f>'Part VII-Pro Forma'!B15</f>
        <v>365520</v>
      </c>
      <c r="C1111" s="2213">
        <f>'Part VII-Pro Forma'!C15</f>
        <v>372830.4</v>
      </c>
      <c r="D1111" s="2213">
        <f>'Part VII-Pro Forma'!D15</f>
        <v>380287.00799999997</v>
      </c>
      <c r="E1111" s="2213">
        <f>'Part VII-Pro Forma'!E15</f>
        <v>387892.74815999996</v>
      </c>
      <c r="F1111" s="2213">
        <f>'Part VII-Pro Forma'!F15</f>
        <v>395650.60312320001</v>
      </c>
      <c r="G1111" s="2213">
        <f>'Part VII-Pro Forma'!G15</f>
        <v>403563.61518566398</v>
      </c>
      <c r="H1111" s="2213">
        <f>'Part VII-Pro Forma'!H15</f>
        <v>411634.88748937729</v>
      </c>
      <c r="I1111" s="2213">
        <f>'Part VII-Pro Forma'!I15</f>
        <v>419867.58523916476</v>
      </c>
      <c r="J1111" s="2213">
        <f>'Part VII-Pro Forma'!J15</f>
        <v>428264.93694394809</v>
      </c>
      <c r="K1111" s="2213">
        <f>'Part VII-Pro Forma'!K15</f>
        <v>436830.23568282707</v>
      </c>
      <c r="N1111" s="2043"/>
      <c r="O1111" s="2043"/>
      <c r="S1111" s="2114" t="s">
        <v>3563</v>
      </c>
      <c r="Z1111" s="1924" t="s">
        <v>6775</v>
      </c>
      <c r="AA1111" s="2051">
        <v>15</v>
      </c>
    </row>
    <row r="1112" spans="1:27" s="1852" customFormat="1" ht="13.35" customHeight="1">
      <c r="A1112" s="1852" t="s">
        <v>977</v>
      </c>
      <c r="B1112" s="2213">
        <f>'Part VII-Pro Forma'!B16</f>
        <v>7310.4000000000005</v>
      </c>
      <c r="C1112" s="2213">
        <f>'Part VII-Pro Forma'!C16</f>
        <v>7456.6080000000011</v>
      </c>
      <c r="D1112" s="2213">
        <f>'Part VII-Pro Forma'!D16</f>
        <v>7605.7401600000003</v>
      </c>
      <c r="E1112" s="2213">
        <f>'Part VII-Pro Forma'!E16</f>
        <v>7757.8549632000004</v>
      </c>
      <c r="F1112" s="2213">
        <f>'Part VII-Pro Forma'!F16</f>
        <v>7913.0120624640003</v>
      </c>
      <c r="G1112" s="2213">
        <f>'Part VII-Pro Forma'!G16</f>
        <v>8071.272303713281</v>
      </c>
      <c r="H1112" s="2213">
        <f>'Part VII-Pro Forma'!H16</f>
        <v>8232.6977497875469</v>
      </c>
      <c r="I1112" s="2213">
        <f>'Part VII-Pro Forma'!I16</f>
        <v>8397.3517047832956</v>
      </c>
      <c r="J1112" s="2213">
        <f>'Part VII-Pro Forma'!J16</f>
        <v>8565.2987388789625</v>
      </c>
      <c r="K1112" s="2213">
        <f>'Part VII-Pro Forma'!K16</f>
        <v>8736.6047136565412</v>
      </c>
      <c r="N1112" s="2043"/>
      <c r="O1112" s="2043"/>
      <c r="S1112" s="2114"/>
      <c r="Z1112" s="1924" t="s">
        <v>6775</v>
      </c>
      <c r="AA1112" s="2051">
        <v>16</v>
      </c>
    </row>
    <row r="1113" spans="1:27" s="1852" customFormat="1" ht="13.35" customHeight="1">
      <c r="A1113" s="1852" t="s">
        <v>2296</v>
      </c>
      <c r="B1113" s="2213">
        <f>'Part VII-Pro Forma'!B17</f>
        <v>-26098.128000000004</v>
      </c>
      <c r="C1113" s="2213">
        <f>'Part VII-Pro Forma'!C17</f>
        <v>-26620.090560000004</v>
      </c>
      <c r="D1113" s="2213">
        <f>'Part VII-Pro Forma'!D17</f>
        <v>-27152.492371199998</v>
      </c>
      <c r="E1113" s="2213">
        <f>'Part VII-Pro Forma'!E17</f>
        <v>-27695.542218623999</v>
      </c>
      <c r="F1113" s="2213">
        <f>'Part VII-Pro Forma'!F17</f>
        <v>-28249.453062996487</v>
      </c>
      <c r="G1113" s="2213">
        <f>'Part VII-Pro Forma'!G17</f>
        <v>-28814.442124256409</v>
      </c>
      <c r="H1113" s="2213">
        <f>'Part VII-Pro Forma'!H17</f>
        <v>-29390.730966741539</v>
      </c>
      <c r="I1113" s="2213">
        <f>'Part VII-Pro Forma'!I17</f>
        <v>-29978.545586076365</v>
      </c>
      <c r="J1113" s="2213">
        <f>'Part VII-Pro Forma'!J17</f>
        <v>-30578.116497797899</v>
      </c>
      <c r="K1113" s="2213">
        <f>'Part VII-Pro Forma'!K17</f>
        <v>-31189.678827753854</v>
      </c>
      <c r="N1113" s="2043"/>
      <c r="O1113" s="2043"/>
      <c r="Q1113" s="2114" t="s">
        <v>3440</v>
      </c>
      <c r="R1113" s="2114" t="s">
        <v>3562</v>
      </c>
      <c r="S1113" s="2114"/>
      <c r="Z1113" s="1924" t="s">
        <v>6775</v>
      </c>
      <c r="AA1113" s="2051">
        <v>17</v>
      </c>
    </row>
    <row r="1114" spans="1:27" s="1852" customFormat="1" ht="13.35" customHeight="1">
      <c r="A1114" s="1852" t="s">
        <v>47</v>
      </c>
      <c r="B1114" s="2213">
        <f>'Part VII-Pro Forma'!B18</f>
        <v>0</v>
      </c>
      <c r="C1114" s="2213">
        <f>'Part VII-Pro Forma'!C18</f>
        <v>0</v>
      </c>
      <c r="D1114" s="2213">
        <f>'Part VII-Pro Forma'!D18</f>
        <v>0</v>
      </c>
      <c r="E1114" s="2213">
        <f>'Part VII-Pro Forma'!E18</f>
        <v>0</v>
      </c>
      <c r="F1114" s="2213">
        <f>'Part VII-Pro Forma'!F18</f>
        <v>0</v>
      </c>
      <c r="G1114" s="2213">
        <f>'Part VII-Pro Forma'!G18</f>
        <v>0</v>
      </c>
      <c r="H1114" s="2213">
        <f>'Part VII-Pro Forma'!H18</f>
        <v>0</v>
      </c>
      <c r="I1114" s="2213">
        <f>'Part VII-Pro Forma'!I18</f>
        <v>0</v>
      </c>
      <c r="J1114" s="2213">
        <f>'Part VII-Pro Forma'!J18</f>
        <v>0</v>
      </c>
      <c r="K1114" s="2213">
        <f>'Part VII-Pro Forma'!K18</f>
        <v>0</v>
      </c>
      <c r="N1114" s="2043"/>
      <c r="O1114" s="2043"/>
      <c r="Q1114" s="2114"/>
      <c r="R1114" s="2114"/>
      <c r="S1114" s="2114"/>
      <c r="Z1114" s="1924" t="s">
        <v>6775</v>
      </c>
      <c r="AA1114" s="2051">
        <v>18</v>
      </c>
    </row>
    <row r="1115" spans="1:27" s="1852" customFormat="1" ht="13.35" customHeight="1">
      <c r="A1115" s="1852" t="s">
        <v>48</v>
      </c>
      <c r="B1115" s="2213">
        <f>'Part VII-Pro Forma'!B19</f>
        <v>0</v>
      </c>
      <c r="C1115" s="2213">
        <f>'Part VII-Pro Forma'!C19</f>
        <v>0</v>
      </c>
      <c r="D1115" s="2213">
        <f>'Part VII-Pro Forma'!D19</f>
        <v>0</v>
      </c>
      <c r="E1115" s="2213">
        <f>'Part VII-Pro Forma'!E19</f>
        <v>0</v>
      </c>
      <c r="F1115" s="2213">
        <f>'Part VII-Pro Forma'!F19</f>
        <v>0</v>
      </c>
      <c r="G1115" s="2213">
        <f>'Part VII-Pro Forma'!G19</f>
        <v>0</v>
      </c>
      <c r="H1115" s="2213">
        <f>'Part VII-Pro Forma'!H19</f>
        <v>0</v>
      </c>
      <c r="I1115" s="2213">
        <f>'Part VII-Pro Forma'!I19</f>
        <v>0</v>
      </c>
      <c r="J1115" s="2213">
        <f>'Part VII-Pro Forma'!J19</f>
        <v>0</v>
      </c>
      <c r="K1115" s="2213">
        <f>'Part VII-Pro Forma'!K19</f>
        <v>0</v>
      </c>
      <c r="N1115" s="2043"/>
      <c r="O1115" s="2043"/>
      <c r="Z1115" s="1924" t="s">
        <v>6775</v>
      </c>
      <c r="AA1115" s="1929">
        <v>19</v>
      </c>
    </row>
    <row r="1116" spans="1:27" s="1852" customFormat="1" ht="13.35" customHeight="1">
      <c r="A1116" s="1852" t="s">
        <v>4016</v>
      </c>
      <c r="B1116" s="2213">
        <f>'Part VII-Pro Forma'!B20</f>
        <v>346732.272</v>
      </c>
      <c r="C1116" s="2213">
        <f>'Part VII-Pro Forma'!C20</f>
        <v>353666.91744000005</v>
      </c>
      <c r="D1116" s="2213">
        <f>'Part VII-Pro Forma'!D20</f>
        <v>360740.25578879996</v>
      </c>
      <c r="E1116" s="2213">
        <f>'Part VII-Pro Forma'!E20</f>
        <v>367955.06090457598</v>
      </c>
      <c r="F1116" s="2213">
        <f>'Part VII-Pro Forma'!F20</f>
        <v>375314.16212266753</v>
      </c>
      <c r="G1116" s="2213">
        <f>'Part VII-Pro Forma'!G20</f>
        <v>382820.44536512083</v>
      </c>
      <c r="H1116" s="2213">
        <f>'Part VII-Pro Forma'!H20</f>
        <v>390476.85427242331</v>
      </c>
      <c r="I1116" s="2213">
        <f>'Part VII-Pro Forma'!I20</f>
        <v>398286.39135787165</v>
      </c>
      <c r="J1116" s="2213">
        <f>'Part VII-Pro Forma'!J20</f>
        <v>406252.11918502918</v>
      </c>
      <c r="K1116" s="2213">
        <f>'Part VII-Pro Forma'!K20</f>
        <v>414377.16156872973</v>
      </c>
      <c r="N1116" s="2043"/>
      <c r="O1116" s="2043"/>
      <c r="Z1116" s="1924" t="s">
        <v>6775</v>
      </c>
      <c r="AA1116" s="2051">
        <v>20</v>
      </c>
    </row>
    <row r="1117" spans="1:27" s="1852" customFormat="1" ht="13.35" customHeight="1">
      <c r="A1117" s="1852" t="s">
        <v>585</v>
      </c>
      <c r="B1117" s="2213">
        <f>'Part VII-Pro Forma'!B21</f>
        <v>-159716</v>
      </c>
      <c r="C1117" s="2213">
        <f>'Part VII-Pro Forma'!C21</f>
        <v>-164507.48000000001</v>
      </c>
      <c r="D1117" s="2213">
        <f>'Part VII-Pro Forma'!D21</f>
        <v>-169442.70439999999</v>
      </c>
      <c r="E1117" s="2213">
        <f>'Part VII-Pro Forma'!E21</f>
        <v>-174525.98553199999</v>
      </c>
      <c r="F1117" s="2213">
        <f>'Part VII-Pro Forma'!F21</f>
        <v>-179761.76509795999</v>
      </c>
      <c r="G1117" s="2213">
        <f>'Part VII-Pro Forma'!G21</f>
        <v>-185154.61805089877</v>
      </c>
      <c r="H1117" s="2213">
        <f>'Part VII-Pro Forma'!H21</f>
        <v>-190709.25659242575</v>
      </c>
      <c r="I1117" s="2213">
        <f>'Part VII-Pro Forma'!I21</f>
        <v>-196430.53429019853</v>
      </c>
      <c r="J1117" s="2213">
        <f>'Part VII-Pro Forma'!J21</f>
        <v>-202323.45031890448</v>
      </c>
      <c r="K1117" s="2213">
        <f>'Part VII-Pro Forma'!K21</f>
        <v>-208393.15382847161</v>
      </c>
      <c r="N1117" s="2043"/>
      <c r="O1117" s="2043"/>
      <c r="Q1117" s="2051">
        <v>1</v>
      </c>
      <c r="R1117" s="2140">
        <f>-B1128</f>
        <v>0</v>
      </c>
      <c r="S1117" s="2140">
        <f>B1129+R1117</f>
        <v>35685.248744308105</v>
      </c>
      <c r="Z1117" s="1924" t="s">
        <v>6775</v>
      </c>
      <c r="AA1117" s="2051">
        <v>21</v>
      </c>
    </row>
    <row r="1118" spans="1:27" s="1852" customFormat="1" ht="13.35" customHeight="1">
      <c r="A1118" s="1852" t="s">
        <v>1075</v>
      </c>
      <c r="B1118" s="2213">
        <f>'Part VII-Pro Forma'!B22</f>
        <v>-31206</v>
      </c>
      <c r="C1118" s="2213">
        <f>'Part VII-Pro Forma'!C22</f>
        <v>-31830</v>
      </c>
      <c r="D1118" s="2213">
        <f>'Part VII-Pro Forma'!D22</f>
        <v>-32467</v>
      </c>
      <c r="E1118" s="2213">
        <f>'Part VII-Pro Forma'!E22</f>
        <v>-33116</v>
      </c>
      <c r="F1118" s="2213">
        <f>'Part VII-Pro Forma'!F22</f>
        <v>-33778</v>
      </c>
      <c r="G1118" s="2213">
        <f>'Part VII-Pro Forma'!G22</f>
        <v>-34454</v>
      </c>
      <c r="H1118" s="2213">
        <f>'Part VII-Pro Forma'!H22</f>
        <v>-35143</v>
      </c>
      <c r="I1118" s="2213">
        <f>'Part VII-Pro Forma'!I22</f>
        <v>-35846</v>
      </c>
      <c r="J1118" s="2213">
        <f>'Part VII-Pro Forma'!J22</f>
        <v>-36563</v>
      </c>
      <c r="K1118" s="2213">
        <f>'Part VII-Pro Forma'!K22</f>
        <v>-37294</v>
      </c>
      <c r="N1118" s="2043"/>
      <c r="O1118" s="2043"/>
      <c r="Q1118" s="2051">
        <v>2</v>
      </c>
      <c r="R1118" s="2140">
        <f>-SUM(B1128:C1128)</f>
        <v>3885</v>
      </c>
      <c r="S1118" s="2140">
        <f>SUM(B1129:C1129)+R1118</f>
        <v>72529.66292861625</v>
      </c>
      <c r="Z1118" s="1924" t="s">
        <v>6775</v>
      </c>
      <c r="AA1118" s="2051">
        <v>22</v>
      </c>
    </row>
    <row r="1119" spans="1:27" s="1852" customFormat="1" ht="13.35" customHeight="1">
      <c r="A1119" s="1852" t="s">
        <v>1156</v>
      </c>
      <c r="B1119" s="2213">
        <f>'Part VII-Pro Forma'!B23</f>
        <v>-12000</v>
      </c>
      <c r="C1119" s="2213">
        <f>'Part VII-Pro Forma'!C23</f>
        <v>-12360</v>
      </c>
      <c r="D1119" s="2213">
        <f>'Part VII-Pro Forma'!D23</f>
        <v>-12730.8</v>
      </c>
      <c r="E1119" s="2213">
        <f>'Part VII-Pro Forma'!E23</f>
        <v>-13112.724</v>
      </c>
      <c r="F1119" s="2213">
        <f>'Part VII-Pro Forma'!F23</f>
        <v>-13506.10572</v>
      </c>
      <c r="G1119" s="2213">
        <f>'Part VII-Pro Forma'!G23</f>
        <v>-13911.288891599997</v>
      </c>
      <c r="H1119" s="2213">
        <f>'Part VII-Pro Forma'!H23</f>
        <v>-14328.627558347998</v>
      </c>
      <c r="I1119" s="2213">
        <f>'Part VII-Pro Forma'!I23</f>
        <v>-14758.48638509844</v>
      </c>
      <c r="J1119" s="2213">
        <f>'Part VII-Pro Forma'!J23</f>
        <v>-15201.240976651392</v>
      </c>
      <c r="K1119" s="2213">
        <f>'Part VII-Pro Forma'!K23</f>
        <v>-15657.278205950934</v>
      </c>
      <c r="N1119" s="2043"/>
      <c r="O1119" s="2043"/>
      <c r="Q1119" s="2051">
        <v>3</v>
      </c>
      <c r="R1119" s="2140">
        <f>-SUM(B1128:D1128)</f>
        <v>3885</v>
      </c>
      <c r="S1119" s="2140">
        <f>SUM(B1129:D1129)+R1119</f>
        <v>110504.39106172434</v>
      </c>
      <c r="Z1119" s="1924" t="s">
        <v>6775</v>
      </c>
      <c r="AA1119" s="2051">
        <v>23</v>
      </c>
    </row>
    <row r="1120" spans="1:27" s="1852" customFormat="1" ht="13.35" customHeight="1">
      <c r="A1120" s="1852" t="s">
        <v>4015</v>
      </c>
      <c r="B1120" s="2214">
        <f>'Part VII-Pro Forma'!B24</f>
        <v>0</v>
      </c>
      <c r="C1120" s="2214">
        <f>'Part VII-Pro Forma'!C24</f>
        <v>0</v>
      </c>
      <c r="D1120" s="2214">
        <f>'Part VII-Pro Forma'!D24</f>
        <v>0</v>
      </c>
      <c r="E1120" s="2214">
        <f>'Part VII-Pro Forma'!E24</f>
        <v>0</v>
      </c>
      <c r="F1120" s="2214">
        <f>'Part VII-Pro Forma'!F24</f>
        <v>0</v>
      </c>
      <c r="G1120" s="2214">
        <f>'Part VII-Pro Forma'!G24</f>
        <v>0</v>
      </c>
      <c r="H1120" s="2214">
        <f>'Part VII-Pro Forma'!H24</f>
        <v>0</v>
      </c>
      <c r="I1120" s="2214">
        <f>'Part VII-Pro Forma'!I24</f>
        <v>0</v>
      </c>
      <c r="J1120" s="2214">
        <f>'Part VII-Pro Forma'!J24</f>
        <v>0</v>
      </c>
      <c r="K1120" s="2214">
        <f>'Part VII-Pro Forma'!K24</f>
        <v>0</v>
      </c>
      <c r="N1120" s="2043"/>
      <c r="O1120" s="2043"/>
      <c r="Q1120" s="2051">
        <v>4</v>
      </c>
      <c r="R1120" s="2140">
        <f>-SUM(B1128:E1128)</f>
        <v>3885</v>
      </c>
      <c r="S1120" s="2140">
        <f>SUM(B1129:E1129)+R1120</f>
        <v>149579.71917860844</v>
      </c>
      <c r="Z1120" s="1924" t="s">
        <v>6775</v>
      </c>
      <c r="AA1120" s="1929">
        <v>24</v>
      </c>
    </row>
    <row r="1121" spans="1:27" s="1852" customFormat="1" ht="13.35" customHeight="1">
      <c r="A1121" s="1852" t="s">
        <v>1157</v>
      </c>
      <c r="B1121" s="2213">
        <f>'Part VII-Pro Forma'!B25</f>
        <v>143810.272</v>
      </c>
      <c r="C1121" s="2213">
        <f>'Part VII-Pro Forma'!C25</f>
        <v>144969.43744000004</v>
      </c>
      <c r="D1121" s="2213">
        <f>'Part VII-Pro Forma'!D25</f>
        <v>146099.75138879998</v>
      </c>
      <c r="E1121" s="2213">
        <f>'Part VII-Pro Forma'!E25</f>
        <v>147200.351372576</v>
      </c>
      <c r="F1121" s="2213">
        <f>'Part VII-Pro Forma'!F25</f>
        <v>148268.29130470756</v>
      </c>
      <c r="G1121" s="2213">
        <f>'Part VII-Pro Forma'!G25</f>
        <v>149300.53842262205</v>
      </c>
      <c r="H1121" s="2213">
        <f>'Part VII-Pro Forma'!H25</f>
        <v>150295.97012164956</v>
      </c>
      <c r="I1121" s="2213">
        <f>'Part VII-Pro Forma'!I25</f>
        <v>151251.37068257469</v>
      </c>
      <c r="J1121" s="2213">
        <f>'Part VII-Pro Forma'!J25</f>
        <v>152164.4278894733</v>
      </c>
      <c r="K1121" s="2213">
        <f>'Part VII-Pro Forma'!K25</f>
        <v>153032.7295343072</v>
      </c>
      <c r="N1121" s="2043"/>
      <c r="O1121" s="2043"/>
      <c r="Q1121" s="2051">
        <v>5</v>
      </c>
      <c r="R1121" s="2140">
        <f>-SUM(B1128:F1128)</f>
        <v>3885</v>
      </c>
      <c r="S1121" s="2140">
        <f>SUM(B1129:F1129)+R1121</f>
        <v>189722.98722762411</v>
      </c>
      <c r="Z1121" s="1924" t="s">
        <v>6775</v>
      </c>
      <c r="AA1121" s="2051">
        <v>25</v>
      </c>
    </row>
    <row r="1122" spans="1:27" s="1852" customFormat="1" ht="13.35" customHeight="1">
      <c r="A1122" s="1852" t="s">
        <v>1525</v>
      </c>
      <c r="B1122" s="2214">
        <f>'Part VII-Pro Forma'!B26</f>
        <v>-102725.02325569189</v>
      </c>
      <c r="C1122" s="2214">
        <f>'Part VII-Pro Forma'!C26</f>
        <v>-102725.02325569189</v>
      </c>
      <c r="D1122" s="2214">
        <f>'Part VII-Pro Forma'!D26</f>
        <v>-102725.02325569189</v>
      </c>
      <c r="E1122" s="2214">
        <f>'Part VII-Pro Forma'!E26</f>
        <v>-102725.02325569189</v>
      </c>
      <c r="F1122" s="2214">
        <f>'Part VII-Pro Forma'!F26</f>
        <v>-102725.02325569189</v>
      </c>
      <c r="G1122" s="2214">
        <f>'Part VII-Pro Forma'!G26</f>
        <v>-102725.02325569189</v>
      </c>
      <c r="H1122" s="2214">
        <f>'Part VII-Pro Forma'!H26</f>
        <v>-102725.02325569189</v>
      </c>
      <c r="I1122" s="2214">
        <f>'Part VII-Pro Forma'!I26</f>
        <v>-102725.02325569189</v>
      </c>
      <c r="J1122" s="2214">
        <f>'Part VII-Pro Forma'!J26</f>
        <v>-102725.02325569189</v>
      </c>
      <c r="K1122" s="2214">
        <f>'Part VII-Pro Forma'!K26</f>
        <v>-102725.02325569189</v>
      </c>
      <c r="N1122" s="2043"/>
      <c r="O1122" s="2043"/>
      <c r="Q1122" s="2051">
        <v>6</v>
      </c>
      <c r="R1122" s="2140">
        <f>-SUM(B1128:G1128)</f>
        <v>3885</v>
      </c>
      <c r="S1122" s="2140">
        <f>SUM(B1129:G1129)+R1122</f>
        <v>230898.50239455426</v>
      </c>
      <c r="Z1122" s="1924" t="s">
        <v>6775</v>
      </c>
      <c r="AA1122" s="2051">
        <v>26</v>
      </c>
    </row>
    <row r="1123" spans="1:27" s="1852" customFormat="1" ht="13.35" customHeight="1">
      <c r="A1123" s="1852" t="s">
        <v>1526</v>
      </c>
      <c r="B1123" s="2214">
        <f>'Part VII-Pro Forma'!B27</f>
        <v>0</v>
      </c>
      <c r="C1123" s="2214">
        <f>'Part VII-Pro Forma'!C27</f>
        <v>0</v>
      </c>
      <c r="D1123" s="2214">
        <f>'Part VII-Pro Forma'!D27</f>
        <v>0</v>
      </c>
      <c r="E1123" s="2214">
        <f>'Part VII-Pro Forma'!E27</f>
        <v>0</v>
      </c>
      <c r="F1123" s="2214">
        <f>'Part VII-Pro Forma'!F27</f>
        <v>0</v>
      </c>
      <c r="G1123" s="2214">
        <f>'Part VII-Pro Forma'!G27</f>
        <v>0</v>
      </c>
      <c r="H1123" s="2214">
        <f>'Part VII-Pro Forma'!H27</f>
        <v>0</v>
      </c>
      <c r="I1123" s="2214">
        <f>'Part VII-Pro Forma'!I27</f>
        <v>0</v>
      </c>
      <c r="J1123" s="2214">
        <f>'Part VII-Pro Forma'!J27</f>
        <v>0</v>
      </c>
      <c r="K1123" s="2214">
        <f>'Part VII-Pro Forma'!K27</f>
        <v>0</v>
      </c>
      <c r="N1123" s="2043"/>
      <c r="O1123" s="2043"/>
      <c r="Q1123" s="2051">
        <v>7</v>
      </c>
      <c r="R1123" s="2140">
        <f>-SUM(B1128:H1128)</f>
        <v>3885</v>
      </c>
      <c r="S1123" s="2140">
        <f>SUM(B1129:H1129)+R1123</f>
        <v>273069.4492605119</v>
      </c>
      <c r="Z1123" s="1924" t="s">
        <v>6775</v>
      </c>
      <c r="AA1123" s="2051">
        <v>27</v>
      </c>
    </row>
    <row r="1124" spans="1:27" s="1852" customFormat="1" ht="13.35" customHeight="1">
      <c r="A1124" s="1852" t="s">
        <v>1527</v>
      </c>
      <c r="B1124" s="2214">
        <f>'Part VII-Pro Forma'!B28</f>
        <v>0</v>
      </c>
      <c r="C1124" s="2214">
        <f>'Part VII-Pro Forma'!C28</f>
        <v>0</v>
      </c>
      <c r="D1124" s="2214">
        <f>'Part VII-Pro Forma'!D28</f>
        <v>0</v>
      </c>
      <c r="E1124" s="2214">
        <f>'Part VII-Pro Forma'!E28</f>
        <v>0</v>
      </c>
      <c r="F1124" s="2214">
        <f>'Part VII-Pro Forma'!F28</f>
        <v>0</v>
      </c>
      <c r="G1124" s="2214">
        <f>'Part VII-Pro Forma'!G28</f>
        <v>0</v>
      </c>
      <c r="H1124" s="2214">
        <f>'Part VII-Pro Forma'!H28</f>
        <v>0</v>
      </c>
      <c r="I1124" s="2214">
        <f>'Part VII-Pro Forma'!I28</f>
        <v>0</v>
      </c>
      <c r="J1124" s="2214">
        <f>'Part VII-Pro Forma'!J28</f>
        <v>0</v>
      </c>
      <c r="K1124" s="2214">
        <f>'Part VII-Pro Forma'!K28</f>
        <v>0</v>
      </c>
      <c r="N1124" s="2043"/>
      <c r="O1124" s="2043"/>
      <c r="Q1124" s="2051">
        <v>8</v>
      </c>
      <c r="R1124" s="2140">
        <f>-SUM(B1128:I1128)</f>
        <v>3885</v>
      </c>
      <c r="S1124" s="2140">
        <f>SUM(B1129:I1129)+R1124</f>
        <v>316195.79668739473</v>
      </c>
      <c r="Z1124" s="1924" t="s">
        <v>6775</v>
      </c>
      <c r="AA1124" s="2051">
        <v>28</v>
      </c>
    </row>
    <row r="1125" spans="1:27" s="1852" customFormat="1" ht="13.35" customHeight="1">
      <c r="A1125" s="1852" t="s">
        <v>3422</v>
      </c>
      <c r="B1125" s="2214">
        <f>'Part VII-Pro Forma'!B29</f>
        <v>0</v>
      </c>
      <c r="C1125" s="2214">
        <f>'Part VII-Pro Forma'!C29</f>
        <v>0</v>
      </c>
      <c r="D1125" s="2214">
        <f>'Part VII-Pro Forma'!D29</f>
        <v>0</v>
      </c>
      <c r="E1125" s="2214">
        <f>'Part VII-Pro Forma'!E29</f>
        <v>0</v>
      </c>
      <c r="F1125" s="2214">
        <f>'Part VII-Pro Forma'!F29</f>
        <v>0</v>
      </c>
      <c r="G1125" s="2214">
        <f>'Part VII-Pro Forma'!G29</f>
        <v>0</v>
      </c>
      <c r="H1125" s="2214">
        <f>'Part VII-Pro Forma'!H29</f>
        <v>0</v>
      </c>
      <c r="I1125" s="2214">
        <f>'Part VII-Pro Forma'!I29</f>
        <v>0</v>
      </c>
      <c r="J1125" s="2214">
        <f>'Part VII-Pro Forma'!J29</f>
        <v>0</v>
      </c>
      <c r="K1125" s="2214">
        <f>'Part VII-Pro Forma'!K29</f>
        <v>0</v>
      </c>
      <c r="N1125" s="2043"/>
      <c r="O1125" s="2043"/>
      <c r="Q1125" s="2051">
        <v>9</v>
      </c>
      <c r="R1125" s="2140">
        <f>-SUM(B1128:J1128)</f>
        <v>3885</v>
      </c>
      <c r="S1125" s="2140">
        <f>SUM(B1129:J1129)+R1125</f>
        <v>360235.20132117614</v>
      </c>
      <c r="Z1125" s="1924" t="s">
        <v>6775</v>
      </c>
      <c r="AA1125" s="2051">
        <v>29</v>
      </c>
    </row>
    <row r="1126" spans="1:27" s="1852" customFormat="1" ht="13.35" customHeight="1">
      <c r="A1126" s="1852" t="s">
        <v>733</v>
      </c>
      <c r="B1126" s="2214">
        <f>'Part VII-Pro Forma'!B30</f>
        <v>0</v>
      </c>
      <c r="C1126" s="2214">
        <f>'Part VII-Pro Forma'!C30</f>
        <v>0</v>
      </c>
      <c r="D1126" s="2214">
        <f>'Part VII-Pro Forma'!D30</f>
        <v>0</v>
      </c>
      <c r="E1126" s="2214">
        <f>'Part VII-Pro Forma'!E30</f>
        <v>0</v>
      </c>
      <c r="F1126" s="2214">
        <f>'Part VII-Pro Forma'!F30</f>
        <v>0</v>
      </c>
      <c r="G1126" s="2214">
        <f>'Part VII-Pro Forma'!G30</f>
        <v>0</v>
      </c>
      <c r="H1126" s="2214">
        <f>'Part VII-Pro Forma'!H30</f>
        <v>0</v>
      </c>
      <c r="I1126" s="2214">
        <f>'Part VII-Pro Forma'!I30</f>
        <v>0</v>
      </c>
      <c r="J1126" s="2214">
        <f>'Part VII-Pro Forma'!J30</f>
        <v>0</v>
      </c>
      <c r="K1126" s="2214">
        <f>'Part VII-Pro Forma'!K30</f>
        <v>0</v>
      </c>
      <c r="N1126" s="2043"/>
      <c r="O1126" s="2043"/>
      <c r="Q1126" s="2051">
        <v>10</v>
      </c>
      <c r="R1126" s="2140">
        <f>-SUM(B1128:K1128)</f>
        <v>3885</v>
      </c>
      <c r="S1126" s="2140">
        <f>SUM(B1129:K1129)+R1126</f>
        <v>405142.90759979142</v>
      </c>
      <c r="Z1126" s="1924" t="s">
        <v>6775</v>
      </c>
      <c r="AA1126" s="2051">
        <v>30</v>
      </c>
    </row>
    <row r="1127" spans="1:27" s="1852" customFormat="1" ht="13.35" customHeight="1">
      <c r="A1127" s="1852" t="s">
        <v>1121</v>
      </c>
      <c r="B1127" s="2214">
        <f>'Part VII-Pro Forma'!B31</f>
        <v>-5400</v>
      </c>
      <c r="C1127" s="2214">
        <f>'Part VII-Pro Forma'!C31</f>
        <v>-5400</v>
      </c>
      <c r="D1127" s="2214">
        <f>'Part VII-Pro Forma'!D31</f>
        <v>-5400</v>
      </c>
      <c r="E1127" s="2214">
        <f>'Part VII-Pro Forma'!E31</f>
        <v>-5400</v>
      </c>
      <c r="F1127" s="2214">
        <f>'Part VII-Pro Forma'!F31</f>
        <v>-5400</v>
      </c>
      <c r="G1127" s="2214">
        <f>'Part VII-Pro Forma'!G31</f>
        <v>-5400</v>
      </c>
      <c r="H1127" s="2214">
        <f>'Part VII-Pro Forma'!H31</f>
        <v>-5400</v>
      </c>
      <c r="I1127" s="2214">
        <f>'Part VII-Pro Forma'!I31</f>
        <v>-5400</v>
      </c>
      <c r="J1127" s="2214">
        <f>'Part VII-Pro Forma'!J31</f>
        <v>-5400</v>
      </c>
      <c r="K1127" s="2214">
        <f>'Part VII-Pro Forma'!K31</f>
        <v>-5400</v>
      </c>
      <c r="N1127" s="2043"/>
      <c r="O1127" s="2043"/>
      <c r="Q1127" s="2051">
        <v>11</v>
      </c>
      <c r="R1127" s="2140">
        <f>-SUM(B1128:K1128)-B1160</f>
        <v>3885</v>
      </c>
      <c r="S1127" s="2140">
        <f>SUM(B1129:K1129)+B1161+R1127</f>
        <v>553595.66740444058</v>
      </c>
      <c r="Z1127" s="1924" t="s">
        <v>6775</v>
      </c>
      <c r="AA1127" s="2051">
        <v>31</v>
      </c>
    </row>
    <row r="1128" spans="1:27" s="1852" customFormat="1" ht="13.35" customHeight="1">
      <c r="A1128" s="1852" t="s">
        <v>3511</v>
      </c>
      <c r="B1128" s="2214">
        <f>'Part VII-Pro Forma'!B32</f>
        <v>0</v>
      </c>
      <c r="C1128" s="2214">
        <f>'Part VII-Pro Forma'!C32</f>
        <v>-3885</v>
      </c>
      <c r="D1128" s="2214">
        <f>'Part VII-Pro Forma'!D32</f>
        <v>0</v>
      </c>
      <c r="E1128" s="2214">
        <f>'Part VII-Pro Forma'!E32</f>
        <v>0</v>
      </c>
      <c r="F1128" s="2214">
        <f>'Part VII-Pro Forma'!F32</f>
        <v>0</v>
      </c>
      <c r="G1128" s="2214">
        <f>'Part VII-Pro Forma'!G32</f>
        <v>0</v>
      </c>
      <c r="H1128" s="2214">
        <f>'Part VII-Pro Forma'!H32</f>
        <v>0</v>
      </c>
      <c r="I1128" s="2214">
        <f>'Part VII-Pro Forma'!I32</f>
        <v>0</v>
      </c>
      <c r="J1128" s="2214">
        <f>'Part VII-Pro Forma'!J32</f>
        <v>0</v>
      </c>
      <c r="K1128" s="2214">
        <f>'Part VII-Pro Forma'!K32</f>
        <v>0</v>
      </c>
      <c r="N1128" s="2043"/>
      <c r="O1128" s="2043"/>
      <c r="Q1128" s="2051">
        <v>12</v>
      </c>
      <c r="R1128" s="2140">
        <f>-SUM(B1128:K1128) - SUM(B1160:C1160)</f>
        <v>3885</v>
      </c>
      <c r="S1128" s="2140">
        <f>SUM(B1129:K1129) + SUM(B1161:C1161)+R1128</f>
        <v>702817.56295522803</v>
      </c>
      <c r="Z1128" s="1924" t="s">
        <v>6775</v>
      </c>
      <c r="AA1128" s="2051">
        <v>32</v>
      </c>
    </row>
    <row r="1129" spans="1:27" s="1852" customFormat="1" ht="13.35" customHeight="1">
      <c r="A1129" s="1852" t="s">
        <v>1122</v>
      </c>
      <c r="B1129" s="2213">
        <f>'Part VII-Pro Forma'!B33</f>
        <v>35685.248744308105</v>
      </c>
      <c r="C1129" s="2213">
        <f>'Part VII-Pro Forma'!C33</f>
        <v>32959.414184308145</v>
      </c>
      <c r="D1129" s="2213">
        <f>'Part VII-Pro Forma'!D33</f>
        <v>37974.728133108089</v>
      </c>
      <c r="E1129" s="2213">
        <f>'Part VII-Pro Forma'!E33</f>
        <v>39075.328116884106</v>
      </c>
      <c r="F1129" s="2213">
        <f>'Part VII-Pro Forma'!F33</f>
        <v>40143.268049015664</v>
      </c>
      <c r="G1129" s="2213">
        <f>'Part VII-Pro Forma'!G33</f>
        <v>41175.515166930156</v>
      </c>
      <c r="H1129" s="2213">
        <f>'Part VII-Pro Forma'!H33</f>
        <v>42170.946865957667</v>
      </c>
      <c r="I1129" s="2213">
        <f>'Part VII-Pro Forma'!I33</f>
        <v>43126.347426882799</v>
      </c>
      <c r="J1129" s="2213">
        <f>'Part VII-Pro Forma'!J33</f>
        <v>44039.404633781407</v>
      </c>
      <c r="K1129" s="2213">
        <f>'Part VII-Pro Forma'!K33</f>
        <v>44907.706278615311</v>
      </c>
      <c r="N1129" s="2043"/>
      <c r="O1129" s="2043"/>
      <c r="Q1129" s="2051">
        <v>13</v>
      </c>
      <c r="R1129" s="2140">
        <f>-SUM(B1128:K1128) - SUM(B1160:D1160)</f>
        <v>3885</v>
      </c>
      <c r="S1129" s="2140">
        <f>SUM(B1129:K1129) + SUM(B1161:D1161)+R1129</f>
        <v>852754.96538357821</v>
      </c>
      <c r="Z1129" s="1924" t="s">
        <v>6775</v>
      </c>
      <c r="AA1129" s="1929">
        <v>33</v>
      </c>
    </row>
    <row r="1130" spans="1:27" s="1852" customFormat="1" ht="13.35" customHeight="1">
      <c r="A1130" s="1852" t="str">
        <f>IF('Part III-Sources of Funds'!$E$40 = "Neither", "", "DCR Mortgage A")</f>
        <v>DCR Mortgage A</v>
      </c>
      <c r="B1130" s="2215">
        <f>'Part VII-Pro Forma'!B34</f>
        <v>1.3999536572704705</v>
      </c>
      <c r="C1130" s="2215">
        <f>'Part VII-Pro Forma'!C34</f>
        <v>1.4112378157282863</v>
      </c>
      <c r="D1130" s="2215">
        <f>'Part VII-Pro Forma'!D34</f>
        <v>1.4222411128118653</v>
      </c>
      <c r="E1130" s="2215">
        <f>'Part VII-Pro Forma'!E34</f>
        <v>1.4329551525744704</v>
      </c>
      <c r="F1130" s="2215">
        <f>'Part VII-Pro Forma'!F34</f>
        <v>1.4433512556687804</v>
      </c>
      <c r="G1130" s="2215">
        <f>'Part VII-Pro Forma'!G34</f>
        <v>1.4533998989807915</v>
      </c>
      <c r="H1130" s="2215">
        <f>'Part VII-Pro Forma'!H34</f>
        <v>1.4630901542611412</v>
      </c>
      <c r="I1130" s="2215">
        <f>'Part VII-Pro Forma'!I34</f>
        <v>1.4723907173629576</v>
      </c>
      <c r="J1130" s="2215">
        <f>'Part VII-Pro Forma'!J34</f>
        <v>1.4812790794967479</v>
      </c>
      <c r="K1130" s="2215">
        <f>'Part VII-Pro Forma'!K34</f>
        <v>1.4897317584771421</v>
      </c>
      <c r="N1130" s="2043"/>
      <c r="O1130" s="2043"/>
      <c r="Q1130" s="2051">
        <v>14</v>
      </c>
      <c r="R1130" s="2140">
        <f>-SUM(B1128:K1128) - SUM(B1160:E1160)</f>
        <v>3885</v>
      </c>
      <c r="S1130" s="2140">
        <f>SUM(B1129:K1129) + SUM(B1161:E1161)+R1130</f>
        <v>1003351.3962960385</v>
      </c>
      <c r="Z1130" s="1924" t="s">
        <v>6775</v>
      </c>
      <c r="AA1130" s="2051">
        <v>34</v>
      </c>
    </row>
    <row r="1131" spans="1:27" s="1852" customFormat="1" ht="13.35" customHeight="1">
      <c r="A1131" s="1852" t="str">
        <f>IF('Part III-Sources of Funds'!$E$40 = "Neither", "", "DCR Mortgage B")</f>
        <v>DCR Mortgage B</v>
      </c>
      <c r="B1131" s="2215" t="str">
        <f>'Part VII-Pro Forma'!B35</f>
        <v/>
      </c>
      <c r="C1131" s="2215" t="str">
        <f>'Part VII-Pro Forma'!C35</f>
        <v/>
      </c>
      <c r="D1131" s="2215" t="str">
        <f>'Part VII-Pro Forma'!D35</f>
        <v/>
      </c>
      <c r="E1131" s="2215" t="str">
        <f>'Part VII-Pro Forma'!E35</f>
        <v/>
      </c>
      <c r="F1131" s="2215" t="str">
        <f>'Part VII-Pro Forma'!F35</f>
        <v/>
      </c>
      <c r="G1131" s="2215" t="str">
        <f>'Part VII-Pro Forma'!G35</f>
        <v/>
      </c>
      <c r="H1131" s="2215" t="str">
        <f>'Part VII-Pro Forma'!H35</f>
        <v/>
      </c>
      <c r="I1131" s="2215" t="str">
        <f>'Part VII-Pro Forma'!I35</f>
        <v/>
      </c>
      <c r="J1131" s="2215" t="str">
        <f>'Part VII-Pro Forma'!J35</f>
        <v/>
      </c>
      <c r="K1131" s="2215" t="str">
        <f>'Part VII-Pro Forma'!K35</f>
        <v/>
      </c>
      <c r="N1131" s="2043"/>
      <c r="O1131" s="2043"/>
      <c r="Q1131" s="2051">
        <v>15</v>
      </c>
      <c r="R1131" s="2140">
        <f>-SUM(B1128:K1128) - SUM(B1160:F1160)</f>
        <v>3885</v>
      </c>
      <c r="S1131" s="2140">
        <f>SUM(B1129:K1129) + SUM(B1161:F1161)+R1131</f>
        <v>1154545.4084753576</v>
      </c>
      <c r="Z1131" s="1924" t="s">
        <v>6775</v>
      </c>
      <c r="AA1131" s="2051">
        <v>35</v>
      </c>
    </row>
    <row r="1132" spans="1:27" s="1852" customFormat="1" ht="13.35" customHeight="1">
      <c r="A1132" s="1852" t="str">
        <f>IF('Part III-Sources of Funds'!$E$40 = "Neither", "DCR First Mortgage", "DCR Mortgage C")</f>
        <v>DCR Mortgage C</v>
      </c>
      <c r="B1132" s="2215" t="str">
        <f>'Part VII-Pro Forma'!B36</f>
        <v/>
      </c>
      <c r="C1132" s="2215" t="str">
        <f>'Part VII-Pro Forma'!C36</f>
        <v/>
      </c>
      <c r="D1132" s="2215" t="str">
        <f>'Part VII-Pro Forma'!D36</f>
        <v/>
      </c>
      <c r="E1132" s="2215" t="str">
        <f>'Part VII-Pro Forma'!E36</f>
        <v/>
      </c>
      <c r="F1132" s="2215" t="str">
        <f>'Part VII-Pro Forma'!F36</f>
        <v/>
      </c>
      <c r="G1132" s="2215" t="str">
        <f>'Part VII-Pro Forma'!G36</f>
        <v/>
      </c>
      <c r="H1132" s="2215" t="str">
        <f>'Part VII-Pro Forma'!H36</f>
        <v/>
      </c>
      <c r="I1132" s="2215" t="str">
        <f>'Part VII-Pro Forma'!I36</f>
        <v/>
      </c>
      <c r="J1132" s="2215" t="str">
        <f>'Part VII-Pro Forma'!J36</f>
        <v/>
      </c>
      <c r="K1132" s="2215" t="str">
        <f>'Part VII-Pro Forma'!K36</f>
        <v/>
      </c>
      <c r="N1132" s="2043"/>
      <c r="O1132" s="2043"/>
      <c r="Q1132" s="2051">
        <v>16</v>
      </c>
      <c r="R1132" s="2140">
        <f>-SUM(B1128:K1128) - SUM(B1160:G1160)</f>
        <v>3885</v>
      </c>
      <c r="S1132" s="2140">
        <f>SUM(B1129:K1129) + SUM(B1161:G1161)+R1132</f>
        <v>1306274.4623263306</v>
      </c>
      <c r="Z1132" s="1924" t="s">
        <v>6775</v>
      </c>
      <c r="AA1132" s="2051">
        <v>36</v>
      </c>
    </row>
    <row r="1133" spans="1:27" s="1852" customFormat="1" ht="13.35" customHeight="1">
      <c r="A1133" s="1852" t="s">
        <v>751</v>
      </c>
      <c r="B1133" s="2215" t="str">
        <f>'Part VII-Pro Forma'!B37</f>
        <v/>
      </c>
      <c r="C1133" s="2215" t="str">
        <f>'Part VII-Pro Forma'!C37</f>
        <v/>
      </c>
      <c r="D1133" s="2215" t="str">
        <f>'Part VII-Pro Forma'!D37</f>
        <v/>
      </c>
      <c r="E1133" s="2215" t="str">
        <f>'Part VII-Pro Forma'!E37</f>
        <v/>
      </c>
      <c r="F1133" s="2215" t="str">
        <f>'Part VII-Pro Forma'!F37</f>
        <v/>
      </c>
      <c r="G1133" s="2215" t="str">
        <f>'Part VII-Pro Forma'!G37</f>
        <v/>
      </c>
      <c r="H1133" s="2215" t="str">
        <f>'Part VII-Pro Forma'!H37</f>
        <v/>
      </c>
      <c r="I1133" s="2215" t="str">
        <f>'Part VII-Pro Forma'!I37</f>
        <v/>
      </c>
      <c r="J1133" s="2215" t="str">
        <f>'Part VII-Pro Forma'!J37</f>
        <v/>
      </c>
      <c r="K1133" s="2215" t="str">
        <f>'Part VII-Pro Forma'!K37</f>
        <v/>
      </c>
      <c r="N1133" s="2043"/>
      <c r="O1133" s="2043"/>
      <c r="Q1133" s="2051">
        <v>17</v>
      </c>
      <c r="R1133" s="2140">
        <f>-SUM(B1128:K1128) - SUM(B1160:H1160)</f>
        <v>3885</v>
      </c>
      <c r="S1133" s="2140">
        <f>SUM(B1129:K1129) + SUM(B1161:H1161)+R1133</f>
        <v>1458470.7979252334</v>
      </c>
      <c r="Z1133" s="1924" t="s">
        <v>6775</v>
      </c>
      <c r="AA1133" s="2051">
        <v>37</v>
      </c>
    </row>
    <row r="1134" spans="1:27" s="1852" customFormat="1" ht="13.35" customHeight="1">
      <c r="A1134" s="1852" t="s">
        <v>3345</v>
      </c>
      <c r="B1134" s="2215">
        <f>'Part VII-Pro Forma'!B38</f>
        <v>1.3999536572704705</v>
      </c>
      <c r="C1134" s="2215">
        <f>'Part VII-Pro Forma'!C38</f>
        <v>1.4112378157282863</v>
      </c>
      <c r="D1134" s="2215">
        <f>'Part VII-Pro Forma'!D38</f>
        <v>1.4222411128118653</v>
      </c>
      <c r="E1134" s="2215">
        <f>'Part VII-Pro Forma'!E38</f>
        <v>1.4329551525744704</v>
      </c>
      <c r="F1134" s="2215">
        <f>'Part VII-Pro Forma'!F38</f>
        <v>1.4433512556687804</v>
      </c>
      <c r="G1134" s="2215">
        <f>'Part VII-Pro Forma'!G38</f>
        <v>1.4533998989807915</v>
      </c>
      <c r="H1134" s="2215">
        <f>'Part VII-Pro Forma'!H38</f>
        <v>1.4630901542611412</v>
      </c>
      <c r="I1134" s="2215">
        <f>'Part VII-Pro Forma'!I38</f>
        <v>1.4723907173629576</v>
      </c>
      <c r="J1134" s="2215">
        <f>'Part VII-Pro Forma'!J38</f>
        <v>1.4812790794967479</v>
      </c>
      <c r="K1134" s="2215">
        <f>'Part VII-Pro Forma'!K38</f>
        <v>1.4897317584771421</v>
      </c>
      <c r="N1134" s="2043"/>
      <c r="O1134" s="2043"/>
      <c r="Q1134" s="2051">
        <v>18</v>
      </c>
      <c r="R1134" s="2140">
        <f>-SUM(B1128:K1128) - SUM(B1160:I1160)</f>
        <v>3885</v>
      </c>
      <c r="S1134" s="2140">
        <f>SUM(B1129:K1129) + SUM(B1161:I1161)+R1134</f>
        <v>1611063.3025271511</v>
      </c>
      <c r="Z1134" s="1924" t="s">
        <v>6775</v>
      </c>
      <c r="AA1134" s="2051">
        <v>38</v>
      </c>
    </row>
    <row r="1135" spans="1:27" s="1852" customFormat="1" ht="13.35" customHeight="1">
      <c r="A1135" s="1852" t="s">
        <v>740</v>
      </c>
      <c r="B1135" s="2215">
        <f>'Part VII-Pro Forma'!B39</f>
        <v>1.7086972925557604</v>
      </c>
      <c r="C1135" s="2215">
        <f>'Part VII-Pro Forma'!C39</f>
        <v>1.6946391371855569</v>
      </c>
      <c r="D1135" s="2215">
        <f>'Part VII-Pro Forma'!D39</f>
        <v>1.6806718601281856</v>
      </c>
      <c r="E1135" s="2215">
        <f>'Part VII-Pro Forma'!E39</f>
        <v>1.6668050329917798</v>
      </c>
      <c r="F1135" s="2215">
        <f>'Part VII-Pro Forma'!F39</f>
        <v>1.6530323179653224</v>
      </c>
      <c r="G1135" s="2215">
        <f>'Part VII-Pro Forma'!G39</f>
        <v>1.6393482267847312</v>
      </c>
      <c r="H1135" s="2215">
        <f>'Part VII-Pro Forma'!H39</f>
        <v>1.6257615823718141</v>
      </c>
      <c r="I1135" s="2215">
        <f>'Part VII-Pro Forma'!I39</f>
        <v>1.6122669177394877</v>
      </c>
      <c r="J1135" s="2215">
        <f>'Part VII-Pro Forma'!J39</f>
        <v>1.5988657975268663</v>
      </c>
      <c r="K1135" s="2215">
        <f>'Part VII-Pro Forma'!K39</f>
        <v>1.585559555805462</v>
      </c>
      <c r="N1135" s="2043"/>
      <c r="O1135" s="2043"/>
      <c r="Q1135" s="2051">
        <v>19</v>
      </c>
      <c r="R1135" s="2140">
        <f>-SUM(B1128:K1128) - SUM(B1160:J1160)</f>
        <v>3885</v>
      </c>
      <c r="S1135" s="2140">
        <f>SUM(B1129:K1129) + SUM(B1161:J1161)+R1135</f>
        <v>1763977.3733808752</v>
      </c>
      <c r="Z1135" s="1924" t="s">
        <v>6775</v>
      </c>
      <c r="AA1135" s="2051">
        <v>39</v>
      </c>
    </row>
    <row r="1136" spans="1:27" s="1852" customFormat="1" ht="13.35" customHeight="1">
      <c r="A1136" s="1852" t="s">
        <v>2494</v>
      </c>
      <c r="B1136" s="2214">
        <f>'Part VII-Pro Forma'!B40</f>
        <v>735541.38241832866</v>
      </c>
      <c r="C1136" s="2214">
        <f>'Part VII-Pro Forma'!C40</f>
        <v>669866.93687732087</v>
      </c>
      <c r="D1136" s="2214">
        <f>'Part VII-Pro Forma'!D40</f>
        <v>600660.39574533771</v>
      </c>
      <c r="E1136" s="2214">
        <f>'Part VII-Pro Forma'!E40</f>
        <v>527731.79625739483</v>
      </c>
      <c r="F1136" s="2214">
        <f>'Part VII-Pro Forma'!F40</f>
        <v>450880.95909259887</v>
      </c>
      <c r="G1136" s="2214">
        <f>'Part VII-Pro Forma'!G40</f>
        <v>369896.9389084953</v>
      </c>
      <c r="H1136" s="2214">
        <f>'Part VII-Pro Forma'!H40</f>
        <v>284557.44532411575</v>
      </c>
      <c r="I1136" s="2214">
        <f>'Part VII-Pro Forma'!I40</f>
        <v>194628.2327624021</v>
      </c>
      <c r="J1136" s="2214">
        <f>'Part VII-Pro Forma'!J40</f>
        <v>99862.457477204473</v>
      </c>
      <c r="K1136" s="2214">
        <f>'Part VII-Pro Forma'!K40</f>
        <v>-2.176966518163681E-8</v>
      </c>
      <c r="N1136" s="2043"/>
      <c r="O1136" s="2043"/>
      <c r="Q1136" s="2051">
        <v>20</v>
      </c>
      <c r="R1136" s="2140">
        <f>-SUM(B1128:K1128) - SUM(B1160:K1160)</f>
        <v>3885</v>
      </c>
      <c r="S1136" s="2140">
        <f>SUM(B1129:K1129) + SUM(B1161:K1161)+R1136</f>
        <v>1917134.7756962352</v>
      </c>
      <c r="Z1136" s="1924" t="s">
        <v>6775</v>
      </c>
      <c r="AA1136" s="2051">
        <v>40</v>
      </c>
    </row>
    <row r="1137" spans="1:27" s="1852" customFormat="1" ht="13.35" customHeight="1">
      <c r="A1137" s="1852" t="s">
        <v>2495</v>
      </c>
      <c r="B1137" s="2214" t="str">
        <f>'Part VII-Pro Forma'!B41</f>
        <v/>
      </c>
      <c r="C1137" s="2214" t="str">
        <f>'Part VII-Pro Forma'!C41</f>
        <v/>
      </c>
      <c r="D1137" s="2214" t="str">
        <f>'Part VII-Pro Forma'!D41</f>
        <v/>
      </c>
      <c r="E1137" s="2214" t="str">
        <f>'Part VII-Pro Forma'!E41</f>
        <v/>
      </c>
      <c r="F1137" s="2214" t="str">
        <f>'Part VII-Pro Forma'!F41</f>
        <v/>
      </c>
      <c r="G1137" s="2214" t="str">
        <f>'Part VII-Pro Forma'!G41</f>
        <v/>
      </c>
      <c r="H1137" s="2214" t="str">
        <f>'Part VII-Pro Forma'!H41</f>
        <v/>
      </c>
      <c r="I1137" s="2214" t="str">
        <f>'Part VII-Pro Forma'!I41</f>
        <v/>
      </c>
      <c r="J1137" s="2214" t="str">
        <f>'Part VII-Pro Forma'!J41</f>
        <v/>
      </c>
      <c r="K1137" s="2214" t="str">
        <f>'Part VII-Pro Forma'!K41</f>
        <v/>
      </c>
      <c r="N1137" s="2043"/>
      <c r="O1137" s="2043"/>
      <c r="Z1137" s="1924" t="s">
        <v>6775</v>
      </c>
      <c r="AA1137" s="2051">
        <v>41</v>
      </c>
    </row>
    <row r="1138" spans="1:27" s="1852" customFormat="1" ht="13.35" customHeight="1">
      <c r="A1138" s="1852" t="s">
        <v>2496</v>
      </c>
      <c r="B1138" s="2214" t="str">
        <f>'Part VII-Pro Forma'!B42</f>
        <v/>
      </c>
      <c r="C1138" s="2214" t="str">
        <f>'Part VII-Pro Forma'!C42</f>
        <v/>
      </c>
      <c r="D1138" s="2214" t="str">
        <f>'Part VII-Pro Forma'!D42</f>
        <v/>
      </c>
      <c r="E1138" s="2214" t="str">
        <f>'Part VII-Pro Forma'!E42</f>
        <v/>
      </c>
      <c r="F1138" s="2214" t="str">
        <f>'Part VII-Pro Forma'!F42</f>
        <v/>
      </c>
      <c r="G1138" s="2214" t="str">
        <f>'Part VII-Pro Forma'!G42</f>
        <v/>
      </c>
      <c r="H1138" s="2214" t="str">
        <f>'Part VII-Pro Forma'!H42</f>
        <v/>
      </c>
      <c r="I1138" s="2214" t="str">
        <f>'Part VII-Pro Forma'!I42</f>
        <v/>
      </c>
      <c r="J1138" s="2214" t="str">
        <f>'Part VII-Pro Forma'!J42</f>
        <v/>
      </c>
      <c r="K1138" s="2214" t="str">
        <f>'Part VII-Pro Forma'!K42</f>
        <v/>
      </c>
      <c r="N1138" s="2043"/>
      <c r="O1138" s="2043"/>
      <c r="Z1138" s="1924" t="s">
        <v>6775</v>
      </c>
      <c r="AA1138" s="1929">
        <v>42</v>
      </c>
    </row>
    <row r="1139" spans="1:27" s="1852" customFormat="1" ht="13.35" customHeight="1">
      <c r="A1139" s="1852" t="s">
        <v>752</v>
      </c>
      <c r="B1139" s="2214" t="str">
        <f>'Part VII-Pro Forma'!B43</f>
        <v/>
      </c>
      <c r="C1139" s="2214" t="str">
        <f>'Part VII-Pro Forma'!C43</f>
        <v/>
      </c>
      <c r="D1139" s="2214" t="str">
        <f>'Part VII-Pro Forma'!D43</f>
        <v/>
      </c>
      <c r="E1139" s="2214" t="str">
        <f>'Part VII-Pro Forma'!E43</f>
        <v/>
      </c>
      <c r="F1139" s="2214" t="str">
        <f>'Part VII-Pro Forma'!F43</f>
        <v/>
      </c>
      <c r="G1139" s="2214" t="str">
        <f>'Part VII-Pro Forma'!G43</f>
        <v/>
      </c>
      <c r="H1139" s="2214" t="str">
        <f>'Part VII-Pro Forma'!H43</f>
        <v/>
      </c>
      <c r="I1139" s="2214" t="str">
        <f>'Part VII-Pro Forma'!I43</f>
        <v/>
      </c>
      <c r="J1139" s="2214" t="str">
        <f>'Part VII-Pro Forma'!J43</f>
        <v/>
      </c>
      <c r="K1139" s="2214" t="str">
        <f>'Part VII-Pro Forma'!K43</f>
        <v/>
      </c>
      <c r="N1139" s="2043"/>
      <c r="O1139" s="2043"/>
      <c r="Z1139" s="1924" t="s">
        <v>6775</v>
      </c>
      <c r="AA1139" s="2051">
        <v>43</v>
      </c>
    </row>
    <row r="1140" spans="1:27" s="1852" customFormat="1" ht="13.35" customHeight="1">
      <c r="A1140" s="1852" t="s">
        <v>3512</v>
      </c>
      <c r="B1140" s="2214">
        <f>'Part VII-Pro Forma'!B44</f>
        <v>3885</v>
      </c>
      <c r="C1140" s="2214">
        <f>'Part VII-Pro Forma'!C44</f>
        <v>0</v>
      </c>
      <c r="D1140" s="2214">
        <f>'Part VII-Pro Forma'!D44</f>
        <v>0</v>
      </c>
      <c r="E1140" s="2214">
        <f>'Part VII-Pro Forma'!E44</f>
        <v>0</v>
      </c>
      <c r="F1140" s="2214">
        <f>'Part VII-Pro Forma'!F44</f>
        <v>0</v>
      </c>
      <c r="G1140" s="2214">
        <f>'Part VII-Pro Forma'!G44</f>
        <v>0</v>
      </c>
      <c r="H1140" s="2214">
        <f>'Part VII-Pro Forma'!H44</f>
        <v>0</v>
      </c>
      <c r="I1140" s="2214">
        <f>'Part VII-Pro Forma'!I44</f>
        <v>0</v>
      </c>
      <c r="J1140" s="2214">
        <f>'Part VII-Pro Forma'!J44</f>
        <v>0</v>
      </c>
      <c r="K1140" s="2214">
        <f>'Part VII-Pro Forma'!K44</f>
        <v>0</v>
      </c>
      <c r="N1140" s="2043"/>
      <c r="O1140" s="2043"/>
      <c r="Z1140" s="1924" t="s">
        <v>6775</v>
      </c>
      <c r="AA1140" s="2051">
        <v>44</v>
      </c>
    </row>
    <row r="1141" spans="1:27" s="1852" customFormat="1" ht="4.3499999999999996" customHeight="1">
      <c r="B1141" s="2213"/>
      <c r="C1141" s="2213"/>
      <c r="D1141" s="2213"/>
      <c r="E1141" s="2213"/>
      <c r="F1141" s="2213"/>
      <c r="G1141" s="2213"/>
      <c r="H1141" s="2213"/>
      <c r="I1141" s="2213"/>
      <c r="J1141" s="2213"/>
      <c r="K1141" s="2213"/>
      <c r="Z1141" s="1924"/>
      <c r="AA1141" s="2051">
        <v>45</v>
      </c>
    </row>
    <row r="1142" spans="1:27" s="1852" customFormat="1" ht="14.45" customHeight="1">
      <c r="A1142" s="1852" t="s">
        <v>2369</v>
      </c>
      <c r="B1142" s="2213">
        <f>K1110+1</f>
        <v>11</v>
      </c>
      <c r="C1142" s="2213">
        <f t="shared" ref="C1142:K1142" si="376">B1142+1</f>
        <v>12</v>
      </c>
      <c r="D1142" s="2213">
        <f t="shared" si="376"/>
        <v>13</v>
      </c>
      <c r="E1142" s="2213">
        <f t="shared" si="376"/>
        <v>14</v>
      </c>
      <c r="F1142" s="2213">
        <f t="shared" si="376"/>
        <v>15</v>
      </c>
      <c r="G1142" s="2213">
        <f t="shared" si="376"/>
        <v>16</v>
      </c>
      <c r="H1142" s="2213">
        <f t="shared" si="376"/>
        <v>17</v>
      </c>
      <c r="I1142" s="2213">
        <f t="shared" si="376"/>
        <v>18</v>
      </c>
      <c r="J1142" s="2213">
        <f t="shared" si="376"/>
        <v>19</v>
      </c>
      <c r="K1142" s="2213">
        <f t="shared" si="376"/>
        <v>20</v>
      </c>
      <c r="N1142" s="1852" t="s">
        <v>2498</v>
      </c>
      <c r="Z1142" s="1924"/>
      <c r="AA1142" s="2051">
        <v>46</v>
      </c>
    </row>
    <row r="1143" spans="1:27" s="1852" customFormat="1" ht="13.35" customHeight="1">
      <c r="A1143" s="1852" t="s">
        <v>2295</v>
      </c>
      <c r="B1143" s="2213">
        <f>'Part VII-Pro Forma'!B47</f>
        <v>445566.8403964836</v>
      </c>
      <c r="C1143" s="2213">
        <f>'Part VII-Pro Forma'!C47</f>
        <v>454478.17720441322</v>
      </c>
      <c r="D1143" s="2213">
        <f>'Part VII-Pro Forma'!D47</f>
        <v>463567.74074850156</v>
      </c>
      <c r="E1143" s="2213">
        <f>'Part VII-Pro Forma'!E47</f>
        <v>472839.09556347155</v>
      </c>
      <c r="F1143" s="2213">
        <f>'Part VII-Pro Forma'!F47</f>
        <v>482295.87747474102</v>
      </c>
      <c r="G1143" s="2213">
        <f>'Part VII-Pro Forma'!G47</f>
        <v>491941.79502423573</v>
      </c>
      <c r="H1143" s="2213">
        <f>'Part VII-Pro Forma'!H47</f>
        <v>501780.63092472049</v>
      </c>
      <c r="I1143" s="2213">
        <f>'Part VII-Pro Forma'!I47</f>
        <v>511816.24354321498</v>
      </c>
      <c r="J1143" s="2213">
        <f>'Part VII-Pro Forma'!J47</f>
        <v>522052.5684140792</v>
      </c>
      <c r="K1143" s="2213">
        <f>'Part VII-Pro Forma'!K47</f>
        <v>532493.61978236074</v>
      </c>
      <c r="N1143" s="2043"/>
      <c r="O1143" s="2043"/>
      <c r="Z1143" s="1924" t="s">
        <v>6776</v>
      </c>
      <c r="AA1143" s="1929">
        <v>47</v>
      </c>
    </row>
    <row r="1144" spans="1:27" s="1852" customFormat="1" ht="13.35" customHeight="1">
      <c r="A1144" s="1852" t="s">
        <v>977</v>
      </c>
      <c r="B1144" s="2213">
        <f>'Part VII-Pro Forma'!B48</f>
        <v>8911.3368079296724</v>
      </c>
      <c r="C1144" s="2213">
        <f>'Part VII-Pro Forma'!C48</f>
        <v>9089.5635440882652</v>
      </c>
      <c r="D1144" s="2213">
        <f>'Part VII-Pro Forma'!D48</f>
        <v>9271.3548149700309</v>
      </c>
      <c r="E1144" s="2213">
        <f>'Part VII-Pro Forma'!E48</f>
        <v>9456.7819112694324</v>
      </c>
      <c r="F1144" s="2213">
        <f>'Part VII-Pro Forma'!F48</f>
        <v>9645.9175494948213</v>
      </c>
      <c r="G1144" s="2213">
        <f>'Part VII-Pro Forma'!G48</f>
        <v>9838.8359004847152</v>
      </c>
      <c r="H1144" s="2213">
        <f>'Part VII-Pro Forma'!H48</f>
        <v>10035.612618494411</v>
      </c>
      <c r="I1144" s="2213">
        <f>'Part VII-Pro Forma'!I48</f>
        <v>10236.3248708643</v>
      </c>
      <c r="J1144" s="2213">
        <f>'Part VII-Pro Forma'!J48</f>
        <v>10441.051368281585</v>
      </c>
      <c r="K1144" s="2213">
        <f>'Part VII-Pro Forma'!K48</f>
        <v>10649.872395647217</v>
      </c>
      <c r="N1144" s="2043"/>
      <c r="O1144" s="2043"/>
      <c r="Z1144" s="1924" t="s">
        <v>6776</v>
      </c>
      <c r="AA1144" s="2051">
        <v>48</v>
      </c>
    </row>
    <row r="1145" spans="1:27" s="1852" customFormat="1" ht="13.35" customHeight="1">
      <c r="A1145" s="1852" t="s">
        <v>2296</v>
      </c>
      <c r="B1145" s="2213">
        <f>'Part VII-Pro Forma'!B49</f>
        <v>-31813.472404308934</v>
      </c>
      <c r="C1145" s="2213">
        <f>'Part VII-Pro Forma'!C49</f>
        <v>-32449.741852395109</v>
      </c>
      <c r="D1145" s="2213">
        <f>'Part VII-Pro Forma'!D49</f>
        <v>-33098.736689443016</v>
      </c>
      <c r="E1145" s="2213">
        <f>'Part VII-Pro Forma'!E49</f>
        <v>-33760.711423231871</v>
      </c>
      <c r="F1145" s="2213">
        <f>'Part VII-Pro Forma'!F49</f>
        <v>-34435.925651696511</v>
      </c>
      <c r="G1145" s="2213">
        <f>'Part VII-Pro Forma'!G49</f>
        <v>-35124.644164730431</v>
      </c>
      <c r="H1145" s="2213">
        <f>'Part VII-Pro Forma'!H49</f>
        <v>-35827.137048025048</v>
      </c>
      <c r="I1145" s="2213">
        <f>'Part VII-Pro Forma'!I49</f>
        <v>-36543.679788985552</v>
      </c>
      <c r="J1145" s="2213">
        <f>'Part VII-Pro Forma'!J49</f>
        <v>-37274.553384765255</v>
      </c>
      <c r="K1145" s="2213">
        <f>'Part VII-Pro Forma'!K49</f>
        <v>-38020.044452460563</v>
      </c>
      <c r="N1145" s="2043"/>
      <c r="O1145" s="2043"/>
      <c r="Z1145" s="1924" t="s">
        <v>6776</v>
      </c>
      <c r="AA1145" s="2051">
        <v>49</v>
      </c>
    </row>
    <row r="1146" spans="1:27" s="1852" customFormat="1" ht="13.35" customHeight="1">
      <c r="A1146" s="1852" t="s">
        <v>47</v>
      </c>
      <c r="B1146" s="2213">
        <f>'Part VII-Pro Forma'!B50</f>
        <v>0</v>
      </c>
      <c r="C1146" s="2213">
        <f>'Part VII-Pro Forma'!C50</f>
        <v>0</v>
      </c>
      <c r="D1146" s="2213">
        <f>'Part VII-Pro Forma'!D50</f>
        <v>0</v>
      </c>
      <c r="E1146" s="2213">
        <f>'Part VII-Pro Forma'!E50</f>
        <v>0</v>
      </c>
      <c r="F1146" s="2213">
        <f>'Part VII-Pro Forma'!F50</f>
        <v>0</v>
      </c>
      <c r="G1146" s="2213">
        <f>'Part VII-Pro Forma'!G50</f>
        <v>0</v>
      </c>
      <c r="H1146" s="2213">
        <f>'Part VII-Pro Forma'!H50</f>
        <v>0</v>
      </c>
      <c r="I1146" s="2213">
        <f>'Part VII-Pro Forma'!I50</f>
        <v>0</v>
      </c>
      <c r="J1146" s="2213">
        <f>'Part VII-Pro Forma'!J50</f>
        <v>0</v>
      </c>
      <c r="K1146" s="2213">
        <f>'Part VII-Pro Forma'!K50</f>
        <v>0</v>
      </c>
      <c r="N1146" s="2043"/>
      <c r="O1146" s="2043"/>
      <c r="Z1146" s="1924" t="s">
        <v>6776</v>
      </c>
      <c r="AA1146" s="1929">
        <v>50</v>
      </c>
    </row>
    <row r="1147" spans="1:27" s="1852" customFormat="1" ht="13.35" customHeight="1">
      <c r="A1147" s="1852" t="s">
        <v>48</v>
      </c>
      <c r="B1147" s="2213">
        <f>'Part VII-Pro Forma'!B51</f>
        <v>0</v>
      </c>
      <c r="C1147" s="2213">
        <f>'Part VII-Pro Forma'!C51</f>
        <v>0</v>
      </c>
      <c r="D1147" s="2213">
        <f>'Part VII-Pro Forma'!D51</f>
        <v>0</v>
      </c>
      <c r="E1147" s="2213">
        <f>'Part VII-Pro Forma'!E51</f>
        <v>0</v>
      </c>
      <c r="F1147" s="2213">
        <f>'Part VII-Pro Forma'!F51</f>
        <v>0</v>
      </c>
      <c r="G1147" s="2213">
        <f>'Part VII-Pro Forma'!G51</f>
        <v>0</v>
      </c>
      <c r="H1147" s="2213">
        <f>'Part VII-Pro Forma'!H51</f>
        <v>0</v>
      </c>
      <c r="I1147" s="2213">
        <f>'Part VII-Pro Forma'!I51</f>
        <v>0</v>
      </c>
      <c r="J1147" s="2213">
        <f>'Part VII-Pro Forma'!J51</f>
        <v>0</v>
      </c>
      <c r="K1147" s="2213">
        <f>'Part VII-Pro Forma'!K51</f>
        <v>0</v>
      </c>
      <c r="N1147" s="2043"/>
      <c r="O1147" s="2043"/>
      <c r="Z1147" s="1924" t="s">
        <v>6776</v>
      </c>
      <c r="AA1147" s="2051">
        <v>51</v>
      </c>
    </row>
    <row r="1148" spans="1:27" s="1852" customFormat="1" ht="13.35" customHeight="1">
      <c r="A1148" s="1852" t="s">
        <v>4016</v>
      </c>
      <c r="B1148" s="2213">
        <f>'Part VII-Pro Forma'!B52</f>
        <v>422664.70480010437</v>
      </c>
      <c r="C1148" s="2213">
        <f>'Part VII-Pro Forma'!C52</f>
        <v>431117.99889610638</v>
      </c>
      <c r="D1148" s="2213">
        <f>'Part VII-Pro Forma'!D52</f>
        <v>439740.35887402861</v>
      </c>
      <c r="E1148" s="2213">
        <f>'Part VII-Pro Forma'!E52</f>
        <v>448535.16605150909</v>
      </c>
      <c r="F1148" s="2213">
        <f>'Part VII-Pro Forma'!F52</f>
        <v>457505.86937253934</v>
      </c>
      <c r="G1148" s="2213">
        <f>'Part VII-Pro Forma'!G52</f>
        <v>466655.98675998999</v>
      </c>
      <c r="H1148" s="2213">
        <f>'Part VII-Pro Forma'!H52</f>
        <v>475989.10649518989</v>
      </c>
      <c r="I1148" s="2213">
        <f>'Part VII-Pro Forma'!I52</f>
        <v>485508.88862509374</v>
      </c>
      <c r="J1148" s="2213">
        <f>'Part VII-Pro Forma'!J52</f>
        <v>495219.06639759545</v>
      </c>
      <c r="K1148" s="2213">
        <f>'Part VII-Pro Forma'!K52</f>
        <v>505123.44772554742</v>
      </c>
      <c r="N1148" s="2043"/>
      <c r="O1148" s="2043"/>
      <c r="Z1148" s="1924" t="s">
        <v>6776</v>
      </c>
      <c r="AA1148" s="2051">
        <v>52</v>
      </c>
    </row>
    <row r="1149" spans="1:27" s="1852" customFormat="1" ht="13.35" customHeight="1">
      <c r="A1149" s="1852" t="s">
        <v>585</v>
      </c>
      <c r="B1149" s="2213">
        <f>'Part VII-Pro Forma'!B53</f>
        <v>-214644.94844332576</v>
      </c>
      <c r="C1149" s="2213">
        <f>'Part VII-Pro Forma'!C53</f>
        <v>-221084.29689662554</v>
      </c>
      <c r="D1149" s="2213">
        <f>'Part VII-Pro Forma'!D53</f>
        <v>-227716.82580352426</v>
      </c>
      <c r="E1149" s="2213">
        <f>'Part VII-Pro Forma'!E53</f>
        <v>-234548.33057763</v>
      </c>
      <c r="F1149" s="2213">
        <f>'Part VII-Pro Forma'!F53</f>
        <v>-241584.78049495892</v>
      </c>
      <c r="G1149" s="2213">
        <f>'Part VII-Pro Forma'!G53</f>
        <v>-248832.32390980769</v>
      </c>
      <c r="H1149" s="2213">
        <f>'Part VII-Pro Forma'!H53</f>
        <v>-256297.29362710187</v>
      </c>
      <c r="I1149" s="2213">
        <f>'Part VII-Pro Forma'!I53</f>
        <v>-263986.21243591496</v>
      </c>
      <c r="J1149" s="2213">
        <f>'Part VII-Pro Forma'!J53</f>
        <v>-271905.79880899237</v>
      </c>
      <c r="K1149" s="2213">
        <f>'Part VII-Pro Forma'!K53</f>
        <v>-280062.97277326212</v>
      </c>
      <c r="N1149" s="2043"/>
      <c r="O1149" s="2043"/>
      <c r="Z1149" s="1924" t="s">
        <v>6776</v>
      </c>
      <c r="AA1149" s="2051">
        <v>53</v>
      </c>
    </row>
    <row r="1150" spans="1:27" s="1852" customFormat="1" ht="13.35" customHeight="1">
      <c r="A1150" s="1852" t="s">
        <v>1075</v>
      </c>
      <c r="B1150" s="2213">
        <f>'Part VII-Pro Forma'!B54</f>
        <v>-38040</v>
      </c>
      <c r="C1150" s="2213">
        <f>'Part VII-Pro Forma'!C54</f>
        <v>-38801</v>
      </c>
      <c r="D1150" s="2213">
        <f>'Part VII-Pro Forma'!D54</f>
        <v>-39577</v>
      </c>
      <c r="E1150" s="2213">
        <f>'Part VII-Pro Forma'!E54</f>
        <v>-40368</v>
      </c>
      <c r="F1150" s="2213">
        <f>'Part VII-Pro Forma'!F54</f>
        <v>-41176</v>
      </c>
      <c r="G1150" s="2213">
        <f>'Part VII-Pro Forma'!G54</f>
        <v>-41999</v>
      </c>
      <c r="H1150" s="2213">
        <f>'Part VII-Pro Forma'!H54</f>
        <v>-42839</v>
      </c>
      <c r="I1150" s="2213">
        <f>'Part VII-Pro Forma'!I54</f>
        <v>-43696</v>
      </c>
      <c r="J1150" s="2213">
        <f>'Part VII-Pro Forma'!J54</f>
        <v>-44570</v>
      </c>
      <c r="K1150" s="2213">
        <f>'Part VII-Pro Forma'!K54</f>
        <v>-45461</v>
      </c>
      <c r="N1150" s="2043"/>
      <c r="O1150" s="2043"/>
      <c r="Z1150" s="1924" t="s">
        <v>6776</v>
      </c>
      <c r="AA1150" s="2051">
        <v>54</v>
      </c>
    </row>
    <row r="1151" spans="1:27" s="1852" customFormat="1" ht="13.35" customHeight="1">
      <c r="A1151" s="1852" t="s">
        <v>1156</v>
      </c>
      <c r="B1151" s="2213">
        <f>'Part VII-Pro Forma'!B55</f>
        <v>-16126.996552129462</v>
      </c>
      <c r="C1151" s="2213">
        <f>'Part VII-Pro Forma'!C55</f>
        <v>-16610.806448693347</v>
      </c>
      <c r="D1151" s="2213">
        <f>'Part VII-Pro Forma'!D55</f>
        <v>-17109.130642154145</v>
      </c>
      <c r="E1151" s="2213">
        <f>'Part VII-Pro Forma'!E55</f>
        <v>-17622.404561418767</v>
      </c>
      <c r="F1151" s="2213">
        <f>'Part VII-Pro Forma'!F55</f>
        <v>-18151.076698261331</v>
      </c>
      <c r="G1151" s="2213">
        <f>'Part VII-Pro Forma'!G55</f>
        <v>-18695.608999209173</v>
      </c>
      <c r="H1151" s="2213">
        <f>'Part VII-Pro Forma'!H55</f>
        <v>-19256.477269185445</v>
      </c>
      <c r="I1151" s="2213">
        <f>'Part VII-Pro Forma'!I55</f>
        <v>-19834.171587261008</v>
      </c>
      <c r="J1151" s="2213">
        <f>'Part VII-Pro Forma'!J55</f>
        <v>-20429.196734878838</v>
      </c>
      <c r="K1151" s="2213">
        <f>'Part VII-Pro Forma'!K55</f>
        <v>-21042.072636925204</v>
      </c>
      <c r="N1151" s="2043"/>
      <c r="O1151" s="2043"/>
      <c r="Q1151" s="2051">
        <v>10</v>
      </c>
      <c r="R1151" s="2140">
        <f>-SUM(B1157:K1157)</f>
        <v>0</v>
      </c>
      <c r="S1151" s="2140">
        <f>SUM(B1158:K1158)+R1151</f>
        <v>0</v>
      </c>
      <c r="Z1151" s="1924" t="s">
        <v>6776</v>
      </c>
      <c r="AA1151" s="2051">
        <v>55</v>
      </c>
    </row>
    <row r="1152" spans="1:27" s="1852" customFormat="1" ht="13.35" customHeight="1">
      <c r="A1152" s="1852" t="s">
        <v>4015</v>
      </c>
      <c r="B1152" s="2214">
        <f>'Part VII-Pro Forma'!B56</f>
        <v>0</v>
      </c>
      <c r="C1152" s="2214">
        <f>'Part VII-Pro Forma'!C56</f>
        <v>0</v>
      </c>
      <c r="D1152" s="2214">
        <f>'Part VII-Pro Forma'!D56</f>
        <v>0</v>
      </c>
      <c r="E1152" s="2214">
        <f>'Part VII-Pro Forma'!E56</f>
        <v>0</v>
      </c>
      <c r="F1152" s="2214">
        <f>'Part VII-Pro Forma'!F56</f>
        <v>0</v>
      </c>
      <c r="G1152" s="2214">
        <f>'Part VII-Pro Forma'!G56</f>
        <v>0</v>
      </c>
      <c r="H1152" s="2214">
        <f>'Part VII-Pro Forma'!H56</f>
        <v>0</v>
      </c>
      <c r="I1152" s="2214">
        <f>'Part VII-Pro Forma'!I56</f>
        <v>0</v>
      </c>
      <c r="J1152" s="2214">
        <f>'Part VII-Pro Forma'!J56</f>
        <v>0</v>
      </c>
      <c r="K1152" s="2214">
        <f>'Part VII-Pro Forma'!K56</f>
        <v>0</v>
      </c>
      <c r="N1152" s="2043"/>
      <c r="O1152" s="2043"/>
      <c r="Z1152" s="1924" t="s">
        <v>6776</v>
      </c>
      <c r="AA1152" s="2051">
        <v>56</v>
      </c>
    </row>
    <row r="1153" spans="1:27" s="1852" customFormat="1" ht="13.35" customHeight="1">
      <c r="A1153" s="1852" t="s">
        <v>1157</v>
      </c>
      <c r="B1153" s="2213">
        <f>'Part VII-Pro Forma'!B57</f>
        <v>153852.75980464916</v>
      </c>
      <c r="C1153" s="2213">
        <f>'Part VII-Pro Forma'!C57</f>
        <v>154621.89555078748</v>
      </c>
      <c r="D1153" s="2213">
        <f>'Part VII-Pro Forma'!D57</f>
        <v>155337.40242835021</v>
      </c>
      <c r="E1153" s="2213">
        <f>'Part VII-Pro Forma'!E57</f>
        <v>155996.43091246032</v>
      </c>
      <c r="F1153" s="2213">
        <f>'Part VII-Pro Forma'!F57</f>
        <v>156594.01217931908</v>
      </c>
      <c r="G1153" s="2213">
        <f>'Part VII-Pro Forma'!G57</f>
        <v>157129.05385097314</v>
      </c>
      <c r="H1153" s="2213">
        <f>'Part VII-Pro Forma'!H57</f>
        <v>157596.33559890257</v>
      </c>
      <c r="I1153" s="2213">
        <f>'Part VII-Pro Forma'!I57</f>
        <v>157992.50460191775</v>
      </c>
      <c r="J1153" s="2213">
        <f>'Part VII-Pro Forma'!J57</f>
        <v>158314.07085372423</v>
      </c>
      <c r="K1153" s="2213">
        <f>'Part VII-Pro Forma'!K57</f>
        <v>158557.40231536009</v>
      </c>
      <c r="N1153" s="2043"/>
      <c r="O1153" s="2043"/>
      <c r="Z1153" s="1924" t="s">
        <v>6776</v>
      </c>
      <c r="AA1153" s="2051">
        <v>57</v>
      </c>
    </row>
    <row r="1154" spans="1:27" s="1852" customFormat="1" ht="13.35" customHeight="1">
      <c r="A1154" s="1852" t="str">
        <f>$A1122</f>
        <v>Mortgage A</v>
      </c>
      <c r="B1154" s="2214">
        <f>'Part VII-Pro Forma'!B58</f>
        <v>0</v>
      </c>
      <c r="C1154" s="2214">
        <f>'Part VII-Pro Forma'!C58</f>
        <v>0</v>
      </c>
      <c r="D1154" s="2214">
        <f>'Part VII-Pro Forma'!D58</f>
        <v>0</v>
      </c>
      <c r="E1154" s="2214">
        <f>'Part VII-Pro Forma'!E58</f>
        <v>0</v>
      </c>
      <c r="F1154" s="2214">
        <f>'Part VII-Pro Forma'!F58</f>
        <v>0</v>
      </c>
      <c r="G1154" s="2214">
        <f>'Part VII-Pro Forma'!G58</f>
        <v>0</v>
      </c>
      <c r="H1154" s="2214">
        <f>'Part VII-Pro Forma'!H58</f>
        <v>0</v>
      </c>
      <c r="I1154" s="2214">
        <f>'Part VII-Pro Forma'!I58</f>
        <v>0</v>
      </c>
      <c r="J1154" s="2214">
        <f>'Part VII-Pro Forma'!J58</f>
        <v>0</v>
      </c>
      <c r="K1154" s="2214">
        <f>'Part VII-Pro Forma'!K58</f>
        <v>0</v>
      </c>
      <c r="N1154" s="2043"/>
      <c r="O1154" s="2043"/>
      <c r="Z1154" s="1924" t="s">
        <v>6776</v>
      </c>
      <c r="AA1154" s="2051">
        <v>58</v>
      </c>
    </row>
    <row r="1155" spans="1:27" s="1852" customFormat="1" ht="13.35" customHeight="1">
      <c r="A1155" s="1852" t="str">
        <f>$A1123</f>
        <v>Mortgage B</v>
      </c>
      <c r="B1155" s="2214">
        <f>'Part VII-Pro Forma'!B59</f>
        <v>0</v>
      </c>
      <c r="C1155" s="2214">
        <f>'Part VII-Pro Forma'!C59</f>
        <v>0</v>
      </c>
      <c r="D1155" s="2214">
        <f>'Part VII-Pro Forma'!D59</f>
        <v>0</v>
      </c>
      <c r="E1155" s="2214">
        <f>'Part VII-Pro Forma'!E59</f>
        <v>0</v>
      </c>
      <c r="F1155" s="2214">
        <f>'Part VII-Pro Forma'!F59</f>
        <v>0</v>
      </c>
      <c r="G1155" s="2214">
        <f>'Part VII-Pro Forma'!G59</f>
        <v>0</v>
      </c>
      <c r="H1155" s="2214">
        <f>'Part VII-Pro Forma'!H59</f>
        <v>0</v>
      </c>
      <c r="I1155" s="2214">
        <f>'Part VII-Pro Forma'!I59</f>
        <v>0</v>
      </c>
      <c r="J1155" s="2214">
        <f>'Part VII-Pro Forma'!J59</f>
        <v>0</v>
      </c>
      <c r="K1155" s="2214">
        <f>'Part VII-Pro Forma'!K59</f>
        <v>0</v>
      </c>
      <c r="N1155" s="2043"/>
      <c r="O1155" s="2043"/>
      <c r="Z1155" s="1924" t="s">
        <v>6776</v>
      </c>
      <c r="AA1155" s="1929">
        <v>59</v>
      </c>
    </row>
    <row r="1156" spans="1:27" s="1852" customFormat="1" ht="13.35" customHeight="1">
      <c r="A1156" s="1852" t="str">
        <f>$A1124</f>
        <v>Mortgage C</v>
      </c>
      <c r="B1156" s="2214">
        <f>'Part VII-Pro Forma'!B60</f>
        <v>0</v>
      </c>
      <c r="C1156" s="2214">
        <f>'Part VII-Pro Forma'!C60</f>
        <v>0</v>
      </c>
      <c r="D1156" s="2214">
        <f>'Part VII-Pro Forma'!D60</f>
        <v>0</v>
      </c>
      <c r="E1156" s="2214">
        <f>'Part VII-Pro Forma'!E60</f>
        <v>0</v>
      </c>
      <c r="F1156" s="2214">
        <f>'Part VII-Pro Forma'!F60</f>
        <v>0</v>
      </c>
      <c r="G1156" s="2214">
        <f>'Part VII-Pro Forma'!G60</f>
        <v>0</v>
      </c>
      <c r="H1156" s="2214">
        <f>'Part VII-Pro Forma'!H60</f>
        <v>0</v>
      </c>
      <c r="I1156" s="2214">
        <f>'Part VII-Pro Forma'!I60</f>
        <v>0</v>
      </c>
      <c r="J1156" s="2214">
        <f>'Part VII-Pro Forma'!J60</f>
        <v>0</v>
      </c>
      <c r="K1156" s="2214">
        <f>'Part VII-Pro Forma'!K60</f>
        <v>0</v>
      </c>
      <c r="N1156" s="2043"/>
      <c r="O1156" s="2043"/>
      <c r="Z1156" s="1924" t="s">
        <v>6776</v>
      </c>
      <c r="AA1156" s="2051">
        <v>60</v>
      </c>
    </row>
    <row r="1157" spans="1:27" s="1852" customFormat="1" ht="13.35" customHeight="1">
      <c r="A1157" s="1852" t="str">
        <f>$A1125</f>
        <v>D/S Other Source,not DDF</v>
      </c>
      <c r="B1157" s="2214">
        <f>'Part VII-Pro Forma'!B61</f>
        <v>0</v>
      </c>
      <c r="C1157" s="2214">
        <f>'Part VII-Pro Forma'!C61</f>
        <v>0</v>
      </c>
      <c r="D1157" s="2214">
        <f>'Part VII-Pro Forma'!D61</f>
        <v>0</v>
      </c>
      <c r="E1157" s="2214">
        <f>'Part VII-Pro Forma'!E61</f>
        <v>0</v>
      </c>
      <c r="F1157" s="2214">
        <f>'Part VII-Pro Forma'!F61</f>
        <v>0</v>
      </c>
      <c r="G1157" s="2214">
        <f>'Part VII-Pro Forma'!G61</f>
        <v>0</v>
      </c>
      <c r="H1157" s="2214">
        <f>'Part VII-Pro Forma'!H61</f>
        <v>0</v>
      </c>
      <c r="I1157" s="2214">
        <f>'Part VII-Pro Forma'!I61</f>
        <v>0</v>
      </c>
      <c r="J1157" s="2214">
        <f>'Part VII-Pro Forma'!J61</f>
        <v>0</v>
      </c>
      <c r="K1157" s="2214">
        <f>'Part VII-Pro Forma'!K61</f>
        <v>0</v>
      </c>
      <c r="N1157" s="2043"/>
      <c r="O1157" s="2043"/>
      <c r="Z1157" s="1924" t="s">
        <v>6776</v>
      </c>
      <c r="AA1157" s="2051">
        <v>61</v>
      </c>
    </row>
    <row r="1158" spans="1:27" s="1852" customFormat="1" ht="13.35" customHeight="1">
      <c r="A1158" s="1852" t="s">
        <v>733</v>
      </c>
      <c r="B1158" s="2214">
        <f>'Part VII-Pro Forma'!B62</f>
        <v>0</v>
      </c>
      <c r="C1158" s="2214">
        <f>'Part VII-Pro Forma'!C62</f>
        <v>0</v>
      </c>
      <c r="D1158" s="2214">
        <f>'Part VII-Pro Forma'!D62</f>
        <v>0</v>
      </c>
      <c r="E1158" s="2214">
        <f>'Part VII-Pro Forma'!E62</f>
        <v>0</v>
      </c>
      <c r="F1158" s="2214">
        <f>'Part VII-Pro Forma'!F62</f>
        <v>0</v>
      </c>
      <c r="G1158" s="2214">
        <f>'Part VII-Pro Forma'!G62</f>
        <v>0</v>
      </c>
      <c r="H1158" s="2214">
        <f>'Part VII-Pro Forma'!H62</f>
        <v>0</v>
      </c>
      <c r="I1158" s="2214">
        <f>'Part VII-Pro Forma'!I62</f>
        <v>0</v>
      </c>
      <c r="J1158" s="2214">
        <f>'Part VII-Pro Forma'!J62</f>
        <v>0</v>
      </c>
      <c r="K1158" s="2214">
        <f>'Part VII-Pro Forma'!K62</f>
        <v>0</v>
      </c>
      <c r="N1158" s="2043"/>
      <c r="O1158" s="2043"/>
      <c r="Q1158" s="2051"/>
      <c r="R1158" s="2140"/>
      <c r="Z1158" s="1924" t="s">
        <v>6776</v>
      </c>
      <c r="AA1158" s="2051">
        <v>62</v>
      </c>
    </row>
    <row r="1159" spans="1:27" s="1852" customFormat="1" ht="13.35" customHeight="1">
      <c r="A1159" s="1852" t="s">
        <v>1121</v>
      </c>
      <c r="B1159" s="2214">
        <f>'Part VII-Pro Forma'!B63</f>
        <v>-5400</v>
      </c>
      <c r="C1159" s="2214">
        <f>'Part VII-Pro Forma'!C63</f>
        <v>-5400</v>
      </c>
      <c r="D1159" s="2214">
        <f>'Part VII-Pro Forma'!D63</f>
        <v>-5400</v>
      </c>
      <c r="E1159" s="2214">
        <f>'Part VII-Pro Forma'!E63</f>
        <v>-5400</v>
      </c>
      <c r="F1159" s="2214">
        <f>'Part VII-Pro Forma'!F63</f>
        <v>-5400</v>
      </c>
      <c r="G1159" s="2214">
        <f>'Part VII-Pro Forma'!G63</f>
        <v>-5400</v>
      </c>
      <c r="H1159" s="2214">
        <f>'Part VII-Pro Forma'!H63</f>
        <v>-5400</v>
      </c>
      <c r="I1159" s="2214">
        <f>'Part VII-Pro Forma'!I63</f>
        <v>-5400</v>
      </c>
      <c r="J1159" s="2214">
        <f>'Part VII-Pro Forma'!J63</f>
        <v>-5400</v>
      </c>
      <c r="K1159" s="2214">
        <f>'Part VII-Pro Forma'!K63</f>
        <v>-5400</v>
      </c>
      <c r="N1159" s="2043"/>
      <c r="O1159" s="2043"/>
      <c r="Z1159" s="1924" t="s">
        <v>6776</v>
      </c>
      <c r="AA1159" s="2051">
        <v>63</v>
      </c>
    </row>
    <row r="1160" spans="1:27" s="1852" customFormat="1" ht="13.35" customHeight="1">
      <c r="A1160" s="1852" t="s">
        <v>3511</v>
      </c>
      <c r="B1160" s="2214">
        <f>'Part VII-Pro Forma'!B64</f>
        <v>0</v>
      </c>
      <c r="C1160" s="2214">
        <f>'Part VII-Pro Forma'!C64</f>
        <v>0</v>
      </c>
      <c r="D1160" s="2214">
        <f>'Part VII-Pro Forma'!D64</f>
        <v>0</v>
      </c>
      <c r="E1160" s="2214">
        <f>'Part VII-Pro Forma'!E64</f>
        <v>0</v>
      </c>
      <c r="F1160" s="2214">
        <f>'Part VII-Pro Forma'!F64</f>
        <v>0</v>
      </c>
      <c r="G1160" s="2214">
        <f>'Part VII-Pro Forma'!G64</f>
        <v>0</v>
      </c>
      <c r="H1160" s="2214">
        <f>'Part VII-Pro Forma'!H64</f>
        <v>0</v>
      </c>
      <c r="I1160" s="2214">
        <f>'Part VII-Pro Forma'!I64</f>
        <v>0</v>
      </c>
      <c r="J1160" s="2214">
        <f>'Part VII-Pro Forma'!J64</f>
        <v>0</v>
      </c>
      <c r="K1160" s="2214">
        <f>'Part VII-Pro Forma'!K64</f>
        <v>0</v>
      </c>
      <c r="N1160" s="2043"/>
      <c r="O1160" s="2043"/>
      <c r="Z1160" s="1924" t="s">
        <v>6776</v>
      </c>
      <c r="AA1160" s="2051">
        <v>64</v>
      </c>
    </row>
    <row r="1161" spans="1:27" s="1852" customFormat="1" ht="13.35" customHeight="1">
      <c r="A1161" s="1852" t="s">
        <v>1122</v>
      </c>
      <c r="B1161" s="2213">
        <f>'Part VII-Pro Forma'!B65</f>
        <v>148452.75980464916</v>
      </c>
      <c r="C1161" s="2213">
        <f>'Part VII-Pro Forma'!C65</f>
        <v>149221.89555078748</v>
      </c>
      <c r="D1161" s="2213">
        <f>'Part VII-Pro Forma'!D65</f>
        <v>149937.40242835021</v>
      </c>
      <c r="E1161" s="2213">
        <f>'Part VII-Pro Forma'!E65</f>
        <v>150596.43091246032</v>
      </c>
      <c r="F1161" s="2213">
        <f>'Part VII-Pro Forma'!F65</f>
        <v>151194.01217931908</v>
      </c>
      <c r="G1161" s="2213">
        <f>'Part VII-Pro Forma'!G65</f>
        <v>151729.05385097314</v>
      </c>
      <c r="H1161" s="2213">
        <f>'Part VII-Pro Forma'!H65</f>
        <v>152196.33559890257</v>
      </c>
      <c r="I1161" s="2213">
        <f>'Part VII-Pro Forma'!I65</f>
        <v>152592.50460191775</v>
      </c>
      <c r="J1161" s="2213">
        <f>'Part VII-Pro Forma'!J65</f>
        <v>152914.07085372423</v>
      </c>
      <c r="K1161" s="2213">
        <f>'Part VII-Pro Forma'!K65</f>
        <v>153157.40231536009</v>
      </c>
      <c r="N1161" s="2043"/>
      <c r="O1161" s="2043"/>
      <c r="Z1161" s="1924" t="s">
        <v>6776</v>
      </c>
      <c r="AA1161" s="2051">
        <v>65</v>
      </c>
    </row>
    <row r="1162" spans="1:27" s="1852" customFormat="1" ht="13.35" customHeight="1">
      <c r="A1162" s="1852" t="str">
        <f>$A1130</f>
        <v>DCR Mortgage A</v>
      </c>
      <c r="B1162" s="2215" t="str">
        <f>'Part VII-Pro Forma'!B66</f>
        <v/>
      </c>
      <c r="C1162" s="2215" t="str">
        <f>'Part VII-Pro Forma'!C66</f>
        <v/>
      </c>
      <c r="D1162" s="2215" t="str">
        <f>'Part VII-Pro Forma'!D66</f>
        <v/>
      </c>
      <c r="E1162" s="2215" t="str">
        <f>'Part VII-Pro Forma'!E66</f>
        <v/>
      </c>
      <c r="F1162" s="2215" t="str">
        <f>'Part VII-Pro Forma'!F66</f>
        <v/>
      </c>
      <c r="G1162" s="2215" t="str">
        <f>'Part VII-Pro Forma'!G66</f>
        <v/>
      </c>
      <c r="H1162" s="2215" t="str">
        <f>'Part VII-Pro Forma'!H66</f>
        <v/>
      </c>
      <c r="I1162" s="2215" t="str">
        <f>'Part VII-Pro Forma'!I66</f>
        <v/>
      </c>
      <c r="J1162" s="2215" t="str">
        <f>'Part VII-Pro Forma'!J66</f>
        <v/>
      </c>
      <c r="K1162" s="2215" t="str">
        <f>'Part VII-Pro Forma'!K66</f>
        <v/>
      </c>
      <c r="N1162" s="2043"/>
      <c r="O1162" s="2043"/>
      <c r="Z1162" s="1924" t="s">
        <v>6776</v>
      </c>
      <c r="AA1162" s="2051">
        <v>66</v>
      </c>
    </row>
    <row r="1163" spans="1:27" s="1852" customFormat="1" ht="13.35" customHeight="1">
      <c r="A1163" s="1852" t="str">
        <f>$A1131</f>
        <v>DCR Mortgage B</v>
      </c>
      <c r="B1163" s="2215" t="str">
        <f>'Part VII-Pro Forma'!B67</f>
        <v/>
      </c>
      <c r="C1163" s="2215" t="str">
        <f>'Part VII-Pro Forma'!C67</f>
        <v/>
      </c>
      <c r="D1163" s="2215" t="str">
        <f>'Part VII-Pro Forma'!D67</f>
        <v/>
      </c>
      <c r="E1163" s="2215" t="str">
        <f>'Part VII-Pro Forma'!E67</f>
        <v/>
      </c>
      <c r="F1163" s="2215" t="str">
        <f>'Part VII-Pro Forma'!F67</f>
        <v/>
      </c>
      <c r="G1163" s="2215" t="str">
        <f>'Part VII-Pro Forma'!G67</f>
        <v/>
      </c>
      <c r="H1163" s="2215" t="str">
        <f>'Part VII-Pro Forma'!H67</f>
        <v/>
      </c>
      <c r="I1163" s="2215" t="str">
        <f>'Part VII-Pro Forma'!I67</f>
        <v/>
      </c>
      <c r="J1163" s="2215" t="str">
        <f>'Part VII-Pro Forma'!J67</f>
        <v/>
      </c>
      <c r="K1163" s="2215" t="str">
        <f>'Part VII-Pro Forma'!K67</f>
        <v/>
      </c>
      <c r="N1163" s="2043"/>
      <c r="O1163" s="2043"/>
      <c r="Z1163" s="1924" t="s">
        <v>6776</v>
      </c>
      <c r="AA1163" s="2051">
        <v>67</v>
      </c>
    </row>
    <row r="1164" spans="1:27" s="1852" customFormat="1" ht="13.35" customHeight="1">
      <c r="A1164" s="1852" t="str">
        <f>$A1132</f>
        <v>DCR Mortgage C</v>
      </c>
      <c r="B1164" s="2215" t="str">
        <f>'Part VII-Pro Forma'!B68</f>
        <v/>
      </c>
      <c r="C1164" s="2215" t="str">
        <f>'Part VII-Pro Forma'!C68</f>
        <v/>
      </c>
      <c r="D1164" s="2215" t="str">
        <f>'Part VII-Pro Forma'!D68</f>
        <v/>
      </c>
      <c r="E1164" s="2215" t="str">
        <f>'Part VII-Pro Forma'!E68</f>
        <v/>
      </c>
      <c r="F1164" s="2215" t="str">
        <f>'Part VII-Pro Forma'!F68</f>
        <v/>
      </c>
      <c r="G1164" s="2215" t="str">
        <f>'Part VII-Pro Forma'!G68</f>
        <v/>
      </c>
      <c r="H1164" s="2215" t="str">
        <f>'Part VII-Pro Forma'!H68</f>
        <v/>
      </c>
      <c r="I1164" s="2215" t="str">
        <f>'Part VII-Pro Forma'!I68</f>
        <v/>
      </c>
      <c r="J1164" s="2215" t="str">
        <f>'Part VII-Pro Forma'!J68</f>
        <v/>
      </c>
      <c r="K1164" s="2215" t="str">
        <f>'Part VII-Pro Forma'!K68</f>
        <v/>
      </c>
      <c r="N1164" s="2043"/>
      <c r="O1164" s="2043"/>
      <c r="Z1164" s="1924" t="s">
        <v>6776</v>
      </c>
      <c r="AA1164" s="1929">
        <v>68</v>
      </c>
    </row>
    <row r="1165" spans="1:27" s="1852" customFormat="1" ht="13.35" customHeight="1">
      <c r="A1165" s="1852" t="str">
        <f>$A1133</f>
        <v>DCR Other Source</v>
      </c>
      <c r="B1165" s="2215" t="str">
        <f>'Part VII-Pro Forma'!B69</f>
        <v/>
      </c>
      <c r="C1165" s="2215" t="str">
        <f>'Part VII-Pro Forma'!C69</f>
        <v/>
      </c>
      <c r="D1165" s="2215" t="str">
        <f>'Part VII-Pro Forma'!D69</f>
        <v/>
      </c>
      <c r="E1165" s="2215" t="str">
        <f>'Part VII-Pro Forma'!E69</f>
        <v/>
      </c>
      <c r="F1165" s="2215" t="str">
        <f>'Part VII-Pro Forma'!F69</f>
        <v/>
      </c>
      <c r="G1165" s="2215" t="str">
        <f>'Part VII-Pro Forma'!G69</f>
        <v/>
      </c>
      <c r="H1165" s="2215" t="str">
        <f>'Part VII-Pro Forma'!H69</f>
        <v/>
      </c>
      <c r="I1165" s="2215" t="str">
        <f>'Part VII-Pro Forma'!I69</f>
        <v/>
      </c>
      <c r="J1165" s="2215" t="str">
        <f>'Part VII-Pro Forma'!J69</f>
        <v/>
      </c>
      <c r="K1165" s="2215" t="str">
        <f>'Part VII-Pro Forma'!K69</f>
        <v/>
      </c>
      <c r="N1165" s="2043"/>
      <c r="O1165" s="2043"/>
      <c r="Z1165" s="1924" t="s">
        <v>6776</v>
      </c>
      <c r="AA1165" s="2051">
        <v>69</v>
      </c>
    </row>
    <row r="1166" spans="1:27" s="1852" customFormat="1" ht="13.35" customHeight="1">
      <c r="A1166" s="1852" t="s">
        <v>3345</v>
      </c>
      <c r="B1166" s="2215" t="str">
        <f>'Part VII-Pro Forma'!B70</f>
        <v/>
      </c>
      <c r="C1166" s="2215" t="str">
        <f>'Part VII-Pro Forma'!C70</f>
        <v/>
      </c>
      <c r="D1166" s="2215" t="str">
        <f>'Part VII-Pro Forma'!D70</f>
        <v/>
      </c>
      <c r="E1166" s="2215" t="str">
        <f>'Part VII-Pro Forma'!E70</f>
        <v/>
      </c>
      <c r="F1166" s="2215" t="str">
        <f>'Part VII-Pro Forma'!F70</f>
        <v/>
      </c>
      <c r="G1166" s="2215" t="str">
        <f>'Part VII-Pro Forma'!G70</f>
        <v/>
      </c>
      <c r="H1166" s="2215" t="str">
        <f>'Part VII-Pro Forma'!H70</f>
        <v/>
      </c>
      <c r="I1166" s="2215" t="str">
        <f>'Part VII-Pro Forma'!I70</f>
        <v/>
      </c>
      <c r="J1166" s="2215" t="str">
        <f>'Part VII-Pro Forma'!J70</f>
        <v/>
      </c>
      <c r="K1166" s="2215" t="str">
        <f>'Part VII-Pro Forma'!K70</f>
        <v/>
      </c>
      <c r="N1166" s="2043"/>
      <c r="O1166" s="2043"/>
      <c r="Z1166" s="1924" t="s">
        <v>6776</v>
      </c>
      <c r="AA1166" s="2051">
        <v>70</v>
      </c>
    </row>
    <row r="1167" spans="1:27" s="1852" customFormat="1" ht="13.35" customHeight="1">
      <c r="A1167" s="1852" t="s">
        <v>740</v>
      </c>
      <c r="B1167" s="2215">
        <f>'Part VII-Pro Forma'!B71</f>
        <v>1.57234346415391</v>
      </c>
      <c r="C1167" s="2215">
        <f>'Part VII-Pro Forma'!C71</f>
        <v>1.5592190764355134</v>
      </c>
      <c r="D1167" s="2215">
        <f>'Part VII-Pro Forma'!D71</f>
        <v>1.5461877203024788</v>
      </c>
      <c r="E1167" s="2215">
        <f>'Part VII-Pro Forma'!E71</f>
        <v>1.5332505141184554</v>
      </c>
      <c r="F1167" s="2215">
        <f>'Part VII-Pro Forma'!F71</f>
        <v>1.5203982775553029</v>
      </c>
      <c r="G1167" s="2215">
        <f>'Part VII-Pro Forma'!G71</f>
        <v>1.507642589852302</v>
      </c>
      <c r="H1167" s="2215">
        <f>'Part VII-Pro Forma'!H71</f>
        <v>1.4949746037112059</v>
      </c>
      <c r="I1167" s="2215">
        <f>'Part VII-Pro Forma'!I71</f>
        <v>1.4823957283026725</v>
      </c>
      <c r="J1167" s="2215">
        <f>'Part VII-Pro Forma'!J71</f>
        <v>1.4699071635852572</v>
      </c>
      <c r="K1167" s="2215">
        <f>'Part VII-Pro Forma'!K71</f>
        <v>1.4575099159748766</v>
      </c>
      <c r="N1167" s="2043"/>
      <c r="O1167" s="2043"/>
      <c r="Z1167" s="1924" t="s">
        <v>6776</v>
      </c>
      <c r="AA1167" s="2051">
        <v>71</v>
      </c>
    </row>
    <row r="1168" spans="1:27" s="1852" customFormat="1" ht="13.35" customHeight="1">
      <c r="A1168" s="1852" t="s">
        <v>2494</v>
      </c>
      <c r="B1168" s="2214">
        <f>'Part VII-Pro Forma'!B72</f>
        <v>-2.2940478848530378E-8</v>
      </c>
      <c r="C1168" s="2214">
        <f>'Part VII-Pro Forma'!C72</f>
        <v>-2.4174261083435782E-8</v>
      </c>
      <c r="D1168" s="2214">
        <f>'Part VII-Pro Forma'!D72</f>
        <v>-2.5474398454745223E-8</v>
      </c>
      <c r="E1168" s="2214">
        <f>'Part VII-Pro Forma'!E72</f>
        <v>-2.684445966688857E-8</v>
      </c>
      <c r="F1168" s="2214">
        <f>'Part VII-Pro Forma'!F72</f>
        <v>-2.82882053559531E-8</v>
      </c>
      <c r="G1168" s="2214">
        <f>'Part VII-Pro Forma'!G72</f>
        <v>-2.9809598412130158E-8</v>
      </c>
      <c r="H1168" s="2214">
        <f>'Part VII-Pro Forma'!H72</f>
        <v>-3.1412814857322477E-8</v>
      </c>
      <c r="I1168" s="2214">
        <f>'Part VII-Pro Forma'!I72</f>
        <v>-3.3102255307769738E-8</v>
      </c>
      <c r="J1168" s="2214">
        <f>'Part VII-Pro Forma'!J72</f>
        <v>-3.4882557053155748E-8</v>
      </c>
      <c r="K1168" s="2214">
        <f>'Part VII-Pro Forma'!K72</f>
        <v>-3.6758606785352807E-8</v>
      </c>
      <c r="N1168" s="2043"/>
      <c r="O1168" s="2043"/>
      <c r="Z1168" s="1924" t="s">
        <v>6776</v>
      </c>
      <c r="AA1168" s="2051">
        <v>72</v>
      </c>
    </row>
    <row r="1169" spans="1:27" s="1852" customFormat="1" ht="13.35" customHeight="1">
      <c r="A1169" s="1852" t="s">
        <v>2495</v>
      </c>
      <c r="B1169" s="2214" t="str">
        <f>'Part VII-Pro Forma'!B73</f>
        <v/>
      </c>
      <c r="C1169" s="2214" t="str">
        <f>'Part VII-Pro Forma'!C73</f>
        <v/>
      </c>
      <c r="D1169" s="2214" t="str">
        <f>'Part VII-Pro Forma'!D73</f>
        <v/>
      </c>
      <c r="E1169" s="2214" t="str">
        <f>'Part VII-Pro Forma'!E73</f>
        <v/>
      </c>
      <c r="F1169" s="2214" t="str">
        <f>'Part VII-Pro Forma'!F73</f>
        <v/>
      </c>
      <c r="G1169" s="2214" t="str">
        <f>'Part VII-Pro Forma'!G73</f>
        <v/>
      </c>
      <c r="H1169" s="2214" t="str">
        <f>'Part VII-Pro Forma'!H73</f>
        <v/>
      </c>
      <c r="I1169" s="2214" t="str">
        <f>'Part VII-Pro Forma'!I73</f>
        <v/>
      </c>
      <c r="J1169" s="2214" t="str">
        <f>'Part VII-Pro Forma'!J73</f>
        <v/>
      </c>
      <c r="K1169" s="2214" t="str">
        <f>'Part VII-Pro Forma'!K73</f>
        <v/>
      </c>
      <c r="N1169" s="2043"/>
      <c r="O1169" s="2043"/>
      <c r="Z1169" s="1924" t="s">
        <v>6776</v>
      </c>
      <c r="AA1169" s="1929">
        <v>73</v>
      </c>
    </row>
    <row r="1170" spans="1:27" s="1852" customFormat="1" ht="13.35" customHeight="1">
      <c r="A1170" s="1852" t="s">
        <v>2496</v>
      </c>
      <c r="B1170" s="2214" t="str">
        <f>'Part VII-Pro Forma'!B74</f>
        <v/>
      </c>
      <c r="C1170" s="2214" t="str">
        <f>'Part VII-Pro Forma'!C74</f>
        <v/>
      </c>
      <c r="D1170" s="2214" t="str">
        <f>'Part VII-Pro Forma'!D74</f>
        <v/>
      </c>
      <c r="E1170" s="2214" t="str">
        <f>'Part VII-Pro Forma'!E74</f>
        <v/>
      </c>
      <c r="F1170" s="2214" t="str">
        <f>'Part VII-Pro Forma'!F74</f>
        <v/>
      </c>
      <c r="G1170" s="2214" t="str">
        <f>'Part VII-Pro Forma'!G74</f>
        <v/>
      </c>
      <c r="H1170" s="2214" t="str">
        <f>'Part VII-Pro Forma'!H74</f>
        <v/>
      </c>
      <c r="I1170" s="2214" t="str">
        <f>'Part VII-Pro Forma'!I74</f>
        <v/>
      </c>
      <c r="J1170" s="2214" t="str">
        <f>'Part VII-Pro Forma'!J74</f>
        <v/>
      </c>
      <c r="K1170" s="2214" t="str">
        <f>'Part VII-Pro Forma'!K74</f>
        <v/>
      </c>
      <c r="N1170" s="2043"/>
      <c r="O1170" s="2043"/>
      <c r="Z1170" s="1924" t="s">
        <v>6776</v>
      </c>
      <c r="AA1170" s="2051">
        <v>74</v>
      </c>
    </row>
    <row r="1171" spans="1:27" s="1852" customFormat="1" ht="13.35" customHeight="1">
      <c r="A1171" s="1852" t="s">
        <v>752</v>
      </c>
      <c r="B1171" s="2214" t="str">
        <f>'Part VII-Pro Forma'!B75</f>
        <v/>
      </c>
      <c r="C1171" s="2214" t="str">
        <f>'Part VII-Pro Forma'!C75</f>
        <v/>
      </c>
      <c r="D1171" s="2214" t="str">
        <f>'Part VII-Pro Forma'!D75</f>
        <v/>
      </c>
      <c r="E1171" s="2214" t="str">
        <f>'Part VII-Pro Forma'!E75</f>
        <v/>
      </c>
      <c r="F1171" s="2214" t="str">
        <f>'Part VII-Pro Forma'!F75</f>
        <v/>
      </c>
      <c r="G1171" s="2214" t="str">
        <f>'Part VII-Pro Forma'!G75</f>
        <v/>
      </c>
      <c r="H1171" s="2214" t="str">
        <f>'Part VII-Pro Forma'!H75</f>
        <v/>
      </c>
      <c r="I1171" s="2214" t="str">
        <f>'Part VII-Pro Forma'!I75</f>
        <v/>
      </c>
      <c r="J1171" s="2214" t="str">
        <f>'Part VII-Pro Forma'!J75</f>
        <v/>
      </c>
      <c r="K1171" s="2214" t="str">
        <f>'Part VII-Pro Forma'!K75</f>
        <v/>
      </c>
      <c r="N1171" s="2043"/>
      <c r="O1171" s="2043"/>
      <c r="Z1171" s="1924" t="s">
        <v>6776</v>
      </c>
      <c r="AA1171" s="2051">
        <v>75</v>
      </c>
    </row>
    <row r="1172" spans="1:27" s="1852" customFormat="1" ht="13.35" customHeight="1">
      <c r="A1172" s="1852" t="s">
        <v>3512</v>
      </c>
      <c r="B1172" s="2214">
        <f>'Part VII-Pro Forma'!B76</f>
        <v>0</v>
      </c>
      <c r="C1172" s="2214">
        <f>'Part VII-Pro Forma'!C76</f>
        <v>0</v>
      </c>
      <c r="D1172" s="2214">
        <f>'Part VII-Pro Forma'!D76</f>
        <v>0</v>
      </c>
      <c r="E1172" s="2214">
        <f>'Part VII-Pro Forma'!E76</f>
        <v>0</v>
      </c>
      <c r="F1172" s="2214">
        <f>'Part VII-Pro Forma'!F76</f>
        <v>0</v>
      </c>
      <c r="G1172" s="2214">
        <f>'Part VII-Pro Forma'!G76</f>
        <v>0</v>
      </c>
      <c r="H1172" s="2214">
        <f>'Part VII-Pro Forma'!H76</f>
        <v>0</v>
      </c>
      <c r="I1172" s="2214">
        <f>'Part VII-Pro Forma'!I76</f>
        <v>0</v>
      </c>
      <c r="J1172" s="2214">
        <f>'Part VII-Pro Forma'!J76</f>
        <v>0</v>
      </c>
      <c r="K1172" s="2214">
        <f>'Part VII-Pro Forma'!K76</f>
        <v>0</v>
      </c>
      <c r="N1172" s="2043"/>
      <c r="O1172" s="2043"/>
      <c r="Z1172" s="1924" t="s">
        <v>6776</v>
      </c>
      <c r="AA1172" s="2051">
        <v>76</v>
      </c>
    </row>
    <row r="1173" spans="1:27" s="1852" customFormat="1" ht="4.3499999999999996" customHeight="1">
      <c r="B1173" s="2213"/>
      <c r="C1173" s="2213"/>
      <c r="D1173" s="2213"/>
      <c r="E1173" s="2213"/>
      <c r="F1173" s="2213"/>
      <c r="G1173" s="2213"/>
      <c r="H1173" s="2213"/>
      <c r="I1173" s="2213"/>
      <c r="J1173" s="2213"/>
      <c r="K1173" s="2213"/>
      <c r="Z1173" s="1924"/>
      <c r="AA1173" s="2051">
        <v>77</v>
      </c>
    </row>
    <row r="1174" spans="1:27" s="1852" customFormat="1" ht="14.45" customHeight="1">
      <c r="A1174" s="1852" t="s">
        <v>2369</v>
      </c>
      <c r="B1174" s="2213">
        <f>K1142+1</f>
        <v>21</v>
      </c>
      <c r="C1174" s="2213">
        <f t="shared" ref="C1174:K1174" si="377">B1174+1</f>
        <v>22</v>
      </c>
      <c r="D1174" s="2213">
        <f t="shared" si="377"/>
        <v>23</v>
      </c>
      <c r="E1174" s="2213">
        <f t="shared" si="377"/>
        <v>24</v>
      </c>
      <c r="F1174" s="2213">
        <f t="shared" si="377"/>
        <v>25</v>
      </c>
      <c r="G1174" s="2213">
        <f t="shared" si="377"/>
        <v>26</v>
      </c>
      <c r="H1174" s="2213">
        <f t="shared" si="377"/>
        <v>27</v>
      </c>
      <c r="I1174" s="2213">
        <f t="shared" si="377"/>
        <v>28</v>
      </c>
      <c r="J1174" s="2213">
        <f t="shared" si="377"/>
        <v>29</v>
      </c>
      <c r="K1174" s="2213">
        <f t="shared" si="377"/>
        <v>30</v>
      </c>
      <c r="N1174" s="1852" t="s">
        <v>2499</v>
      </c>
      <c r="Z1174" s="1924"/>
      <c r="AA1174" s="2051">
        <v>78</v>
      </c>
    </row>
    <row r="1175" spans="1:27" s="1852" customFormat="1" ht="13.35" customHeight="1">
      <c r="A1175" s="1852" t="s">
        <v>2295</v>
      </c>
      <c r="B1175" s="2213">
        <f>'Part VII-Pro Forma'!B79</f>
        <v>543143.49217800808</v>
      </c>
      <c r="C1175" s="2213">
        <f>'Part VII-Pro Forma'!C79</f>
        <v>554006.36202156811</v>
      </c>
      <c r="D1175" s="2213">
        <f>'Part VII-Pro Forma'!D79</f>
        <v>565086.48926199961</v>
      </c>
      <c r="E1175" s="2213">
        <f>'Part VII-Pro Forma'!E79</f>
        <v>576388.2190472394</v>
      </c>
      <c r="F1175" s="2213">
        <f>'Part VII-Pro Forma'!F79</f>
        <v>587915.98342818429</v>
      </c>
      <c r="G1175" s="2213">
        <f>'Part VII-Pro Forma'!G79</f>
        <v>599674.30309674796</v>
      </c>
      <c r="H1175" s="2213">
        <f>'Part VII-Pro Forma'!H79</f>
        <v>611667.78915868292</v>
      </c>
      <c r="I1175" s="2213">
        <f>'Part VII-Pro Forma'!I79</f>
        <v>623901.1449418565</v>
      </c>
      <c r="J1175" s="2213">
        <f>'Part VII-Pro Forma'!J79</f>
        <v>636379.16784069373</v>
      </c>
      <c r="K1175" s="2213">
        <f>'Part VII-Pro Forma'!K79</f>
        <v>649106.7511975076</v>
      </c>
      <c r="N1175" s="2043"/>
      <c r="O1175" s="2043"/>
      <c r="Z1175" s="1924" t="s">
        <v>6777</v>
      </c>
      <c r="AA1175" s="2051">
        <v>79</v>
      </c>
    </row>
    <row r="1176" spans="1:27" s="1852" customFormat="1" ht="13.35" customHeight="1">
      <c r="A1176" s="1852" t="s">
        <v>977</v>
      </c>
      <c r="B1176" s="2213">
        <f>'Part VII-Pro Forma'!B80</f>
        <v>10862.869843560162</v>
      </c>
      <c r="C1176" s="2213">
        <f>'Part VII-Pro Forma'!C80</f>
        <v>11080.127240431364</v>
      </c>
      <c r="D1176" s="2213">
        <f>'Part VII-Pro Forma'!D80</f>
        <v>11301.729785239992</v>
      </c>
      <c r="E1176" s="2213">
        <f>'Part VII-Pro Forma'!E80</f>
        <v>11527.764380944789</v>
      </c>
      <c r="F1176" s="2213">
        <f>'Part VII-Pro Forma'!F80</f>
        <v>11758.319668563687</v>
      </c>
      <c r="G1176" s="2213">
        <f>'Part VII-Pro Forma'!G80</f>
        <v>11993.48606193496</v>
      </c>
      <c r="H1176" s="2213">
        <f>'Part VII-Pro Forma'!H80</f>
        <v>12233.35578317366</v>
      </c>
      <c r="I1176" s="2213">
        <f>'Part VII-Pro Forma'!I80</f>
        <v>12478.022898837131</v>
      </c>
      <c r="J1176" s="2213">
        <f>'Part VII-Pro Forma'!J80</f>
        <v>12727.583356813877</v>
      </c>
      <c r="K1176" s="2213">
        <f>'Part VII-Pro Forma'!K80</f>
        <v>12982.135023950152</v>
      </c>
      <c r="N1176" s="2043"/>
      <c r="O1176" s="2043"/>
      <c r="Z1176" s="1924" t="s">
        <v>6777</v>
      </c>
      <c r="AA1176" s="2051">
        <v>80</v>
      </c>
    </row>
    <row r="1177" spans="1:27" s="1852" customFormat="1" ht="13.35" customHeight="1">
      <c r="A1177" s="1852" t="s">
        <v>2296</v>
      </c>
      <c r="B1177" s="2213">
        <f>'Part VII-Pro Forma'!B81</f>
        <v>-38780.445341509781</v>
      </c>
      <c r="C1177" s="2213">
        <f>'Part VII-Pro Forma'!C81</f>
        <v>-39556.054248339969</v>
      </c>
      <c r="D1177" s="2213">
        <f>'Part VII-Pro Forma'!D81</f>
        <v>-40347.175333306775</v>
      </c>
      <c r="E1177" s="2213">
        <f>'Part VII-Pro Forma'!E81</f>
        <v>-41154.118839972893</v>
      </c>
      <c r="F1177" s="2213">
        <f>'Part VII-Pro Forma'!F81</f>
        <v>-41977.201216772359</v>
      </c>
      <c r="G1177" s="2213">
        <f>'Part VII-Pro Forma'!G81</f>
        <v>-42816.745241107812</v>
      </c>
      <c r="H1177" s="2213">
        <f>'Part VII-Pro Forma'!H81</f>
        <v>-43673.080145929969</v>
      </c>
      <c r="I1177" s="2213">
        <f>'Part VII-Pro Forma'!I81</f>
        <v>-44546.541748848555</v>
      </c>
      <c r="J1177" s="2213">
        <f>'Part VII-Pro Forma'!J81</f>
        <v>-45437.47258382554</v>
      </c>
      <c r="K1177" s="2213">
        <f>'Part VII-Pro Forma'!K81</f>
        <v>-46346.222035502047</v>
      </c>
      <c r="N1177" s="2043"/>
      <c r="O1177" s="2043"/>
      <c r="Z1177" s="1924" t="s">
        <v>6777</v>
      </c>
      <c r="AA1177" s="2051">
        <v>81</v>
      </c>
    </row>
    <row r="1178" spans="1:27" s="1852" customFormat="1" ht="13.35" customHeight="1">
      <c r="A1178" s="1852" t="s">
        <v>47</v>
      </c>
      <c r="B1178" s="2213">
        <f>'Part VII-Pro Forma'!B82</f>
        <v>0</v>
      </c>
      <c r="C1178" s="2213">
        <f>'Part VII-Pro Forma'!C82</f>
        <v>0</v>
      </c>
      <c r="D1178" s="2213">
        <f>'Part VII-Pro Forma'!D82</f>
        <v>0</v>
      </c>
      <c r="E1178" s="2213">
        <f>'Part VII-Pro Forma'!E82</f>
        <v>0</v>
      </c>
      <c r="F1178" s="2213">
        <f>'Part VII-Pro Forma'!F82</f>
        <v>0</v>
      </c>
      <c r="G1178" s="2213">
        <f>'Part VII-Pro Forma'!G82</f>
        <v>0</v>
      </c>
      <c r="H1178" s="2213">
        <f>'Part VII-Pro Forma'!H82</f>
        <v>0</v>
      </c>
      <c r="I1178" s="2213">
        <f>'Part VII-Pro Forma'!I82</f>
        <v>0</v>
      </c>
      <c r="J1178" s="2213">
        <f>'Part VII-Pro Forma'!J82</f>
        <v>0</v>
      </c>
      <c r="K1178" s="2213">
        <f>'Part VII-Pro Forma'!K82</f>
        <v>0</v>
      </c>
      <c r="N1178" s="2043"/>
      <c r="O1178" s="2043"/>
      <c r="Z1178" s="1924" t="s">
        <v>6777</v>
      </c>
      <c r="AA1178" s="1929">
        <v>82</v>
      </c>
    </row>
    <row r="1179" spans="1:27" s="1852" customFormat="1" ht="13.35" customHeight="1">
      <c r="A1179" s="1852" t="s">
        <v>48</v>
      </c>
      <c r="B1179" s="2213">
        <f>'Part VII-Pro Forma'!B83</f>
        <v>0</v>
      </c>
      <c r="C1179" s="2213">
        <f>'Part VII-Pro Forma'!C83</f>
        <v>0</v>
      </c>
      <c r="D1179" s="2213">
        <f>'Part VII-Pro Forma'!D83</f>
        <v>0</v>
      </c>
      <c r="E1179" s="2213">
        <f>'Part VII-Pro Forma'!E83</f>
        <v>0</v>
      </c>
      <c r="F1179" s="2213">
        <f>'Part VII-Pro Forma'!F83</f>
        <v>0</v>
      </c>
      <c r="G1179" s="2213">
        <f>'Part VII-Pro Forma'!G83</f>
        <v>0</v>
      </c>
      <c r="H1179" s="2213">
        <f>'Part VII-Pro Forma'!H83</f>
        <v>0</v>
      </c>
      <c r="I1179" s="2213">
        <f>'Part VII-Pro Forma'!I83</f>
        <v>0</v>
      </c>
      <c r="J1179" s="2213">
        <f>'Part VII-Pro Forma'!J83</f>
        <v>0</v>
      </c>
      <c r="K1179" s="2213">
        <f>'Part VII-Pro Forma'!K83</f>
        <v>0</v>
      </c>
      <c r="N1179" s="2043"/>
      <c r="O1179" s="2043"/>
      <c r="Z1179" s="1924" t="s">
        <v>6777</v>
      </c>
      <c r="AA1179" s="2051">
        <v>83</v>
      </c>
    </row>
    <row r="1180" spans="1:27" s="1852" customFormat="1" ht="13.35" customHeight="1">
      <c r="A1180" s="1852" t="s">
        <v>4016</v>
      </c>
      <c r="B1180" s="2213">
        <f>'Part VII-Pro Forma'!B84</f>
        <v>515225.91668005846</v>
      </c>
      <c r="C1180" s="2213">
        <f>'Part VII-Pro Forma'!C84</f>
        <v>525530.43501365953</v>
      </c>
      <c r="D1180" s="2213">
        <f>'Part VII-Pro Forma'!D84</f>
        <v>536041.04371393286</v>
      </c>
      <c r="E1180" s="2213">
        <f>'Part VII-Pro Forma'!E84</f>
        <v>546761.86458821129</v>
      </c>
      <c r="F1180" s="2213">
        <f>'Part VII-Pro Forma'!F84</f>
        <v>557697.10187997564</v>
      </c>
      <c r="G1180" s="2213">
        <f>'Part VII-Pro Forma'!G84</f>
        <v>568851.04391757515</v>
      </c>
      <c r="H1180" s="2213">
        <f>'Part VII-Pro Forma'!H84</f>
        <v>580228.06479592668</v>
      </c>
      <c r="I1180" s="2213">
        <f>'Part VII-Pro Forma'!I84</f>
        <v>591832.6260918451</v>
      </c>
      <c r="J1180" s="2213">
        <f>'Part VII-Pro Forma'!J84</f>
        <v>603669.27861368202</v>
      </c>
      <c r="K1180" s="2213">
        <f>'Part VII-Pro Forma'!K84</f>
        <v>615742.66418595565</v>
      </c>
      <c r="N1180" s="2043"/>
      <c r="O1180" s="2043"/>
      <c r="Z1180" s="1924" t="s">
        <v>6777</v>
      </c>
      <c r="AA1180" s="2051">
        <v>84</v>
      </c>
    </row>
    <row r="1181" spans="1:27" s="1852" customFormat="1" ht="13.35" customHeight="1">
      <c r="A1181" s="1852" t="s">
        <v>585</v>
      </c>
      <c r="B1181" s="2213">
        <f>'Part VII-Pro Forma'!B85</f>
        <v>-288464.86195645999</v>
      </c>
      <c r="C1181" s="2213">
        <f>'Part VII-Pro Forma'!C85</f>
        <v>-297118.80781515379</v>
      </c>
      <c r="D1181" s="2213">
        <f>'Part VII-Pro Forma'!D85</f>
        <v>-306032.37204960838</v>
      </c>
      <c r="E1181" s="2213">
        <f>'Part VII-Pro Forma'!E85</f>
        <v>-315213.34321109671</v>
      </c>
      <c r="F1181" s="2213">
        <f>'Part VII-Pro Forma'!F85</f>
        <v>-324669.74350742955</v>
      </c>
      <c r="G1181" s="2213">
        <f>'Part VII-Pro Forma'!G85</f>
        <v>-334409.83581265243</v>
      </c>
      <c r="H1181" s="2213">
        <f>'Part VII-Pro Forma'!H85</f>
        <v>-344442.13088703202</v>
      </c>
      <c r="I1181" s="2213">
        <f>'Part VII-Pro Forma'!I85</f>
        <v>-354775.39481364295</v>
      </c>
      <c r="J1181" s="2213">
        <f>'Part VII-Pro Forma'!J85</f>
        <v>-365418.65665805223</v>
      </c>
      <c r="K1181" s="2213">
        <f>'Part VII-Pro Forma'!K85</f>
        <v>-376381.21635779378</v>
      </c>
      <c r="N1181" s="2043"/>
      <c r="O1181" s="2043"/>
      <c r="Z1181" s="1924" t="s">
        <v>6777</v>
      </c>
      <c r="AA1181" s="2051">
        <v>85</v>
      </c>
    </row>
    <row r="1182" spans="1:27" s="1852" customFormat="1" ht="13.35" customHeight="1">
      <c r="A1182" s="1852" t="s">
        <v>1075</v>
      </c>
      <c r="B1182" s="2213">
        <f>'Part VII-Pro Forma'!B86</f>
        <v>-46370</v>
      </c>
      <c r="C1182" s="2213">
        <f>'Part VII-Pro Forma'!C86</f>
        <v>-47298</v>
      </c>
      <c r="D1182" s="2213">
        <f>'Part VII-Pro Forma'!D86</f>
        <v>-48244</v>
      </c>
      <c r="E1182" s="2213">
        <f>'Part VII-Pro Forma'!E86</f>
        <v>-49209</v>
      </c>
      <c r="F1182" s="2213">
        <f>'Part VII-Pro Forma'!F86</f>
        <v>-50193</v>
      </c>
      <c r="G1182" s="2213">
        <f>'Part VII-Pro Forma'!G86</f>
        <v>-51197</v>
      </c>
      <c r="H1182" s="2213">
        <f>'Part VII-Pro Forma'!H86</f>
        <v>-52221</v>
      </c>
      <c r="I1182" s="2213">
        <f>'Part VII-Pro Forma'!I86</f>
        <v>-53265</v>
      </c>
      <c r="J1182" s="2213">
        <f>'Part VII-Pro Forma'!J86</f>
        <v>-54330</v>
      </c>
      <c r="K1182" s="2213">
        <f>'Part VII-Pro Forma'!K86</f>
        <v>-55417</v>
      </c>
      <c r="N1182" s="2043"/>
      <c r="O1182" s="2043"/>
      <c r="Z1182" s="1924" t="s">
        <v>6777</v>
      </c>
      <c r="AA1182" s="2051">
        <v>86</v>
      </c>
    </row>
    <row r="1183" spans="1:27" s="1852" customFormat="1" ht="13.35" customHeight="1">
      <c r="A1183" s="1852" t="s">
        <v>1156</v>
      </c>
      <c r="B1183" s="2213">
        <f>'Part VII-Pro Forma'!B87</f>
        <v>-21673.334816032959</v>
      </c>
      <c r="C1183" s="2213">
        <f>'Part VII-Pro Forma'!C87</f>
        <v>-22323.534860513944</v>
      </c>
      <c r="D1183" s="2213">
        <f>'Part VII-Pro Forma'!D87</f>
        <v>-22993.240906329367</v>
      </c>
      <c r="E1183" s="2213">
        <f>'Part VII-Pro Forma'!E87</f>
        <v>-23683.038133519247</v>
      </c>
      <c r="F1183" s="2213">
        <f>'Part VII-Pro Forma'!F87</f>
        <v>-24393.529277524824</v>
      </c>
      <c r="G1183" s="2213">
        <f>'Part VII-Pro Forma'!G87</f>
        <v>-25125.335155850567</v>
      </c>
      <c r="H1183" s="2213">
        <f>'Part VII-Pro Forma'!H87</f>
        <v>-25879.095210526088</v>
      </c>
      <c r="I1183" s="2213">
        <f>'Part VII-Pro Forma'!I87</f>
        <v>-26655.468066841866</v>
      </c>
      <c r="J1183" s="2213">
        <f>'Part VII-Pro Forma'!J87</f>
        <v>-27455.132108847123</v>
      </c>
      <c r="K1183" s="2213">
        <f>'Part VII-Pro Forma'!K87</f>
        <v>-28278.786072112533</v>
      </c>
      <c r="N1183" s="2043"/>
      <c r="O1183" s="2043"/>
      <c r="Q1183" s="2051">
        <v>10</v>
      </c>
      <c r="R1183" s="2140">
        <f>-SUM(B1189:K1189)</f>
        <v>0</v>
      </c>
      <c r="S1183" s="2140">
        <f>SUM(B1190:K1190)+R1183</f>
        <v>0</v>
      </c>
      <c r="Z1183" s="1924" t="s">
        <v>6777</v>
      </c>
      <c r="AA1183" s="2051">
        <v>87</v>
      </c>
    </row>
    <row r="1184" spans="1:27" s="1852" customFormat="1" ht="13.35" customHeight="1">
      <c r="A1184" s="1852" t="s">
        <v>4015</v>
      </c>
      <c r="B1184" s="2214">
        <f>'Part VII-Pro Forma'!B88</f>
        <v>0</v>
      </c>
      <c r="C1184" s="2214">
        <f>'Part VII-Pro Forma'!C88</f>
        <v>0</v>
      </c>
      <c r="D1184" s="2214">
        <f>'Part VII-Pro Forma'!D88</f>
        <v>0</v>
      </c>
      <c r="E1184" s="2214">
        <f>'Part VII-Pro Forma'!E88</f>
        <v>0</v>
      </c>
      <c r="F1184" s="2214">
        <f>'Part VII-Pro Forma'!F88</f>
        <v>0</v>
      </c>
      <c r="G1184" s="2214">
        <f>'Part VII-Pro Forma'!G88</f>
        <v>0</v>
      </c>
      <c r="H1184" s="2214">
        <f>'Part VII-Pro Forma'!H88</f>
        <v>0</v>
      </c>
      <c r="I1184" s="2214">
        <f>'Part VII-Pro Forma'!I88</f>
        <v>0</v>
      </c>
      <c r="J1184" s="2214">
        <f>'Part VII-Pro Forma'!J88</f>
        <v>0</v>
      </c>
      <c r="K1184" s="2214">
        <f>'Part VII-Pro Forma'!K88</f>
        <v>0</v>
      </c>
      <c r="N1184" s="2043"/>
      <c r="O1184" s="2043"/>
      <c r="Z1184" s="1924" t="s">
        <v>6777</v>
      </c>
      <c r="AA1184" s="2051">
        <v>88</v>
      </c>
    </row>
    <row r="1185" spans="1:27" s="1852" customFormat="1" ht="13.35" customHeight="1">
      <c r="A1185" s="1852" t="s">
        <v>1157</v>
      </c>
      <c r="B1185" s="2213">
        <f>'Part VII-Pro Forma'!B89</f>
        <v>158717.71990756551</v>
      </c>
      <c r="C1185" s="2213">
        <f>'Part VII-Pro Forma'!C89</f>
        <v>158790.09233799181</v>
      </c>
      <c r="D1185" s="2213">
        <f>'Part VII-Pro Forma'!D89</f>
        <v>158771.43075799511</v>
      </c>
      <c r="E1185" s="2213">
        <f>'Part VII-Pro Forma'!E89</f>
        <v>158656.48324359534</v>
      </c>
      <c r="F1185" s="2213">
        <f>'Part VII-Pro Forma'!F89</f>
        <v>158440.82909502127</v>
      </c>
      <c r="G1185" s="2213">
        <f>'Part VII-Pro Forma'!G89</f>
        <v>158118.87294907216</v>
      </c>
      <c r="H1185" s="2213">
        <f>'Part VII-Pro Forma'!H89</f>
        <v>157685.83869836858</v>
      </c>
      <c r="I1185" s="2213">
        <f>'Part VII-Pro Forma'!I89</f>
        <v>157136.76321136029</v>
      </c>
      <c r="J1185" s="2213">
        <f>'Part VII-Pro Forma'!J89</f>
        <v>156465.48984678267</v>
      </c>
      <c r="K1185" s="2213">
        <f>'Part VII-Pro Forma'!K89</f>
        <v>155665.66175604935</v>
      </c>
      <c r="N1185" s="2043"/>
      <c r="O1185" s="2043"/>
      <c r="Z1185" s="1924" t="s">
        <v>6777</v>
      </c>
      <c r="AA1185" s="2051">
        <v>89</v>
      </c>
    </row>
    <row r="1186" spans="1:27" s="1852" customFormat="1" ht="13.35" customHeight="1">
      <c r="A1186" s="1852" t="str">
        <f>$A1154</f>
        <v>Mortgage A</v>
      </c>
      <c r="B1186" s="2214">
        <f>'Part VII-Pro Forma'!B90</f>
        <v>-102725.02325569189</v>
      </c>
      <c r="C1186" s="2214">
        <f>'Part VII-Pro Forma'!C90</f>
        <v>-102725.02325569189</v>
      </c>
      <c r="D1186" s="2214">
        <f>'Part VII-Pro Forma'!D90</f>
        <v>-102725.02325569189</v>
      </c>
      <c r="E1186" s="2214">
        <f>'Part VII-Pro Forma'!E90</f>
        <v>-102725.02325569189</v>
      </c>
      <c r="F1186" s="2214">
        <f>'Part VII-Pro Forma'!F90</f>
        <v>-102725.02325569189</v>
      </c>
      <c r="G1186" s="2214">
        <f>'Part VII-Pro Forma'!G90</f>
        <v>-102725.02325569189</v>
      </c>
      <c r="H1186" s="2214">
        <f>'Part VII-Pro Forma'!H90</f>
        <v>-102725.02325569189</v>
      </c>
      <c r="I1186" s="2214">
        <f>'Part VII-Pro Forma'!I90</f>
        <v>-102725.02325569189</v>
      </c>
      <c r="J1186" s="2214">
        <f>'Part VII-Pro Forma'!J90</f>
        <v>-102725.02325569189</v>
      </c>
      <c r="K1186" s="2214">
        <f>'Part VII-Pro Forma'!K90</f>
        <v>-102725.02325569189</v>
      </c>
      <c r="N1186" s="2043"/>
      <c r="O1186" s="2043"/>
      <c r="Z1186" s="1924" t="s">
        <v>6777</v>
      </c>
      <c r="AA1186" s="2051">
        <v>90</v>
      </c>
    </row>
    <row r="1187" spans="1:27" s="1852" customFormat="1" ht="13.35" customHeight="1">
      <c r="A1187" s="1852" t="str">
        <f>$A1155</f>
        <v>Mortgage B</v>
      </c>
      <c r="B1187" s="2214">
        <f>'Part VII-Pro Forma'!B91</f>
        <v>0</v>
      </c>
      <c r="C1187" s="2214">
        <f>'Part VII-Pro Forma'!C91</f>
        <v>0</v>
      </c>
      <c r="D1187" s="2214">
        <f>'Part VII-Pro Forma'!D91</f>
        <v>0</v>
      </c>
      <c r="E1187" s="2214">
        <f>'Part VII-Pro Forma'!E91</f>
        <v>0</v>
      </c>
      <c r="F1187" s="2214">
        <f>'Part VII-Pro Forma'!F91</f>
        <v>0</v>
      </c>
      <c r="G1187" s="2214">
        <f>'Part VII-Pro Forma'!G91</f>
        <v>0</v>
      </c>
      <c r="H1187" s="2214">
        <f>'Part VII-Pro Forma'!H91</f>
        <v>0</v>
      </c>
      <c r="I1187" s="2214">
        <f>'Part VII-Pro Forma'!I91</f>
        <v>0</v>
      </c>
      <c r="J1187" s="2214">
        <f>'Part VII-Pro Forma'!J91</f>
        <v>0</v>
      </c>
      <c r="K1187" s="2214">
        <f>'Part VII-Pro Forma'!K91</f>
        <v>0</v>
      </c>
      <c r="N1187" s="2043"/>
      <c r="O1187" s="2043"/>
      <c r="Z1187" s="1924" t="s">
        <v>6777</v>
      </c>
      <c r="AA1187" s="1929">
        <v>91</v>
      </c>
    </row>
    <row r="1188" spans="1:27" s="1852" customFormat="1" ht="13.35" customHeight="1">
      <c r="A1188" s="1852" t="str">
        <f>$A1156</f>
        <v>Mortgage C</v>
      </c>
      <c r="B1188" s="2214">
        <f>'Part VII-Pro Forma'!B92</f>
        <v>0</v>
      </c>
      <c r="C1188" s="2214">
        <f>'Part VII-Pro Forma'!C92</f>
        <v>0</v>
      </c>
      <c r="D1188" s="2214">
        <f>'Part VII-Pro Forma'!D92</f>
        <v>0</v>
      </c>
      <c r="E1188" s="2214">
        <f>'Part VII-Pro Forma'!E92</f>
        <v>0</v>
      </c>
      <c r="F1188" s="2214">
        <f>'Part VII-Pro Forma'!F92</f>
        <v>0</v>
      </c>
      <c r="G1188" s="2214">
        <f>'Part VII-Pro Forma'!G92</f>
        <v>0</v>
      </c>
      <c r="H1188" s="2214">
        <f>'Part VII-Pro Forma'!H92</f>
        <v>0</v>
      </c>
      <c r="I1188" s="2214">
        <f>'Part VII-Pro Forma'!I92</f>
        <v>0</v>
      </c>
      <c r="J1188" s="2214">
        <f>'Part VII-Pro Forma'!J92</f>
        <v>0</v>
      </c>
      <c r="K1188" s="2214">
        <f>'Part VII-Pro Forma'!K92</f>
        <v>0</v>
      </c>
      <c r="N1188" s="2043"/>
      <c r="O1188" s="2043"/>
      <c r="Z1188" s="1924" t="s">
        <v>6777</v>
      </c>
      <c r="AA1188" s="2051">
        <v>92</v>
      </c>
    </row>
    <row r="1189" spans="1:27" s="1852" customFormat="1" ht="13.35" customHeight="1">
      <c r="A1189" s="1852" t="str">
        <f>$A1157</f>
        <v>D/S Other Source,not DDF</v>
      </c>
      <c r="B1189" s="2214">
        <f>'Part VII-Pro Forma'!B93</f>
        <v>0</v>
      </c>
      <c r="C1189" s="2214">
        <f>'Part VII-Pro Forma'!C93</f>
        <v>0</v>
      </c>
      <c r="D1189" s="2214">
        <f>'Part VII-Pro Forma'!D93</f>
        <v>0</v>
      </c>
      <c r="E1189" s="2214">
        <f>'Part VII-Pro Forma'!E93</f>
        <v>0</v>
      </c>
      <c r="F1189" s="2214">
        <f>'Part VII-Pro Forma'!F93</f>
        <v>0</v>
      </c>
      <c r="G1189" s="2214">
        <f>'Part VII-Pro Forma'!G93</f>
        <v>0</v>
      </c>
      <c r="H1189" s="2214">
        <f>'Part VII-Pro Forma'!H93</f>
        <v>0</v>
      </c>
      <c r="I1189" s="2214">
        <f>'Part VII-Pro Forma'!I93</f>
        <v>0</v>
      </c>
      <c r="J1189" s="2214">
        <f>'Part VII-Pro Forma'!J93</f>
        <v>0</v>
      </c>
      <c r="K1189" s="2214">
        <f>'Part VII-Pro Forma'!K93</f>
        <v>0</v>
      </c>
      <c r="N1189" s="2043"/>
      <c r="O1189" s="2043"/>
      <c r="Z1189" s="1924" t="s">
        <v>6777</v>
      </c>
      <c r="AA1189" s="2051">
        <v>93</v>
      </c>
    </row>
    <row r="1190" spans="1:27" s="1852" customFormat="1" ht="13.35" customHeight="1">
      <c r="A1190" s="1852" t="s">
        <v>733</v>
      </c>
      <c r="B1190" s="2214">
        <f>'Part VII-Pro Forma'!B94</f>
        <v>0</v>
      </c>
      <c r="C1190" s="2214">
        <f>'Part VII-Pro Forma'!C94</f>
        <v>0</v>
      </c>
      <c r="D1190" s="2214">
        <f>'Part VII-Pro Forma'!D94</f>
        <v>0</v>
      </c>
      <c r="E1190" s="2214">
        <f>'Part VII-Pro Forma'!E94</f>
        <v>0</v>
      </c>
      <c r="F1190" s="2214">
        <f>'Part VII-Pro Forma'!F94</f>
        <v>0</v>
      </c>
      <c r="G1190" s="2214">
        <f>'Part VII-Pro Forma'!G94</f>
        <v>0</v>
      </c>
      <c r="H1190" s="2214">
        <f>'Part VII-Pro Forma'!H94</f>
        <v>0</v>
      </c>
      <c r="I1190" s="2214">
        <f>'Part VII-Pro Forma'!I94</f>
        <v>0</v>
      </c>
      <c r="J1190" s="2214">
        <f>'Part VII-Pro Forma'!J94</f>
        <v>0</v>
      </c>
      <c r="K1190" s="2214">
        <f>'Part VII-Pro Forma'!K94</f>
        <v>0</v>
      </c>
      <c r="N1190" s="2043"/>
      <c r="O1190" s="2043"/>
      <c r="Z1190" s="1924" t="s">
        <v>6777</v>
      </c>
      <c r="AA1190" s="2051">
        <v>94</v>
      </c>
    </row>
    <row r="1191" spans="1:27" s="1852" customFormat="1" ht="13.35" customHeight="1">
      <c r="A1191" s="1852" t="s">
        <v>1121</v>
      </c>
      <c r="B1191" s="2214">
        <f>'Part VII-Pro Forma'!B95</f>
        <v>-5400</v>
      </c>
      <c r="C1191" s="2214">
        <f>'Part VII-Pro Forma'!C95</f>
        <v>-5400</v>
      </c>
      <c r="D1191" s="2214">
        <f>'Part VII-Pro Forma'!D95</f>
        <v>-5400</v>
      </c>
      <c r="E1191" s="2214">
        <f>'Part VII-Pro Forma'!E95</f>
        <v>-5400</v>
      </c>
      <c r="F1191" s="2214">
        <f>'Part VII-Pro Forma'!F95</f>
        <v>-5400</v>
      </c>
      <c r="G1191" s="2214">
        <f>'Part VII-Pro Forma'!G95</f>
        <v>-5400</v>
      </c>
      <c r="H1191" s="2214">
        <f>'Part VII-Pro Forma'!H95</f>
        <v>-5400</v>
      </c>
      <c r="I1191" s="2214">
        <f>'Part VII-Pro Forma'!I95</f>
        <v>-5400</v>
      </c>
      <c r="J1191" s="2214">
        <f>'Part VII-Pro Forma'!J95</f>
        <v>-5400</v>
      </c>
      <c r="K1191" s="2214">
        <f>'Part VII-Pro Forma'!K95</f>
        <v>-5400</v>
      </c>
      <c r="N1191" s="2043"/>
      <c r="O1191" s="2043"/>
      <c r="Z1191" s="1924" t="s">
        <v>6777</v>
      </c>
      <c r="AA1191" s="2051">
        <v>95</v>
      </c>
    </row>
    <row r="1192" spans="1:27" s="1852" customFormat="1" ht="13.35" customHeight="1">
      <c r="A1192" s="1852" t="s">
        <v>1122</v>
      </c>
      <c r="B1192" s="2213">
        <f>'Part VII-Pro Forma'!B96</f>
        <v>50592.696651873615</v>
      </c>
      <c r="C1192" s="2213">
        <f>'Part VII-Pro Forma'!C96</f>
        <v>50665.069082299917</v>
      </c>
      <c r="D1192" s="2213">
        <f>'Part VII-Pro Forma'!D96</f>
        <v>50646.40750230322</v>
      </c>
      <c r="E1192" s="2213">
        <f>'Part VII-Pro Forma'!E96</f>
        <v>50531.45998790345</v>
      </c>
      <c r="F1192" s="2213">
        <f>'Part VII-Pro Forma'!F96</f>
        <v>50315.805839329376</v>
      </c>
      <c r="G1192" s="2213">
        <f>'Part VII-Pro Forma'!G96</f>
        <v>49993.849693380267</v>
      </c>
      <c r="H1192" s="2213">
        <f>'Part VII-Pro Forma'!H96</f>
        <v>49560.815442676685</v>
      </c>
      <c r="I1192" s="2213">
        <f>'Part VII-Pro Forma'!I96</f>
        <v>49011.739955668396</v>
      </c>
      <c r="J1192" s="2213">
        <f>'Part VII-Pro Forma'!J96</f>
        <v>48340.466591090779</v>
      </c>
      <c r="K1192" s="2213">
        <f>'Part VII-Pro Forma'!K96</f>
        <v>47540.638500357454</v>
      </c>
      <c r="N1192" s="2043"/>
      <c r="O1192" s="2043"/>
      <c r="Z1192" s="1924" t="s">
        <v>6777</v>
      </c>
      <c r="AA1192" s="1929">
        <v>96</v>
      </c>
    </row>
    <row r="1193" spans="1:27" s="1852" customFormat="1" ht="13.35" customHeight="1">
      <c r="A1193" s="1852" t="str">
        <f>$A1162</f>
        <v>DCR Mortgage A</v>
      </c>
      <c r="B1193" s="2215">
        <f>'Part VII-Pro Forma'!B97</f>
        <v>1.545073584578343</v>
      </c>
      <c r="C1193" s="2215">
        <f>'Part VII-Pro Forma'!C97</f>
        <v>1.5457781103903854</v>
      </c>
      <c r="D1193" s="2215">
        <f>'Part VII-Pro Forma'!D97</f>
        <v>1.5455964450141679</v>
      </c>
      <c r="E1193" s="2215">
        <f>'Part VII-Pro Forma'!E97</f>
        <v>1.5444774624064574</v>
      </c>
      <c r="F1193" s="2215">
        <f>'Part VII-Pro Forma'!F97</f>
        <v>1.542378128264305</v>
      </c>
      <c r="G1193" s="2215">
        <f>'Part VII-Pro Forma'!G97</f>
        <v>1.5392439732576157</v>
      </c>
      <c r="H1193" s="2215">
        <f>'Part VII-Pro Forma'!H97</f>
        <v>1.5350285032875994</v>
      </c>
      <c r="I1193" s="2215">
        <f>'Part VII-Pro Forma'!I97</f>
        <v>1.5296834036263263</v>
      </c>
      <c r="J1193" s="2215">
        <f>'Part VII-Pro Forma'!J97</f>
        <v>1.5231487410552917</v>
      </c>
      <c r="K1193" s="2215">
        <f>'Part VII-Pro Forma'!K97</f>
        <v>1.5153626333924832</v>
      </c>
      <c r="N1193" s="2043"/>
      <c r="O1193" s="2043"/>
      <c r="Z1193" s="1924" t="s">
        <v>6777</v>
      </c>
      <c r="AA1193" s="2051">
        <v>97</v>
      </c>
    </row>
    <row r="1194" spans="1:27" s="1852" customFormat="1" ht="13.35" customHeight="1">
      <c r="A1194" s="1852" t="str">
        <f>$A1163</f>
        <v>DCR Mortgage B</v>
      </c>
      <c r="B1194" s="2215" t="str">
        <f>'Part VII-Pro Forma'!B98</f>
        <v/>
      </c>
      <c r="C1194" s="2215" t="str">
        <f>'Part VII-Pro Forma'!C98</f>
        <v/>
      </c>
      <c r="D1194" s="2215" t="str">
        <f>'Part VII-Pro Forma'!D98</f>
        <v/>
      </c>
      <c r="E1194" s="2215" t="str">
        <f>'Part VII-Pro Forma'!E98</f>
        <v/>
      </c>
      <c r="F1194" s="2215" t="str">
        <f>'Part VII-Pro Forma'!F98</f>
        <v/>
      </c>
      <c r="G1194" s="2215" t="str">
        <f>'Part VII-Pro Forma'!G98</f>
        <v/>
      </c>
      <c r="H1194" s="2215" t="str">
        <f>'Part VII-Pro Forma'!H98</f>
        <v/>
      </c>
      <c r="I1194" s="2215" t="str">
        <f>'Part VII-Pro Forma'!I98</f>
        <v/>
      </c>
      <c r="J1194" s="2215" t="str">
        <f>'Part VII-Pro Forma'!J98</f>
        <v/>
      </c>
      <c r="K1194" s="2215" t="str">
        <f>'Part VII-Pro Forma'!K98</f>
        <v/>
      </c>
      <c r="N1194" s="2043"/>
      <c r="O1194" s="2043"/>
      <c r="Z1194" s="1924" t="s">
        <v>6777</v>
      </c>
      <c r="AA1194" s="2051">
        <v>98</v>
      </c>
    </row>
    <row r="1195" spans="1:27" s="1852" customFormat="1" ht="13.35" customHeight="1">
      <c r="A1195" s="1852" t="str">
        <f>$A1164</f>
        <v>DCR Mortgage C</v>
      </c>
      <c r="B1195" s="2215" t="str">
        <f>'Part VII-Pro Forma'!B99</f>
        <v/>
      </c>
      <c r="C1195" s="2215" t="str">
        <f>'Part VII-Pro Forma'!C99</f>
        <v/>
      </c>
      <c r="D1195" s="2215" t="str">
        <f>'Part VII-Pro Forma'!D99</f>
        <v/>
      </c>
      <c r="E1195" s="2215" t="str">
        <f>'Part VII-Pro Forma'!E99</f>
        <v/>
      </c>
      <c r="F1195" s="2215" t="str">
        <f>'Part VII-Pro Forma'!F99</f>
        <v/>
      </c>
      <c r="G1195" s="2215" t="str">
        <f>'Part VII-Pro Forma'!G99</f>
        <v/>
      </c>
      <c r="H1195" s="2215" t="str">
        <f>'Part VII-Pro Forma'!H99</f>
        <v/>
      </c>
      <c r="I1195" s="2215" t="str">
        <f>'Part VII-Pro Forma'!I99</f>
        <v/>
      </c>
      <c r="J1195" s="2215" t="str">
        <f>'Part VII-Pro Forma'!J99</f>
        <v/>
      </c>
      <c r="K1195" s="2215" t="str">
        <f>'Part VII-Pro Forma'!K99</f>
        <v/>
      </c>
      <c r="N1195" s="2043"/>
      <c r="O1195" s="2043"/>
      <c r="Z1195" s="1924" t="s">
        <v>6777</v>
      </c>
      <c r="AA1195" s="1929">
        <v>99</v>
      </c>
    </row>
    <row r="1196" spans="1:27" s="1852" customFormat="1" ht="13.35" customHeight="1">
      <c r="A1196" s="1852" t="str">
        <f>$A1165</f>
        <v>DCR Other Source</v>
      </c>
      <c r="B1196" s="2215" t="str">
        <f>'Part VII-Pro Forma'!B100</f>
        <v/>
      </c>
      <c r="C1196" s="2215" t="str">
        <f>'Part VII-Pro Forma'!C100</f>
        <v/>
      </c>
      <c r="D1196" s="2215" t="str">
        <f>'Part VII-Pro Forma'!D100</f>
        <v/>
      </c>
      <c r="E1196" s="2215" t="str">
        <f>'Part VII-Pro Forma'!E100</f>
        <v/>
      </c>
      <c r="F1196" s="2215" t="str">
        <f>'Part VII-Pro Forma'!F100</f>
        <v/>
      </c>
      <c r="G1196" s="2215" t="str">
        <f>'Part VII-Pro Forma'!G100</f>
        <v/>
      </c>
      <c r="H1196" s="2215" t="str">
        <f>'Part VII-Pro Forma'!H100</f>
        <v/>
      </c>
      <c r="I1196" s="2215" t="str">
        <f>'Part VII-Pro Forma'!I100</f>
        <v/>
      </c>
      <c r="J1196" s="2215" t="str">
        <f>'Part VII-Pro Forma'!J100</f>
        <v/>
      </c>
      <c r="K1196" s="2215" t="str">
        <f>'Part VII-Pro Forma'!K100</f>
        <v/>
      </c>
      <c r="N1196" s="2043"/>
      <c r="O1196" s="2043"/>
      <c r="Z1196" s="1924" t="s">
        <v>6777</v>
      </c>
      <c r="AA1196" s="2051">
        <v>100</v>
      </c>
    </row>
    <row r="1197" spans="1:27" s="1852" customFormat="1" ht="13.35" customHeight="1">
      <c r="A1197" s="1852" t="s">
        <v>3345</v>
      </c>
      <c r="B1197" s="2215">
        <f>'Part VII-Pro Forma'!B101</f>
        <v>1.545073584578343</v>
      </c>
      <c r="C1197" s="2215">
        <f>'Part VII-Pro Forma'!C101</f>
        <v>1.5457781103903854</v>
      </c>
      <c r="D1197" s="2215">
        <f>'Part VII-Pro Forma'!D101</f>
        <v>1.5455964450141679</v>
      </c>
      <c r="E1197" s="2215">
        <f>'Part VII-Pro Forma'!E101</f>
        <v>1.5444774624064574</v>
      </c>
      <c r="F1197" s="2215">
        <f>'Part VII-Pro Forma'!F101</f>
        <v>1.542378128264305</v>
      </c>
      <c r="G1197" s="2215">
        <f>'Part VII-Pro Forma'!G101</f>
        <v>1.5392439732576157</v>
      </c>
      <c r="H1197" s="2215">
        <f>'Part VII-Pro Forma'!H101</f>
        <v>1.5350285032875994</v>
      </c>
      <c r="I1197" s="2215">
        <f>'Part VII-Pro Forma'!I101</f>
        <v>1.5296834036263263</v>
      </c>
      <c r="J1197" s="2215">
        <f>'Part VII-Pro Forma'!J101</f>
        <v>1.5231487410552917</v>
      </c>
      <c r="K1197" s="2215">
        <f>'Part VII-Pro Forma'!K101</f>
        <v>1.5153626333924832</v>
      </c>
      <c r="N1197" s="2043"/>
      <c r="O1197" s="2043"/>
      <c r="Z1197" s="1924" t="s">
        <v>6777</v>
      </c>
      <c r="AA1197" s="2051">
        <v>101</v>
      </c>
    </row>
    <row r="1198" spans="1:27" s="1852" customFormat="1" ht="13.35" customHeight="1">
      <c r="A1198" s="1852" t="s">
        <v>740</v>
      </c>
      <c r="B1198" s="2215">
        <f>'Part VII-Pro Forma'!B102</f>
        <v>1.4452007593218168</v>
      </c>
      <c r="C1198" s="2215">
        <f>'Part VII-Pro Forma'!C102</f>
        <v>1.4329768881696776</v>
      </c>
      <c r="D1198" s="2215">
        <f>'Part VII-Pro Forma'!D102</f>
        <v>1.4208434109336507</v>
      </c>
      <c r="E1198" s="2215">
        <f>'Part VII-Pro Forma'!E102</f>
        <v>1.4087974320116865</v>
      </c>
      <c r="F1198" s="2215">
        <f>'Part VII-Pro Forma'!F102</f>
        <v>1.396839924366974</v>
      </c>
      <c r="G1198" s="2215">
        <f>'Part VII-Pro Forma'!G102</f>
        <v>1.3849683178608319</v>
      </c>
      <c r="H1198" s="2215">
        <f>'Part VII-Pro Forma'!H102</f>
        <v>1.3731836227462897</v>
      </c>
      <c r="I1198" s="2215">
        <f>'Part VII-Pro Forma'!I102</f>
        <v>1.3614866775361132</v>
      </c>
      <c r="J1198" s="2215">
        <f>'Part VII-Pro Forma'!J102</f>
        <v>1.3498751436749092</v>
      </c>
      <c r="K1198" s="2215">
        <f>'Part VII-Pro Forma'!K102</f>
        <v>1.3383469743845007</v>
      </c>
      <c r="N1198" s="2043"/>
      <c r="O1198" s="2043"/>
      <c r="Z1198" s="1924" t="s">
        <v>6777</v>
      </c>
      <c r="AA1198" s="2051">
        <v>102</v>
      </c>
    </row>
    <row r="1199" spans="1:27" s="1852" customFormat="1" ht="13.35" customHeight="1">
      <c r="A1199" s="1852" t="s">
        <v>2494</v>
      </c>
      <c r="B1199" s="2214">
        <f>'Part VII-Pro Forma'!B103</f>
        <v>0</v>
      </c>
      <c r="C1199" s="2214">
        <f>'Part VII-Pro Forma'!C103</f>
        <v>0</v>
      </c>
      <c r="D1199" s="2214">
        <f>'Part VII-Pro Forma'!D103</f>
        <v>0</v>
      </c>
      <c r="E1199" s="2214">
        <f>'Part VII-Pro Forma'!E103</f>
        <v>0</v>
      </c>
      <c r="F1199" s="2214">
        <f>'Part VII-Pro Forma'!F103</f>
        <v>0</v>
      </c>
      <c r="G1199" s="2214">
        <f>'Part VII-Pro Forma'!G103</f>
        <v>0</v>
      </c>
      <c r="H1199" s="2214">
        <f>'Part VII-Pro Forma'!H103</f>
        <v>0</v>
      </c>
      <c r="I1199" s="2214">
        <f>'Part VII-Pro Forma'!I103</f>
        <v>0</v>
      </c>
      <c r="J1199" s="2214">
        <f>'Part VII-Pro Forma'!J103</f>
        <v>0</v>
      </c>
      <c r="K1199" s="2214">
        <f>'Part VII-Pro Forma'!K103</f>
        <v>0</v>
      </c>
      <c r="N1199" s="2043"/>
      <c r="O1199" s="2043"/>
      <c r="Z1199" s="1924" t="s">
        <v>6777</v>
      </c>
      <c r="AA1199" s="2051">
        <v>103</v>
      </c>
    </row>
    <row r="1200" spans="1:27" s="1852" customFormat="1" ht="13.35" customHeight="1">
      <c r="A1200" s="1852" t="s">
        <v>2495</v>
      </c>
      <c r="B1200" s="2214" t="str">
        <f>'Part VII-Pro Forma'!B104</f>
        <v/>
      </c>
      <c r="C1200" s="2214" t="str">
        <f>'Part VII-Pro Forma'!C104</f>
        <v/>
      </c>
      <c r="D1200" s="2214" t="str">
        <f>'Part VII-Pro Forma'!D104</f>
        <v/>
      </c>
      <c r="E1200" s="2214" t="str">
        <f>'Part VII-Pro Forma'!E104</f>
        <v/>
      </c>
      <c r="F1200" s="2214" t="str">
        <f>'Part VII-Pro Forma'!F104</f>
        <v/>
      </c>
      <c r="G1200" s="2214" t="str">
        <f>'Part VII-Pro Forma'!G104</f>
        <v/>
      </c>
      <c r="H1200" s="2214" t="str">
        <f>'Part VII-Pro Forma'!H104</f>
        <v/>
      </c>
      <c r="I1200" s="2214" t="str">
        <f>'Part VII-Pro Forma'!I104</f>
        <v/>
      </c>
      <c r="J1200" s="2214" t="str">
        <f>'Part VII-Pro Forma'!J104</f>
        <v/>
      </c>
      <c r="K1200" s="2214" t="str">
        <f>'Part VII-Pro Forma'!K104</f>
        <v/>
      </c>
      <c r="N1200" s="2043"/>
      <c r="O1200" s="2043"/>
      <c r="Z1200" s="1924" t="s">
        <v>6777</v>
      </c>
      <c r="AA1200" s="2051">
        <v>104</v>
      </c>
    </row>
    <row r="1201" spans="1:27" s="1852" customFormat="1" ht="13.35" customHeight="1">
      <c r="A1201" s="1852" t="s">
        <v>2496</v>
      </c>
      <c r="B1201" s="2214" t="str">
        <f>'Part VII-Pro Forma'!B105</f>
        <v/>
      </c>
      <c r="C1201" s="2214" t="str">
        <f>'Part VII-Pro Forma'!C105</f>
        <v/>
      </c>
      <c r="D1201" s="2214" t="str">
        <f>'Part VII-Pro Forma'!D105</f>
        <v/>
      </c>
      <c r="E1201" s="2214" t="str">
        <f>'Part VII-Pro Forma'!E105</f>
        <v/>
      </c>
      <c r="F1201" s="2214" t="str">
        <f>'Part VII-Pro Forma'!F105</f>
        <v/>
      </c>
      <c r="G1201" s="2214" t="str">
        <f>'Part VII-Pro Forma'!G105</f>
        <v/>
      </c>
      <c r="H1201" s="2214" t="str">
        <f>'Part VII-Pro Forma'!H105</f>
        <v/>
      </c>
      <c r="I1201" s="2214" t="str">
        <f>'Part VII-Pro Forma'!I105</f>
        <v/>
      </c>
      <c r="J1201" s="2214" t="str">
        <f>'Part VII-Pro Forma'!J105</f>
        <v/>
      </c>
      <c r="K1201" s="2214" t="str">
        <f>'Part VII-Pro Forma'!K105</f>
        <v/>
      </c>
      <c r="N1201" s="2043"/>
      <c r="O1201" s="2043"/>
      <c r="Z1201" s="1924" t="s">
        <v>6777</v>
      </c>
      <c r="AA1201" s="2051">
        <v>105</v>
      </c>
    </row>
    <row r="1202" spans="1:27" s="1852" customFormat="1" ht="13.35" customHeight="1">
      <c r="A1202" s="1852" t="s">
        <v>752</v>
      </c>
      <c r="B1202" s="2214" t="str">
        <f>'Part VII-Pro Forma'!B106</f>
        <v/>
      </c>
      <c r="C1202" s="2214" t="str">
        <f>'Part VII-Pro Forma'!C106</f>
        <v/>
      </c>
      <c r="D1202" s="2214" t="str">
        <f>'Part VII-Pro Forma'!D106</f>
        <v/>
      </c>
      <c r="E1202" s="2214" t="str">
        <f>'Part VII-Pro Forma'!E106</f>
        <v/>
      </c>
      <c r="F1202" s="2214" t="str">
        <f>'Part VII-Pro Forma'!F106</f>
        <v/>
      </c>
      <c r="G1202" s="2214" t="str">
        <f>'Part VII-Pro Forma'!G106</f>
        <v/>
      </c>
      <c r="H1202" s="2214" t="str">
        <f>'Part VII-Pro Forma'!H106</f>
        <v/>
      </c>
      <c r="I1202" s="2214" t="str">
        <f>'Part VII-Pro Forma'!I106</f>
        <v/>
      </c>
      <c r="J1202" s="2214" t="str">
        <f>'Part VII-Pro Forma'!J106</f>
        <v/>
      </c>
      <c r="K1202" s="2214" t="str">
        <f>'Part VII-Pro Forma'!K106</f>
        <v/>
      </c>
      <c r="N1202" s="2043"/>
      <c r="O1202" s="2043"/>
      <c r="Z1202" s="1924" t="s">
        <v>6777</v>
      </c>
      <c r="AA1202" s="2051">
        <v>106</v>
      </c>
    </row>
    <row r="1203" spans="1:27" s="1852" customFormat="1" ht="4.3499999999999996" customHeight="1">
      <c r="B1203" s="2213"/>
      <c r="C1203" s="2213"/>
      <c r="D1203" s="2213"/>
      <c r="E1203" s="2213"/>
      <c r="F1203" s="2213"/>
      <c r="G1203" s="2213"/>
      <c r="H1203" s="2213"/>
      <c r="I1203" s="2213"/>
      <c r="J1203" s="2213"/>
      <c r="K1203" s="2213"/>
      <c r="Z1203" s="1924"/>
      <c r="AA1203" s="2051">
        <v>107</v>
      </c>
    </row>
    <row r="1204" spans="1:27" s="1852" customFormat="1" ht="14.45" customHeight="1">
      <c r="A1204" s="1852" t="s">
        <v>2369</v>
      </c>
      <c r="B1204" s="2213">
        <f>K1174+1</f>
        <v>31</v>
      </c>
      <c r="C1204" s="2213">
        <f>B1204+1</f>
        <v>32</v>
      </c>
      <c r="D1204" s="2213">
        <f>C1204+1</f>
        <v>33</v>
      </c>
      <c r="E1204" s="2213">
        <f>D1204+1</f>
        <v>34</v>
      </c>
      <c r="F1204" s="2213">
        <f>E1204+1</f>
        <v>35</v>
      </c>
      <c r="G1204" s="2213"/>
      <c r="H1204" s="2213"/>
      <c r="I1204" s="2213"/>
      <c r="J1204" s="2213"/>
      <c r="K1204" s="2213"/>
      <c r="N1204" s="1852" t="s">
        <v>3336</v>
      </c>
      <c r="Z1204" s="1924"/>
      <c r="AA1204" s="1929">
        <v>108</v>
      </c>
    </row>
    <row r="1205" spans="1:27" s="1852" customFormat="1" ht="13.35" customHeight="1">
      <c r="A1205" s="1852" t="s">
        <v>2295</v>
      </c>
      <c r="B1205" s="2213">
        <f>'Part VII-Pro Forma'!B109</f>
        <v>662088.88622145774</v>
      </c>
      <c r="C1205" s="2213">
        <f>'Part VII-Pro Forma'!C109</f>
        <v>675330.66394588677</v>
      </c>
      <c r="D1205" s="2213">
        <f>'Part VII-Pro Forma'!D109</f>
        <v>688837.27722480462</v>
      </c>
      <c r="E1205" s="2213">
        <f>'Part VII-Pro Forma'!E109</f>
        <v>702614.02276930073</v>
      </c>
      <c r="F1205" s="2213">
        <f>'Part VII-Pro Forma'!F109</f>
        <v>716666.30322468677</v>
      </c>
      <c r="G1205" s="2213"/>
      <c r="H1205" s="2213"/>
      <c r="I1205" s="2213"/>
      <c r="J1205" s="2213"/>
      <c r="K1205" s="2213"/>
      <c r="N1205" s="2043"/>
      <c r="O1205" s="2043"/>
      <c r="Z1205" s="1924" t="s">
        <v>6778</v>
      </c>
      <c r="AA1205" s="2051">
        <v>109</v>
      </c>
    </row>
    <row r="1206" spans="1:27" s="1852" customFormat="1" ht="13.35" customHeight="1">
      <c r="A1206" s="1852" t="s">
        <v>977</v>
      </c>
      <c r="B1206" s="2213">
        <f>'Part VII-Pro Forma'!B110</f>
        <v>13241.777724429156</v>
      </c>
      <c r="C1206" s="2213">
        <f>'Part VII-Pro Forma'!C110</f>
        <v>13506.613278917735</v>
      </c>
      <c r="D1206" s="2213">
        <f>'Part VII-Pro Forma'!D110</f>
        <v>13776.745544496094</v>
      </c>
      <c r="E1206" s="2213">
        <f>'Part VII-Pro Forma'!E110</f>
        <v>14052.280455386017</v>
      </c>
      <c r="F1206" s="2213">
        <f>'Part VII-Pro Forma'!F110</f>
        <v>14333.326064493736</v>
      </c>
      <c r="G1206" s="2213"/>
      <c r="H1206" s="2213"/>
      <c r="I1206" s="2213"/>
      <c r="J1206" s="2213"/>
      <c r="K1206" s="2213"/>
      <c r="N1206" s="2043"/>
      <c r="O1206" s="2043"/>
      <c r="Z1206" s="1924" t="s">
        <v>6778</v>
      </c>
      <c r="AA1206" s="2051">
        <v>110</v>
      </c>
    </row>
    <row r="1207" spans="1:27" s="1852" customFormat="1" ht="13.35" customHeight="1">
      <c r="A1207" s="1852" t="s">
        <v>2296</v>
      </c>
      <c r="B1207" s="2213">
        <f>'Part VII-Pro Forma'!B111</f>
        <v>-47273.146476212089</v>
      </c>
      <c r="C1207" s="2213">
        <f>'Part VII-Pro Forma'!C111</f>
        <v>-48218.609405736323</v>
      </c>
      <c r="D1207" s="2213">
        <f>'Part VII-Pro Forma'!D111</f>
        <v>-49182.981593851058</v>
      </c>
      <c r="E1207" s="2213">
        <f>'Part VII-Pro Forma'!E111</f>
        <v>-50166.641225728075</v>
      </c>
      <c r="F1207" s="2213">
        <f>'Part VII-Pro Forma'!F111</f>
        <v>-51169.974050242643</v>
      </c>
      <c r="G1207" s="2213"/>
      <c r="H1207" s="2213"/>
      <c r="I1207" s="2213"/>
      <c r="J1207" s="2213"/>
      <c r="K1207" s="2213"/>
      <c r="N1207" s="2043"/>
      <c r="O1207" s="2043"/>
      <c r="Z1207" s="1924" t="s">
        <v>6778</v>
      </c>
      <c r="AA1207" s="2051">
        <v>111</v>
      </c>
    </row>
    <row r="1208" spans="1:27" s="1852" customFormat="1" ht="13.35" customHeight="1">
      <c r="A1208" s="1852" t="s">
        <v>47</v>
      </c>
      <c r="B1208" s="2213">
        <f>'Part VII-Pro Forma'!B112</f>
        <v>0</v>
      </c>
      <c r="C1208" s="2213">
        <f>'Part VII-Pro Forma'!C112</f>
        <v>0</v>
      </c>
      <c r="D1208" s="2213">
        <f>'Part VII-Pro Forma'!D112</f>
        <v>0</v>
      </c>
      <c r="E1208" s="2213">
        <f>'Part VII-Pro Forma'!E112</f>
        <v>0</v>
      </c>
      <c r="F1208" s="2213">
        <f>'Part VII-Pro Forma'!F112</f>
        <v>0</v>
      </c>
      <c r="G1208" s="2213"/>
      <c r="H1208" s="2213"/>
      <c r="I1208" s="2213"/>
      <c r="J1208" s="2213"/>
      <c r="K1208" s="2213"/>
      <c r="N1208" s="2043"/>
      <c r="O1208" s="2043"/>
      <c r="Z1208" s="1924" t="s">
        <v>6778</v>
      </c>
      <c r="AA1208" s="2051">
        <v>112</v>
      </c>
    </row>
    <row r="1209" spans="1:27" s="1852" customFormat="1" ht="13.35" customHeight="1">
      <c r="A1209" s="1852" t="s">
        <v>48</v>
      </c>
      <c r="B1209" s="2213">
        <f>'Part VII-Pro Forma'!B113</f>
        <v>0</v>
      </c>
      <c r="C1209" s="2213">
        <f>'Part VII-Pro Forma'!C113</f>
        <v>0</v>
      </c>
      <c r="D1209" s="2213">
        <f>'Part VII-Pro Forma'!D113</f>
        <v>0</v>
      </c>
      <c r="E1209" s="2213">
        <f>'Part VII-Pro Forma'!E113</f>
        <v>0</v>
      </c>
      <c r="F1209" s="2213">
        <f>'Part VII-Pro Forma'!F113</f>
        <v>0</v>
      </c>
      <c r="G1209" s="2213"/>
      <c r="H1209" s="2213"/>
      <c r="I1209" s="2213"/>
      <c r="J1209" s="2213"/>
      <c r="K1209" s="2213"/>
      <c r="N1209" s="2043"/>
      <c r="O1209" s="2043"/>
      <c r="Z1209" s="1924" t="s">
        <v>6778</v>
      </c>
      <c r="AA1209" s="2051">
        <v>113</v>
      </c>
    </row>
    <row r="1210" spans="1:27" s="1852" customFormat="1" ht="13.35" customHeight="1">
      <c r="A1210" s="1852" t="s">
        <v>4016</v>
      </c>
      <c r="B1210" s="2213">
        <f>'Part VII-Pro Forma'!B114</f>
        <v>628057.51746967481</v>
      </c>
      <c r="C1210" s="2213">
        <f>'Part VII-Pro Forma'!C114</f>
        <v>640618.66781906819</v>
      </c>
      <c r="D1210" s="2213">
        <f>'Part VII-Pro Forma'!D114</f>
        <v>653431.04117544973</v>
      </c>
      <c r="E1210" s="2213">
        <f>'Part VII-Pro Forma'!E114</f>
        <v>666499.66199895868</v>
      </c>
      <c r="F1210" s="2213">
        <f>'Part VII-Pro Forma'!F114</f>
        <v>679829.65523893782</v>
      </c>
      <c r="G1210" s="2213"/>
      <c r="H1210" s="2213"/>
      <c r="I1210" s="2213"/>
      <c r="J1210" s="2213"/>
      <c r="K1210" s="2213"/>
      <c r="N1210" s="2043"/>
      <c r="O1210" s="2043"/>
      <c r="Z1210" s="1924" t="s">
        <v>6778</v>
      </c>
      <c r="AA1210" s="2051">
        <v>114</v>
      </c>
    </row>
    <row r="1211" spans="1:27" s="1852" customFormat="1" ht="13.35" customHeight="1">
      <c r="A1211" s="1852" t="s">
        <v>585</v>
      </c>
      <c r="B1211" s="2213">
        <f>'Part VII-Pro Forma'!B115</f>
        <v>-387672.65284852759</v>
      </c>
      <c r="C1211" s="2213">
        <f>'Part VII-Pro Forma'!C115</f>
        <v>-399302.83243398351</v>
      </c>
      <c r="D1211" s="2213">
        <f>'Part VII-Pro Forma'!D115</f>
        <v>-411281.91740700288</v>
      </c>
      <c r="E1211" s="2213">
        <f>'Part VII-Pro Forma'!E115</f>
        <v>-423620.37492921302</v>
      </c>
      <c r="F1211" s="2213">
        <f>'Part VII-Pro Forma'!F115</f>
        <v>-436328.98617708933</v>
      </c>
      <c r="G1211" s="2213"/>
      <c r="H1211" s="2213"/>
      <c r="I1211" s="2213"/>
      <c r="J1211" s="2213"/>
      <c r="K1211" s="2213"/>
      <c r="N1211" s="2043"/>
      <c r="O1211" s="2043"/>
      <c r="Z1211" s="1924" t="s">
        <v>6778</v>
      </c>
      <c r="AA1211" s="2051">
        <v>115</v>
      </c>
    </row>
    <row r="1212" spans="1:27" s="1852" customFormat="1" ht="13.35" customHeight="1">
      <c r="A1212" s="1852" t="s">
        <v>1075</v>
      </c>
      <c r="B1212" s="2213">
        <f>'Part VII-Pro Forma'!B116</f>
        <v>-56525</v>
      </c>
      <c r="C1212" s="2213">
        <f>'Part VII-Pro Forma'!C116</f>
        <v>-57656</v>
      </c>
      <c r="D1212" s="2213">
        <f>'Part VII-Pro Forma'!D116</f>
        <v>-58809</v>
      </c>
      <c r="E1212" s="2213">
        <f>'Part VII-Pro Forma'!E116</f>
        <v>-59985</v>
      </c>
      <c r="F1212" s="2213">
        <f>'Part VII-Pro Forma'!F116</f>
        <v>-61185</v>
      </c>
      <c r="G1212" s="2213"/>
      <c r="H1212" s="2213"/>
      <c r="I1212" s="2213"/>
      <c r="J1212" s="2213"/>
      <c r="K1212" s="2213"/>
      <c r="N1212" s="2043"/>
      <c r="O1212" s="2043"/>
      <c r="Z1212" s="1924" t="s">
        <v>6778</v>
      </c>
      <c r="AA1212" s="2051">
        <v>116</v>
      </c>
    </row>
    <row r="1213" spans="1:27" s="1852" customFormat="1" ht="13.35" customHeight="1">
      <c r="A1213" s="1852" t="s">
        <v>1156</v>
      </c>
      <c r="B1213" s="2213">
        <f>'Part VII-Pro Forma'!B117</f>
        <v>-29127.149654275909</v>
      </c>
      <c r="C1213" s="2213">
        <f>'Part VII-Pro Forma'!C117</f>
        <v>-30000.964143904192</v>
      </c>
      <c r="D1213" s="2213">
        <f>'Part VII-Pro Forma'!D117</f>
        <v>-30900.993068221313</v>
      </c>
      <c r="E1213" s="2213">
        <f>'Part VII-Pro Forma'!E117</f>
        <v>-31828.022860267953</v>
      </c>
      <c r="F1213" s="2213">
        <f>'Part VII-Pro Forma'!F117</f>
        <v>-32782.863546075983</v>
      </c>
      <c r="G1213" s="2213"/>
      <c r="H1213" s="2213"/>
      <c r="I1213" s="2213"/>
      <c r="J1213" s="2213"/>
      <c r="K1213" s="2213"/>
      <c r="N1213" s="2043"/>
      <c r="O1213" s="2043"/>
      <c r="Q1213" s="2051">
        <v>10</v>
      </c>
      <c r="R1213" s="2140">
        <f>-SUM(B1219:K1219)</f>
        <v>0</v>
      </c>
      <c r="S1213" s="2140">
        <f>SUM(B1220:K1220)+R1213</f>
        <v>0</v>
      </c>
      <c r="Z1213" s="1924" t="s">
        <v>6778</v>
      </c>
      <c r="AA1213" s="1929">
        <v>117</v>
      </c>
    </row>
    <row r="1214" spans="1:27" s="1852" customFormat="1" ht="13.35" customHeight="1">
      <c r="A1214" s="1852" t="s">
        <v>4015</v>
      </c>
      <c r="B1214" s="2214">
        <f>'Part VII-Pro Forma'!B118</f>
        <v>0</v>
      </c>
      <c r="C1214" s="2214">
        <f>'Part VII-Pro Forma'!C118</f>
        <v>0</v>
      </c>
      <c r="D1214" s="2214">
        <f>'Part VII-Pro Forma'!D118</f>
        <v>0</v>
      </c>
      <c r="E1214" s="2214">
        <f>'Part VII-Pro Forma'!E118</f>
        <v>0</v>
      </c>
      <c r="F1214" s="2214">
        <f>'Part VII-Pro Forma'!F118</f>
        <v>0</v>
      </c>
      <c r="G1214" s="2213"/>
      <c r="H1214" s="2213"/>
      <c r="I1214" s="2213"/>
      <c r="J1214" s="2213"/>
      <c r="K1214" s="2213"/>
      <c r="N1214" s="2043"/>
      <c r="O1214" s="2043"/>
      <c r="Z1214" s="1924" t="s">
        <v>6778</v>
      </c>
      <c r="AA1214" s="2051">
        <v>118</v>
      </c>
    </row>
    <row r="1215" spans="1:27" s="1852" customFormat="1" ht="13.35" customHeight="1">
      <c r="A1215" s="1852" t="s">
        <v>1157</v>
      </c>
      <c r="B1215" s="2213">
        <f>'Part VII-Pro Forma'!B119</f>
        <v>154732.71496687131</v>
      </c>
      <c r="C1215" s="2213">
        <f>'Part VII-Pro Forma'!C119</f>
        <v>153658.87124118049</v>
      </c>
      <c r="D1215" s="2213">
        <f>'Part VII-Pro Forma'!D119</f>
        <v>152439.13070022553</v>
      </c>
      <c r="E1215" s="2213">
        <f>'Part VII-Pro Forma'!E119</f>
        <v>151066.2642094777</v>
      </c>
      <c r="F1215" s="2213">
        <f>'Part VII-Pro Forma'!F119</f>
        <v>149532.80551577249</v>
      </c>
      <c r="G1215" s="2213"/>
      <c r="H1215" s="2213"/>
      <c r="I1215" s="2213"/>
      <c r="J1215" s="2213"/>
      <c r="K1215" s="2213"/>
      <c r="N1215" s="2043"/>
      <c r="O1215" s="2043"/>
      <c r="Z1215" s="1924" t="s">
        <v>6778</v>
      </c>
      <c r="AA1215" s="2051">
        <v>119</v>
      </c>
    </row>
    <row r="1216" spans="1:27" s="1852" customFormat="1" ht="13.35" customHeight="1">
      <c r="A1216" s="1852" t="str">
        <f>$A1186</f>
        <v>Mortgage A</v>
      </c>
      <c r="B1216" s="2214">
        <f>'Part VII-Pro Forma'!B120</f>
        <v>0</v>
      </c>
      <c r="C1216" s="2214">
        <f>'Part VII-Pro Forma'!C120</f>
        <v>0</v>
      </c>
      <c r="D1216" s="2214">
        <f>'Part VII-Pro Forma'!D120</f>
        <v>0</v>
      </c>
      <c r="E1216" s="2214">
        <f>'Part VII-Pro Forma'!E120</f>
        <v>0</v>
      </c>
      <c r="F1216" s="2214">
        <f>'Part VII-Pro Forma'!F120</f>
        <v>0</v>
      </c>
      <c r="G1216" s="2213"/>
      <c r="H1216" s="2213"/>
      <c r="I1216" s="2213"/>
      <c r="J1216" s="2213"/>
      <c r="K1216" s="2213"/>
      <c r="N1216" s="2043"/>
      <c r="O1216" s="2043"/>
      <c r="Z1216" s="1924" t="s">
        <v>6778</v>
      </c>
      <c r="AA1216" s="2051">
        <v>120</v>
      </c>
    </row>
    <row r="1217" spans="1:27" s="1852" customFormat="1" ht="13.35" customHeight="1">
      <c r="A1217" s="1852" t="str">
        <f>$A1187</f>
        <v>Mortgage B</v>
      </c>
      <c r="B1217" s="2214">
        <f>'Part VII-Pro Forma'!B121</f>
        <v>0</v>
      </c>
      <c r="C1217" s="2214">
        <f>'Part VII-Pro Forma'!C121</f>
        <v>0</v>
      </c>
      <c r="D1217" s="2214">
        <f>'Part VII-Pro Forma'!D121</f>
        <v>0</v>
      </c>
      <c r="E1217" s="2214">
        <f>'Part VII-Pro Forma'!E121</f>
        <v>0</v>
      </c>
      <c r="F1217" s="2214">
        <f>'Part VII-Pro Forma'!F121</f>
        <v>0</v>
      </c>
      <c r="G1217" s="2213"/>
      <c r="H1217" s="2213"/>
      <c r="I1217" s="2213"/>
      <c r="J1217" s="2213"/>
      <c r="K1217" s="2213"/>
      <c r="N1217" s="2043"/>
      <c r="O1217" s="2043"/>
      <c r="Z1217" s="1924" t="s">
        <v>6778</v>
      </c>
      <c r="AA1217" s="2051">
        <v>121</v>
      </c>
    </row>
    <row r="1218" spans="1:27" s="1852" customFormat="1" ht="13.35" customHeight="1">
      <c r="A1218" s="1852" t="str">
        <f>$A1188</f>
        <v>Mortgage C</v>
      </c>
      <c r="B1218" s="2214">
        <f>'Part VII-Pro Forma'!B122</f>
        <v>0</v>
      </c>
      <c r="C1218" s="2214">
        <f>'Part VII-Pro Forma'!C122</f>
        <v>0</v>
      </c>
      <c r="D1218" s="2214">
        <f>'Part VII-Pro Forma'!D122</f>
        <v>0</v>
      </c>
      <c r="E1218" s="2214">
        <f>'Part VII-Pro Forma'!E122</f>
        <v>0</v>
      </c>
      <c r="F1218" s="2214">
        <f>'Part VII-Pro Forma'!F122</f>
        <v>0</v>
      </c>
      <c r="G1218" s="2213"/>
      <c r="H1218" s="2213"/>
      <c r="I1218" s="2213"/>
      <c r="J1218" s="2213"/>
      <c r="K1218" s="2213"/>
      <c r="N1218" s="2043"/>
      <c r="O1218" s="2043"/>
      <c r="Z1218" s="1924" t="s">
        <v>6778</v>
      </c>
      <c r="AA1218" s="1929">
        <v>122</v>
      </c>
    </row>
    <row r="1219" spans="1:27" s="1852" customFormat="1" ht="13.35" customHeight="1">
      <c r="A1219" s="1852" t="str">
        <f>$A1189</f>
        <v>D/S Other Source,not DDF</v>
      </c>
      <c r="B1219" s="2214">
        <f>'Part VII-Pro Forma'!B123</f>
        <v>0</v>
      </c>
      <c r="C1219" s="2214">
        <f>'Part VII-Pro Forma'!C123</f>
        <v>0</v>
      </c>
      <c r="D1219" s="2214">
        <f>'Part VII-Pro Forma'!D123</f>
        <v>0</v>
      </c>
      <c r="E1219" s="2214">
        <f>'Part VII-Pro Forma'!E123</f>
        <v>0</v>
      </c>
      <c r="F1219" s="2214">
        <f>'Part VII-Pro Forma'!F123</f>
        <v>0</v>
      </c>
      <c r="G1219" s="2213"/>
      <c r="H1219" s="2213"/>
      <c r="I1219" s="2213"/>
      <c r="J1219" s="2213"/>
      <c r="K1219" s="2213"/>
      <c r="N1219" s="2043"/>
      <c r="O1219" s="2043"/>
      <c r="Z1219" s="1924" t="s">
        <v>6778</v>
      </c>
      <c r="AA1219" s="2051">
        <v>123</v>
      </c>
    </row>
    <row r="1220" spans="1:27" s="1852" customFormat="1" ht="13.35" customHeight="1">
      <c r="A1220" s="1852" t="s">
        <v>733</v>
      </c>
      <c r="B1220" s="2214">
        <f>'Part VII-Pro Forma'!B124</f>
        <v>0</v>
      </c>
      <c r="C1220" s="2214">
        <f>'Part VII-Pro Forma'!C124</f>
        <v>0</v>
      </c>
      <c r="D1220" s="2214">
        <f>'Part VII-Pro Forma'!D124</f>
        <v>0</v>
      </c>
      <c r="E1220" s="2214">
        <f>'Part VII-Pro Forma'!E124</f>
        <v>0</v>
      </c>
      <c r="F1220" s="2214">
        <f>'Part VII-Pro Forma'!F124</f>
        <v>0</v>
      </c>
      <c r="G1220" s="2213"/>
      <c r="H1220" s="2213"/>
      <c r="I1220" s="2213"/>
      <c r="J1220" s="2213"/>
      <c r="K1220" s="2213"/>
      <c r="N1220" s="2043"/>
      <c r="O1220" s="2043"/>
      <c r="Z1220" s="1924" t="s">
        <v>6778</v>
      </c>
      <c r="AA1220" s="2051">
        <v>124</v>
      </c>
    </row>
    <row r="1221" spans="1:27" s="1852" customFormat="1" ht="13.35" customHeight="1">
      <c r="A1221" s="1852" t="s">
        <v>1121</v>
      </c>
      <c r="B1221" s="2214">
        <f>'Part VII-Pro Forma'!B125</f>
        <v>-5400</v>
      </c>
      <c r="C1221" s="2214">
        <f>'Part VII-Pro Forma'!C125</f>
        <v>-5400</v>
      </c>
      <c r="D1221" s="2214">
        <f>'Part VII-Pro Forma'!D125</f>
        <v>-5400</v>
      </c>
      <c r="E1221" s="2214">
        <f>'Part VII-Pro Forma'!E125</f>
        <v>-5400</v>
      </c>
      <c r="F1221" s="2214">
        <f>'Part VII-Pro Forma'!F125</f>
        <v>-5400</v>
      </c>
      <c r="G1221" s="2213"/>
      <c r="H1221" s="2213"/>
      <c r="I1221" s="2213"/>
      <c r="J1221" s="2213"/>
      <c r="K1221" s="2213"/>
      <c r="N1221" s="2043"/>
      <c r="O1221" s="2043"/>
      <c r="Z1221" s="1924" t="s">
        <v>6778</v>
      </c>
      <c r="AA1221" s="2051">
        <v>125</v>
      </c>
    </row>
    <row r="1222" spans="1:27" s="1852" customFormat="1" ht="13.35" customHeight="1">
      <c r="A1222" s="1852" t="s">
        <v>1122</v>
      </c>
      <c r="B1222" s="2213">
        <f>'Part VII-Pro Forma'!B126</f>
        <v>149332.71496687131</v>
      </c>
      <c r="C1222" s="2213">
        <f>'Part VII-Pro Forma'!C126</f>
        <v>148258.87124118049</v>
      </c>
      <c r="D1222" s="2213">
        <f>'Part VII-Pro Forma'!D126</f>
        <v>147039.13070022553</v>
      </c>
      <c r="E1222" s="2213">
        <f>'Part VII-Pro Forma'!E126</f>
        <v>145666.2642094777</v>
      </c>
      <c r="F1222" s="2213">
        <f>'Part VII-Pro Forma'!F126</f>
        <v>144132.80551577249</v>
      </c>
      <c r="G1222" s="2213"/>
      <c r="H1222" s="2213"/>
      <c r="I1222" s="2213"/>
      <c r="J1222" s="2213"/>
      <c r="K1222" s="2213"/>
      <c r="N1222" s="2043"/>
      <c r="O1222" s="2043"/>
      <c r="Z1222" s="1924" t="s">
        <v>6778</v>
      </c>
      <c r="AA1222" s="2051">
        <v>126</v>
      </c>
    </row>
    <row r="1223" spans="1:27" s="1852" customFormat="1" ht="13.35" customHeight="1">
      <c r="A1223" s="1852" t="str">
        <f>$A1193</f>
        <v>DCR Mortgage A</v>
      </c>
      <c r="B1223" s="2215" t="str">
        <f>'Part VII-Pro Forma'!B127</f>
        <v/>
      </c>
      <c r="C1223" s="2215" t="str">
        <f>'Part VII-Pro Forma'!C127</f>
        <v/>
      </c>
      <c r="D1223" s="2215" t="str">
        <f>'Part VII-Pro Forma'!D127</f>
        <v/>
      </c>
      <c r="E1223" s="2215" t="str">
        <f>'Part VII-Pro Forma'!E127</f>
        <v/>
      </c>
      <c r="F1223" s="2215" t="str">
        <f>'Part VII-Pro Forma'!F127</f>
        <v/>
      </c>
      <c r="G1223" s="2213"/>
      <c r="H1223" s="2213"/>
      <c r="I1223" s="2213"/>
      <c r="J1223" s="2213"/>
      <c r="K1223" s="2213"/>
      <c r="N1223" s="2043"/>
      <c r="O1223" s="2043"/>
      <c r="Z1223" s="1924" t="s">
        <v>6778</v>
      </c>
      <c r="AA1223" s="2051">
        <v>127</v>
      </c>
    </row>
    <row r="1224" spans="1:27" s="1852" customFormat="1" ht="13.35" customHeight="1">
      <c r="A1224" s="1852" t="str">
        <f>$A1194</f>
        <v>DCR Mortgage B</v>
      </c>
      <c r="B1224" s="2215" t="str">
        <f>'Part VII-Pro Forma'!B128</f>
        <v/>
      </c>
      <c r="C1224" s="2215" t="str">
        <f>'Part VII-Pro Forma'!C128</f>
        <v/>
      </c>
      <c r="D1224" s="2215" t="str">
        <f>'Part VII-Pro Forma'!D128</f>
        <v/>
      </c>
      <c r="E1224" s="2215" t="str">
        <f>'Part VII-Pro Forma'!E128</f>
        <v/>
      </c>
      <c r="F1224" s="2215" t="str">
        <f>'Part VII-Pro Forma'!F128</f>
        <v/>
      </c>
      <c r="G1224" s="2213"/>
      <c r="H1224" s="2213"/>
      <c r="I1224" s="2213"/>
      <c r="J1224" s="2213"/>
      <c r="K1224" s="2213"/>
      <c r="N1224" s="2043"/>
      <c r="O1224" s="2043"/>
      <c r="Z1224" s="1924" t="s">
        <v>6778</v>
      </c>
      <c r="AA1224" s="2051">
        <v>128</v>
      </c>
    </row>
    <row r="1225" spans="1:27" s="1852" customFormat="1" ht="13.35" customHeight="1">
      <c r="A1225" s="1852" t="str">
        <f>$A1195</f>
        <v>DCR Mortgage C</v>
      </c>
      <c r="B1225" s="2215" t="str">
        <f>'Part VII-Pro Forma'!B129</f>
        <v/>
      </c>
      <c r="C1225" s="2215" t="str">
        <f>'Part VII-Pro Forma'!C129</f>
        <v/>
      </c>
      <c r="D1225" s="2215" t="str">
        <f>'Part VII-Pro Forma'!D129</f>
        <v/>
      </c>
      <c r="E1225" s="2215" t="str">
        <f>'Part VII-Pro Forma'!E129</f>
        <v/>
      </c>
      <c r="F1225" s="2215" t="str">
        <f>'Part VII-Pro Forma'!F129</f>
        <v/>
      </c>
      <c r="G1225" s="2213"/>
      <c r="H1225" s="2213"/>
      <c r="I1225" s="2213"/>
      <c r="J1225" s="2213"/>
      <c r="K1225" s="2213"/>
      <c r="N1225" s="2043"/>
      <c r="O1225" s="2043"/>
      <c r="Z1225" s="1924" t="s">
        <v>6778</v>
      </c>
      <c r="AA1225" s="2051">
        <v>129</v>
      </c>
    </row>
    <row r="1226" spans="1:27" s="1852" customFormat="1" ht="13.35" customHeight="1">
      <c r="A1226" s="1852" t="str">
        <f>$A1196</f>
        <v>DCR Other Source</v>
      </c>
      <c r="B1226" s="2215" t="str">
        <f>'Part VII-Pro Forma'!B130</f>
        <v/>
      </c>
      <c r="C1226" s="2215" t="str">
        <f>'Part VII-Pro Forma'!C130</f>
        <v/>
      </c>
      <c r="D1226" s="2215" t="str">
        <f>'Part VII-Pro Forma'!D130</f>
        <v/>
      </c>
      <c r="E1226" s="2215" t="str">
        <f>'Part VII-Pro Forma'!E130</f>
        <v/>
      </c>
      <c r="F1226" s="2215" t="str">
        <f>'Part VII-Pro Forma'!F130</f>
        <v/>
      </c>
      <c r="G1226" s="2213"/>
      <c r="H1226" s="2213"/>
      <c r="I1226" s="2213"/>
      <c r="J1226" s="2213"/>
      <c r="K1226" s="2213"/>
      <c r="N1226" s="2043"/>
      <c r="O1226" s="2043"/>
      <c r="Z1226" s="1924" t="s">
        <v>6778</v>
      </c>
      <c r="AA1226" s="2051">
        <v>130</v>
      </c>
    </row>
    <row r="1227" spans="1:27" s="1852" customFormat="1" ht="13.35" customHeight="1">
      <c r="A1227" s="1852" t="s">
        <v>3345</v>
      </c>
      <c r="B1227" s="2215" t="str">
        <f>'Part VII-Pro Forma'!B131</f>
        <v/>
      </c>
      <c r="C1227" s="2215" t="str">
        <f>'Part VII-Pro Forma'!C131</f>
        <v/>
      </c>
      <c r="D1227" s="2215" t="str">
        <f>'Part VII-Pro Forma'!D131</f>
        <v/>
      </c>
      <c r="E1227" s="2215" t="str">
        <f>'Part VII-Pro Forma'!E131</f>
        <v/>
      </c>
      <c r="F1227" s="2215" t="str">
        <f>'Part VII-Pro Forma'!F131</f>
        <v/>
      </c>
      <c r="G1227" s="2213"/>
      <c r="H1227" s="2213"/>
      <c r="I1227" s="2213"/>
      <c r="J1227" s="2213"/>
      <c r="K1227" s="2213"/>
      <c r="N1227" s="2043"/>
      <c r="O1227" s="2043"/>
      <c r="Z1227" s="1924" t="s">
        <v>6778</v>
      </c>
      <c r="AA1227" s="1929">
        <v>131</v>
      </c>
    </row>
    <row r="1228" spans="1:27" s="1852" customFormat="1" ht="13.35" customHeight="1">
      <c r="A1228" s="1852" t="s">
        <v>740</v>
      </c>
      <c r="B1228" s="2215">
        <f>'Part VII-Pro Forma'!B132</f>
        <v>1.326905993830642</v>
      </c>
      <c r="C1228" s="2215">
        <f>'Part VII-Pro Forma'!C132</f>
        <v>1.3155473456351405</v>
      </c>
      <c r="D1228" s="2215">
        <f>'Part VII-Pro Forma'!D132</f>
        <v>1.3042746350048384</v>
      </c>
      <c r="E1228" s="2215">
        <f>'Part VII-Pro Forma'!E132</f>
        <v>1.2930859056812183</v>
      </c>
      <c r="F1228" s="2215">
        <f>'Part VII-Pro Forma'!F132</f>
        <v>1.2819794339601192</v>
      </c>
      <c r="G1228" s="2213"/>
      <c r="H1228" s="2213"/>
      <c r="I1228" s="2213"/>
      <c r="J1228" s="2213"/>
      <c r="K1228" s="2213"/>
      <c r="N1228" s="2043"/>
      <c r="O1228" s="2043"/>
      <c r="Z1228" s="1924" t="s">
        <v>6778</v>
      </c>
      <c r="AA1228" s="2051">
        <v>132</v>
      </c>
    </row>
    <row r="1229" spans="1:27" s="1852" customFormat="1" ht="13.35" customHeight="1">
      <c r="A1229" s="1852" t="s">
        <v>2494</v>
      </c>
      <c r="B1229" s="2214">
        <f>'Part VII-Pro Forma'!B133</f>
        <v>0</v>
      </c>
      <c r="C1229" s="2214">
        <f>'Part VII-Pro Forma'!C133</f>
        <v>0</v>
      </c>
      <c r="D1229" s="2214">
        <f>'Part VII-Pro Forma'!D133</f>
        <v>0</v>
      </c>
      <c r="E1229" s="2214">
        <f>'Part VII-Pro Forma'!E133</f>
        <v>0</v>
      </c>
      <c r="F1229" s="2214">
        <f>'Part VII-Pro Forma'!F133</f>
        <v>0</v>
      </c>
      <c r="G1229" s="2213"/>
      <c r="H1229" s="2213"/>
      <c r="I1229" s="2213"/>
      <c r="J1229" s="2213"/>
      <c r="K1229" s="2213"/>
      <c r="N1229" s="2043"/>
      <c r="O1229" s="2043"/>
      <c r="Z1229" s="1924" t="s">
        <v>6778</v>
      </c>
      <c r="AA1229" s="2051">
        <v>133</v>
      </c>
    </row>
    <row r="1230" spans="1:27" s="1852" customFormat="1" ht="13.35" customHeight="1">
      <c r="A1230" s="1852" t="s">
        <v>2495</v>
      </c>
      <c r="B1230" s="2214" t="str">
        <f>'Part VII-Pro Forma'!B134</f>
        <v/>
      </c>
      <c r="C1230" s="2214" t="str">
        <f>'Part VII-Pro Forma'!C134</f>
        <v/>
      </c>
      <c r="D1230" s="2214" t="str">
        <f>'Part VII-Pro Forma'!D134</f>
        <v/>
      </c>
      <c r="E1230" s="2214" t="str">
        <f>'Part VII-Pro Forma'!E134</f>
        <v/>
      </c>
      <c r="F1230" s="2214" t="str">
        <f>'Part VII-Pro Forma'!F134</f>
        <v/>
      </c>
      <c r="G1230" s="2213"/>
      <c r="H1230" s="2213"/>
      <c r="I1230" s="2213"/>
      <c r="J1230" s="2213"/>
      <c r="K1230" s="2213"/>
      <c r="N1230" s="2043"/>
      <c r="O1230" s="2043"/>
      <c r="Z1230" s="1924" t="s">
        <v>6778</v>
      </c>
      <c r="AA1230" s="2051">
        <v>134</v>
      </c>
    </row>
    <row r="1231" spans="1:27" s="1852" customFormat="1" ht="13.35" customHeight="1">
      <c r="A1231" s="1852" t="s">
        <v>2496</v>
      </c>
      <c r="B1231" s="2214" t="str">
        <f>'Part VII-Pro Forma'!B135</f>
        <v/>
      </c>
      <c r="C1231" s="2214" t="str">
        <f>'Part VII-Pro Forma'!C135</f>
        <v/>
      </c>
      <c r="D1231" s="2214" t="str">
        <f>'Part VII-Pro Forma'!D135</f>
        <v/>
      </c>
      <c r="E1231" s="2214" t="str">
        <f>'Part VII-Pro Forma'!E135</f>
        <v/>
      </c>
      <c r="F1231" s="2214" t="str">
        <f>'Part VII-Pro Forma'!F135</f>
        <v/>
      </c>
      <c r="G1231" s="2213"/>
      <c r="H1231" s="2213"/>
      <c r="I1231" s="2213"/>
      <c r="J1231" s="2213"/>
      <c r="K1231" s="2213"/>
      <c r="N1231" s="2043"/>
      <c r="O1231" s="2043"/>
      <c r="Z1231" s="1924" t="s">
        <v>6778</v>
      </c>
      <c r="AA1231" s="2051">
        <v>135</v>
      </c>
    </row>
    <row r="1232" spans="1:27" s="1852" customFormat="1" ht="13.35" customHeight="1">
      <c r="A1232" s="1852" t="s">
        <v>752</v>
      </c>
      <c r="B1232" s="2214" t="str">
        <f>'Part VII-Pro Forma'!B136</f>
        <v/>
      </c>
      <c r="C1232" s="2214" t="str">
        <f>'Part VII-Pro Forma'!C136</f>
        <v/>
      </c>
      <c r="D1232" s="2214" t="str">
        <f>'Part VII-Pro Forma'!D136</f>
        <v/>
      </c>
      <c r="E1232" s="2214" t="str">
        <f>'Part VII-Pro Forma'!E136</f>
        <v/>
      </c>
      <c r="F1232" s="2214" t="str">
        <f>'Part VII-Pro Forma'!F136</f>
        <v/>
      </c>
      <c r="G1232" s="2213"/>
      <c r="H1232" s="2213"/>
      <c r="I1232" s="2213"/>
      <c r="J1232" s="2213"/>
      <c r="K1232" s="2213"/>
      <c r="N1232" s="2043"/>
      <c r="O1232" s="2043"/>
      <c r="Z1232" s="1924" t="s">
        <v>6778</v>
      </c>
      <c r="AA1232" s="2051">
        <v>136</v>
      </c>
    </row>
    <row r="1233" spans="1:27" s="1852" customFormat="1" ht="4.3499999999999996" customHeight="1">
      <c r="Z1233" s="1924"/>
      <c r="AA1233" s="2051"/>
    </row>
    <row r="1234" spans="1:27" s="1852" customFormat="1" ht="12" customHeight="1">
      <c r="A1234" s="1852" t="s">
        <v>542</v>
      </c>
      <c r="G1234" s="1852" t="s">
        <v>992</v>
      </c>
      <c r="Z1234" s="1924"/>
      <c r="AA1234" s="2051"/>
    </row>
    <row r="1235" spans="1:27" s="1852" customFormat="1" ht="12" customHeight="1">
      <c r="Z1235" s="1924"/>
      <c r="AA1235" s="2051"/>
    </row>
    <row r="1236" spans="1:27" s="1852" customFormat="1" ht="409.5" customHeight="1">
      <c r="A1236" s="1956" t="str">
        <f>'Part VII-Pro Forma'!A140</f>
        <v xml:space="preserve">Please note that the asset management fee for the federal investor is $3,600 and does not escalate, the state investor requires an asset management fee of 1/2 of the Federal investor; therefore, the total asset management fee is $5,400 (not escalating).
The deffered developer fee pays off immediately. </v>
      </c>
      <c r="B1236" s="1956"/>
      <c r="C1236" s="1956"/>
      <c r="D1236" s="1956"/>
      <c r="E1236" s="1956"/>
      <c r="F1236" s="1956"/>
      <c r="G1236" s="1956"/>
      <c r="H1236" s="1956"/>
      <c r="I1236" s="1956"/>
      <c r="J1236" s="1956"/>
      <c r="K1236" s="1956"/>
      <c r="N1236" s="1855" t="s">
        <v>2543</v>
      </c>
      <c r="O1236" s="1855"/>
      <c r="Z1236" s="1924"/>
      <c r="AA1236" s="2051"/>
    </row>
    <row r="1241" spans="1:27" s="1852" customFormat="1" ht="14.1" customHeight="1">
      <c r="A1241" s="1818" t="str">
        <f>CONCATENATE("PART EIGHT - THRESHOLD CRITERIA","  -  ",'Part I-Project Information'!$O$7," ",'Part I-Project Information'!$F$35,", ",'Part I-Project Information'!F1229,", ",'Part I-Project Information'!J1230," County")</f>
        <v>PART EIGHT - THRESHOLD CRITERIA  -  2021-015 The Peaks at Turnberry, ,  County</v>
      </c>
      <c r="B1241" s="1818"/>
      <c r="C1241" s="1818"/>
      <c r="D1241" s="1818"/>
      <c r="E1241" s="1818"/>
      <c r="F1241" s="1818"/>
      <c r="G1241" s="1818"/>
      <c r="H1241" s="1818"/>
      <c r="I1241" s="1818"/>
      <c r="J1241" s="1818"/>
      <c r="K1241" s="1818"/>
      <c r="L1241" s="1818"/>
      <c r="M1241" s="1818"/>
      <c r="N1241" s="1818"/>
      <c r="O1241" s="1818"/>
      <c r="P1241" s="1818"/>
      <c r="Q1241" s="1818"/>
      <c r="R1241" s="2216" t="str">
        <f>'Part I-Project Information'!$B$7</f>
        <v>2021 Core App
May 10 Rev</v>
      </c>
      <c r="S1241" s="2216"/>
    </row>
    <row r="1242" spans="1:27" s="1852" customFormat="1" ht="3" customHeight="1">
      <c r="R1242" s="2216"/>
      <c r="S1242" s="2216"/>
    </row>
    <row r="1243" spans="1:27" s="1852" customFormat="1" ht="13.5" customHeight="1">
      <c r="A1243" s="2217"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7"/>
      <c r="C1243" s="2217"/>
      <c r="D1243" s="2217"/>
      <c r="E1243" s="2217"/>
      <c r="F1243" s="2217"/>
      <c r="G1243" s="2217"/>
      <c r="H1243" s="2217"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7"/>
      <c r="J1243" s="2217"/>
      <c r="K1243" s="2217"/>
      <c r="L1243" s="2217"/>
      <c r="M1243" s="2217"/>
      <c r="N1243" s="2217"/>
      <c r="O1243" s="1719" t="s">
        <v>900</v>
      </c>
      <c r="P1243" s="1719"/>
      <c r="Q1243" s="2117" t="s">
        <v>1758</v>
      </c>
      <c r="R1243" s="2216"/>
      <c r="S1243" s="2216"/>
    </row>
    <row r="1244" spans="1:27" s="1852" customFormat="1" ht="3" customHeight="1">
      <c r="A1244" s="2117"/>
      <c r="B1244" s="2155"/>
      <c r="C1244" s="2155"/>
      <c r="D1244" s="2155"/>
      <c r="E1244" s="2117"/>
      <c r="F1244" s="2117"/>
      <c r="G1244" s="2117"/>
      <c r="H1244" s="2117"/>
      <c r="I1244" s="2117"/>
      <c r="J1244" s="2117"/>
      <c r="K1244" s="2117"/>
      <c r="L1244" s="2117"/>
      <c r="M1244" s="2117"/>
      <c r="N1244" s="2117"/>
      <c r="P1244" s="2117"/>
      <c r="Q1244" s="2117"/>
      <c r="R1244" s="2216"/>
      <c r="S1244" s="2216"/>
    </row>
    <row r="1245" spans="1:27" s="1852" customFormat="1" ht="11.1" hidden="1" customHeight="1">
      <c r="A1245" s="2117"/>
      <c r="B1245" s="2117"/>
      <c r="C1245" s="2117"/>
      <c r="D1245" s="2117"/>
      <c r="E1245" s="2117"/>
      <c r="F1245" s="2117"/>
      <c r="G1245" s="2117"/>
      <c r="H1245" s="2117"/>
      <c r="I1245" s="2117"/>
      <c r="J1245" s="2117"/>
      <c r="K1245" s="2117"/>
      <c r="L1245" s="2117"/>
      <c r="M1245" s="2117"/>
      <c r="N1245" s="2117"/>
      <c r="P1245" s="2117"/>
      <c r="Q1245" s="2117"/>
      <c r="R1245" s="2216"/>
      <c r="S1245" s="2216"/>
    </row>
    <row r="1246" spans="1:27" s="1852" customFormat="1" ht="17.25" customHeight="1">
      <c r="A1246" s="2218" t="s">
        <v>538</v>
      </c>
      <c r="J1246" s="2067" t="s">
        <v>7145</v>
      </c>
      <c r="K1246" s="2067"/>
      <c r="L1246" s="2067"/>
      <c r="M1246" s="2067"/>
      <c r="N1246" s="2067"/>
      <c r="O1246" s="2067"/>
      <c r="P1246" s="2219"/>
      <c r="Q1246" s="2219"/>
      <c r="R1246" s="2216"/>
      <c r="S1246" s="2216"/>
    </row>
    <row r="1247" spans="1:27" s="1852" customFormat="1" ht="12.6" customHeight="1">
      <c r="A1247" s="2220" t="s">
        <v>3188</v>
      </c>
      <c r="H1247" s="1818"/>
      <c r="I1247" s="1818"/>
      <c r="J1247" s="1818"/>
      <c r="K1247" s="1818"/>
      <c r="L1247" s="1818"/>
      <c r="M1247" s="2117"/>
      <c r="N1247" s="2117"/>
    </row>
    <row r="1248" spans="1:27" s="1852" customFormat="1" ht="24.6" customHeight="1">
      <c r="A1248" s="1905" t="s">
        <v>1358</v>
      </c>
      <c r="B1248" s="1905"/>
      <c r="C1248" s="1905"/>
      <c r="D1248" s="1905"/>
      <c r="E1248" s="1905"/>
      <c r="F1248" s="1905"/>
      <c r="G1248" s="1905"/>
      <c r="H1248" s="1905"/>
      <c r="I1248" s="1905"/>
      <c r="J1248" s="1905"/>
      <c r="K1248" s="1905"/>
      <c r="L1248" s="1905"/>
      <c r="M1248" s="1905"/>
      <c r="N1248" s="1905"/>
      <c r="O1248" s="1905"/>
      <c r="P1248" s="1905"/>
      <c r="Q1248" s="1905"/>
      <c r="R1248" s="1855" t="s">
        <v>1941</v>
      </c>
      <c r="S1248" s="1855"/>
    </row>
    <row r="1249" spans="1:19" s="1852" customFormat="1" ht="24.6" customHeight="1">
      <c r="A1249" s="1905" t="s">
        <v>217</v>
      </c>
      <c r="B1249" s="1905"/>
      <c r="C1249" s="1905"/>
      <c r="D1249" s="1905"/>
      <c r="E1249" s="1905"/>
      <c r="F1249" s="1905"/>
      <c r="G1249" s="1905"/>
      <c r="H1249" s="1905"/>
      <c r="I1249" s="1905"/>
      <c r="J1249" s="1905"/>
      <c r="K1249" s="1905"/>
      <c r="L1249" s="1905"/>
      <c r="M1249" s="1905"/>
      <c r="N1249" s="1905"/>
      <c r="O1249" s="1905"/>
      <c r="P1249" s="1905"/>
      <c r="Q1249" s="1905"/>
      <c r="R1249" s="1855"/>
      <c r="S1249" s="1855"/>
    </row>
    <row r="1250" spans="1:19" s="1852" customFormat="1" ht="24.6" customHeight="1">
      <c r="A1250" s="1905" t="s">
        <v>1354</v>
      </c>
      <c r="B1250" s="1905"/>
      <c r="C1250" s="1905"/>
      <c r="D1250" s="1905"/>
      <c r="E1250" s="1905"/>
      <c r="F1250" s="1905"/>
      <c r="G1250" s="1905"/>
      <c r="H1250" s="1905"/>
      <c r="I1250" s="1905"/>
      <c r="J1250" s="1905"/>
      <c r="K1250" s="1905"/>
      <c r="L1250" s="1905"/>
      <c r="M1250" s="1905"/>
      <c r="N1250" s="1905"/>
      <c r="O1250" s="1905"/>
      <c r="P1250" s="1905"/>
      <c r="Q1250" s="1905"/>
      <c r="R1250" s="1855"/>
      <c r="S1250" s="1855"/>
    </row>
    <row r="1251" spans="1:19" s="1852" customFormat="1" ht="24.6" customHeight="1">
      <c r="A1251" s="1905" t="s">
        <v>1355</v>
      </c>
      <c r="B1251" s="1905"/>
      <c r="C1251" s="1905"/>
      <c r="D1251" s="1905"/>
      <c r="E1251" s="1905"/>
      <c r="F1251" s="1905"/>
      <c r="G1251" s="1905"/>
      <c r="H1251" s="1905"/>
      <c r="I1251" s="1905"/>
      <c r="J1251" s="1905"/>
      <c r="K1251" s="1905"/>
      <c r="L1251" s="1905"/>
      <c r="M1251" s="1905"/>
      <c r="N1251" s="1905"/>
      <c r="O1251" s="1905"/>
      <c r="P1251" s="1905"/>
      <c r="Q1251" s="1905"/>
      <c r="R1251" s="1855"/>
      <c r="S1251" s="1855"/>
    </row>
    <row r="1252" spans="1:19" s="1852" customFormat="1" ht="24" customHeight="1">
      <c r="A1252" s="1905" t="s">
        <v>1356</v>
      </c>
      <c r="B1252" s="1905"/>
      <c r="C1252" s="1905"/>
      <c r="D1252" s="1905"/>
      <c r="E1252" s="1905"/>
      <c r="F1252" s="1905"/>
      <c r="G1252" s="1905"/>
      <c r="H1252" s="1905"/>
      <c r="I1252" s="1905"/>
      <c r="J1252" s="1905"/>
      <c r="K1252" s="1905"/>
      <c r="L1252" s="1905"/>
      <c r="M1252" s="1905"/>
      <c r="N1252" s="1905"/>
      <c r="O1252" s="1905"/>
      <c r="P1252" s="1905"/>
      <c r="Q1252" s="1905"/>
      <c r="R1252" s="2221"/>
      <c r="S1252" s="2221"/>
    </row>
    <row r="1253" spans="1:19" s="1852" customFormat="1" ht="11.25" customHeight="1">
      <c r="A1253" s="1905" t="s">
        <v>1357</v>
      </c>
      <c r="B1253" s="1905"/>
      <c r="C1253" s="1905"/>
      <c r="D1253" s="1905"/>
      <c r="E1253" s="1905"/>
      <c r="F1253" s="1905"/>
      <c r="G1253" s="1905"/>
      <c r="H1253" s="1905"/>
      <c r="I1253" s="1905"/>
      <c r="J1253" s="1905"/>
      <c r="K1253" s="1905"/>
      <c r="L1253" s="1905"/>
      <c r="M1253" s="1905"/>
      <c r="N1253" s="1905"/>
      <c r="O1253" s="1905"/>
      <c r="P1253" s="1905"/>
      <c r="Q1253" s="1905"/>
      <c r="R1253" s="2221"/>
      <c r="S1253" s="2221"/>
    </row>
    <row r="1254" spans="1:19" s="1852" customFormat="1" ht="11.25" customHeight="1">
      <c r="A1254" s="1905" t="s">
        <v>1359</v>
      </c>
      <c r="B1254" s="1905"/>
      <c r="C1254" s="1905"/>
      <c r="D1254" s="1905"/>
      <c r="E1254" s="1905"/>
      <c r="F1254" s="1905"/>
      <c r="G1254" s="1905"/>
      <c r="H1254" s="1905"/>
      <c r="I1254" s="1905"/>
      <c r="J1254" s="1905"/>
      <c r="K1254" s="1905"/>
      <c r="L1254" s="1905"/>
      <c r="M1254" s="1905"/>
      <c r="N1254" s="1905"/>
      <c r="O1254" s="1905"/>
      <c r="P1254" s="1905"/>
      <c r="Q1254" s="1905"/>
    </row>
    <row r="1255" spans="1:19" s="1852" customFormat="1" ht="11.25" customHeight="1">
      <c r="A1255" s="1905" t="s">
        <v>1928</v>
      </c>
      <c r="B1255" s="1905"/>
      <c r="C1255" s="1905"/>
      <c r="D1255" s="1905"/>
      <c r="E1255" s="1905"/>
      <c r="F1255" s="1905"/>
      <c r="G1255" s="1905"/>
      <c r="H1255" s="1905"/>
      <c r="I1255" s="1905"/>
      <c r="J1255" s="1905"/>
      <c r="K1255" s="1905"/>
      <c r="L1255" s="1905"/>
      <c r="M1255" s="1905"/>
      <c r="N1255" s="1905"/>
      <c r="O1255" s="1905"/>
      <c r="P1255" s="1905"/>
      <c r="Q1255" s="1905"/>
      <c r="R1255" s="1855"/>
      <c r="S1255" s="1855"/>
    </row>
    <row r="1256" spans="1:19" s="1852" customFormat="1" ht="11.25" customHeight="1">
      <c r="A1256" s="1905" t="s">
        <v>1929</v>
      </c>
      <c r="B1256" s="1905"/>
      <c r="C1256" s="1905"/>
      <c r="D1256" s="1905"/>
      <c r="E1256" s="1905"/>
      <c r="F1256" s="1905"/>
      <c r="G1256" s="1905"/>
      <c r="H1256" s="1905"/>
      <c r="I1256" s="1905"/>
      <c r="J1256" s="1905"/>
      <c r="K1256" s="1905"/>
      <c r="L1256" s="1905"/>
      <c r="M1256" s="1905"/>
      <c r="N1256" s="1905"/>
      <c r="O1256" s="1905"/>
      <c r="P1256" s="1905"/>
      <c r="Q1256" s="1905"/>
      <c r="R1256" s="1855"/>
      <c r="S1256" s="1855"/>
    </row>
    <row r="1257" spans="1:19" s="1852" customFormat="1" ht="11.25" customHeight="1">
      <c r="A1257" s="1905" t="s">
        <v>1930</v>
      </c>
      <c r="B1257" s="1905"/>
      <c r="C1257" s="1905"/>
      <c r="D1257" s="1905"/>
      <c r="E1257" s="1905"/>
      <c r="F1257" s="1905"/>
      <c r="G1257" s="1905"/>
      <c r="H1257" s="1905"/>
      <c r="I1257" s="1905"/>
      <c r="J1257" s="1905"/>
      <c r="K1257" s="1905"/>
      <c r="L1257" s="1905"/>
      <c r="M1257" s="1905"/>
      <c r="N1257" s="1905"/>
      <c r="O1257" s="1905"/>
      <c r="P1257" s="1905"/>
      <c r="Q1257" s="1905"/>
      <c r="R1257" s="1855"/>
      <c r="S1257" s="1855"/>
    </row>
    <row r="1258" spans="1:19" s="1852" customFormat="1" ht="11.25" customHeight="1">
      <c r="A1258" s="1905" t="s">
        <v>1931</v>
      </c>
      <c r="B1258" s="1905"/>
      <c r="C1258" s="1905"/>
      <c r="D1258" s="1905"/>
      <c r="E1258" s="1905"/>
      <c r="F1258" s="1905"/>
      <c r="G1258" s="1905"/>
      <c r="H1258" s="1905"/>
      <c r="I1258" s="1905"/>
      <c r="J1258" s="1905"/>
      <c r="K1258" s="1905"/>
      <c r="L1258" s="1905"/>
      <c r="M1258" s="1905"/>
      <c r="N1258" s="1905"/>
      <c r="O1258" s="1905"/>
      <c r="P1258" s="1905"/>
      <c r="Q1258" s="1905"/>
      <c r="R1258" s="1855"/>
      <c r="S1258" s="1855"/>
    </row>
    <row r="1259" spans="1:19" s="1852" customFormat="1" ht="11.25" customHeight="1">
      <c r="A1259" s="1905" t="s">
        <v>1932</v>
      </c>
      <c r="B1259" s="1905"/>
      <c r="C1259" s="1905"/>
      <c r="D1259" s="1905"/>
      <c r="E1259" s="1905"/>
      <c r="F1259" s="1905"/>
      <c r="G1259" s="1905"/>
      <c r="H1259" s="1905"/>
      <c r="I1259" s="1905"/>
      <c r="J1259" s="1905"/>
      <c r="K1259" s="1905"/>
      <c r="L1259" s="1905"/>
      <c r="M1259" s="1905"/>
      <c r="N1259" s="1905"/>
      <c r="O1259" s="1905"/>
      <c r="P1259" s="1905"/>
      <c r="Q1259" s="1905"/>
      <c r="R1259" s="1855"/>
      <c r="S1259" s="1855"/>
    </row>
    <row r="1260" spans="1:19" s="1852" customFormat="1" ht="11.25" customHeight="1">
      <c r="A1260" s="1905" t="s">
        <v>1933</v>
      </c>
      <c r="B1260" s="1905"/>
      <c r="C1260" s="1905"/>
      <c r="D1260" s="1905"/>
      <c r="E1260" s="1905"/>
      <c r="F1260" s="1905"/>
      <c r="G1260" s="1905"/>
      <c r="H1260" s="1905"/>
      <c r="I1260" s="1905"/>
      <c r="J1260" s="1905"/>
      <c r="K1260" s="1905"/>
      <c r="L1260" s="1905"/>
      <c r="M1260" s="1905"/>
      <c r="N1260" s="1905"/>
      <c r="O1260" s="1905"/>
      <c r="P1260" s="1905"/>
      <c r="Q1260" s="1905"/>
      <c r="R1260" s="1855"/>
      <c r="S1260" s="1855"/>
    </row>
    <row r="1261" spans="1:19" s="1852" customFormat="1" ht="11.25" customHeight="1">
      <c r="A1261" s="1905" t="s">
        <v>1934</v>
      </c>
      <c r="B1261" s="1905"/>
      <c r="C1261" s="1905"/>
      <c r="D1261" s="1905"/>
      <c r="E1261" s="1905"/>
      <c r="F1261" s="1905"/>
      <c r="G1261" s="1905"/>
      <c r="H1261" s="1905"/>
      <c r="I1261" s="1905"/>
      <c r="J1261" s="1905"/>
      <c r="K1261" s="1905"/>
      <c r="L1261" s="1905"/>
      <c r="M1261" s="1905"/>
      <c r="N1261" s="1905"/>
      <c r="O1261" s="1905"/>
      <c r="P1261" s="1905"/>
      <c r="Q1261" s="1905"/>
    </row>
    <row r="1262" spans="1:19" s="1852" customFormat="1" ht="11.25" customHeight="1">
      <c r="A1262" s="1905" t="s">
        <v>1935</v>
      </c>
      <c r="B1262" s="1905"/>
      <c r="C1262" s="1905"/>
      <c r="D1262" s="1905"/>
      <c r="E1262" s="1905"/>
      <c r="F1262" s="1905"/>
      <c r="G1262" s="1905"/>
      <c r="H1262" s="1905"/>
      <c r="I1262" s="1905"/>
      <c r="J1262" s="1905"/>
      <c r="K1262" s="1905"/>
      <c r="L1262" s="1905"/>
      <c r="M1262" s="1905"/>
      <c r="N1262" s="1905"/>
      <c r="O1262" s="1905"/>
      <c r="P1262" s="1905"/>
      <c r="Q1262" s="1905"/>
      <c r="R1262" s="1855"/>
      <c r="S1262" s="1855"/>
    </row>
    <row r="1263" spans="1:19" s="1852" customFormat="1" ht="11.25" customHeight="1">
      <c r="A1263" s="1905" t="s">
        <v>1936</v>
      </c>
      <c r="B1263" s="1905"/>
      <c r="C1263" s="1905"/>
      <c r="D1263" s="1905"/>
      <c r="E1263" s="1905"/>
      <c r="F1263" s="1905"/>
      <c r="G1263" s="1905"/>
      <c r="H1263" s="1905"/>
      <c r="I1263" s="1905"/>
      <c r="J1263" s="1905"/>
      <c r="K1263" s="1905"/>
      <c r="L1263" s="1905"/>
      <c r="M1263" s="1905"/>
      <c r="N1263" s="1905"/>
      <c r="O1263" s="1905"/>
      <c r="P1263" s="1905"/>
      <c r="Q1263" s="1905"/>
      <c r="R1263" s="1855"/>
      <c r="S1263" s="1855"/>
    </row>
    <row r="1264" spans="1:19" s="1852" customFormat="1" ht="11.25" customHeight="1">
      <c r="A1264" s="1905" t="s">
        <v>1937</v>
      </c>
      <c r="B1264" s="1905"/>
      <c r="C1264" s="1905"/>
      <c r="D1264" s="1905"/>
      <c r="E1264" s="1905"/>
      <c r="F1264" s="1905"/>
      <c r="G1264" s="1905"/>
      <c r="H1264" s="1905"/>
      <c r="I1264" s="1905"/>
      <c r="J1264" s="1905"/>
      <c r="K1264" s="1905"/>
      <c r="L1264" s="1905"/>
      <c r="M1264" s="1905"/>
      <c r="N1264" s="1905"/>
      <c r="O1264" s="1905"/>
      <c r="P1264" s="1905"/>
      <c r="Q1264" s="1905"/>
      <c r="R1264" s="1855"/>
      <c r="S1264" s="1855"/>
    </row>
    <row r="1265" spans="1:32" s="1852" customFormat="1" ht="11.25" customHeight="1">
      <c r="A1265" s="1905" t="s">
        <v>1938</v>
      </c>
      <c r="B1265" s="1905"/>
      <c r="C1265" s="1905"/>
      <c r="D1265" s="1905"/>
      <c r="E1265" s="1905"/>
      <c r="F1265" s="1905"/>
      <c r="G1265" s="1905"/>
      <c r="H1265" s="1905"/>
      <c r="I1265" s="1905"/>
      <c r="J1265" s="1905"/>
      <c r="K1265" s="1905"/>
      <c r="L1265" s="1905"/>
      <c r="M1265" s="1905"/>
      <c r="N1265" s="1905"/>
      <c r="O1265" s="1905"/>
      <c r="P1265" s="1905"/>
      <c r="Q1265" s="1905"/>
      <c r="R1265" s="1855"/>
      <c r="S1265" s="1855"/>
    </row>
    <row r="1266" spans="1:32" s="1852" customFormat="1" ht="11.25" customHeight="1">
      <c r="A1266" s="1905" t="s">
        <v>1939</v>
      </c>
      <c r="B1266" s="1905"/>
      <c r="C1266" s="1905"/>
      <c r="D1266" s="1905"/>
      <c r="E1266" s="1905"/>
      <c r="F1266" s="1905"/>
      <c r="G1266" s="1905"/>
      <c r="H1266" s="1905"/>
      <c r="I1266" s="1905"/>
      <c r="J1266" s="1905"/>
      <c r="K1266" s="1905"/>
      <c r="L1266" s="1905"/>
      <c r="M1266" s="1905"/>
      <c r="N1266" s="1905"/>
      <c r="O1266" s="1905"/>
      <c r="P1266" s="1905"/>
      <c r="Q1266" s="1905"/>
      <c r="R1266" s="1855"/>
      <c r="S1266" s="1855"/>
    </row>
    <row r="1267" spans="1:32" s="1852" customFormat="1" ht="11.25" customHeight="1">
      <c r="A1267" s="1905" t="s">
        <v>1940</v>
      </c>
      <c r="B1267" s="1905"/>
      <c r="C1267" s="1905"/>
      <c r="D1267" s="1905"/>
      <c r="E1267" s="1905"/>
      <c r="F1267" s="1905"/>
      <c r="G1267" s="1905"/>
      <c r="H1267" s="1905"/>
      <c r="I1267" s="1905"/>
      <c r="J1267" s="1905"/>
      <c r="K1267" s="1905"/>
      <c r="L1267" s="1905"/>
      <c r="M1267" s="1905"/>
      <c r="N1267" s="1905"/>
      <c r="O1267" s="1905"/>
      <c r="P1267" s="1905"/>
      <c r="Q1267" s="1905"/>
      <c r="R1267" s="1855"/>
      <c r="S1267" s="1855"/>
    </row>
    <row r="1268" spans="1:32" s="1852" customFormat="1" ht="6" customHeight="1"/>
    <row r="1269" spans="1:32" s="1852" customFormat="1" ht="14.1" customHeight="1">
      <c r="A1269" s="2222" t="s">
        <v>586</v>
      </c>
      <c r="B1269" s="2158" t="s">
        <v>2511</v>
      </c>
      <c r="C1269" s="2223"/>
      <c r="D1269" s="435"/>
      <c r="E1269" s="435"/>
      <c r="F1269" s="435"/>
      <c r="G1269" s="435"/>
      <c r="I1269" s="2164"/>
      <c r="J1269" s="2164"/>
      <c r="K1269" s="2164"/>
      <c r="L1269" s="2117"/>
      <c r="M1269" s="2117"/>
      <c r="O1269" s="2224" t="s">
        <v>1782</v>
      </c>
      <c r="P1269" s="1719"/>
      <c r="Q1269" s="1719"/>
    </row>
    <row r="1270" spans="1:32" s="1852" customFormat="1" ht="3" customHeight="1"/>
    <row r="1271" spans="1:32" s="1852" customFormat="1" ht="11.25" customHeight="1">
      <c r="B1271" s="2156" t="s">
        <v>3373</v>
      </c>
      <c r="C1271" s="2156"/>
      <c r="D1271" s="2156"/>
      <c r="E1271" s="2156"/>
      <c r="F1271" s="2156"/>
      <c r="G1271" s="2164"/>
      <c r="H1271" s="2164"/>
      <c r="I1271" s="2164"/>
      <c r="J1271" s="2164"/>
      <c r="K1271" s="2117"/>
      <c r="L1271" s="2117"/>
      <c r="M1271" s="2117"/>
      <c r="N1271" s="2117"/>
      <c r="O1271" s="2117"/>
      <c r="P1271" s="2117"/>
      <c r="S1271" s="2225"/>
      <c r="T1271" s="2225"/>
    </row>
    <row r="1272" spans="1:32" s="1852" customFormat="1" ht="108.75" customHeight="1">
      <c r="A1272" s="2226" t="str">
        <f>'Part VIII-Threshold Criteria'!A32</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v>
      </c>
      <c r="B1272" s="2226"/>
      <c r="C1272" s="2226"/>
      <c r="D1272" s="2226"/>
      <c r="E1272" s="2226"/>
      <c r="F1272" s="2226"/>
      <c r="G1272" s="2226"/>
      <c r="H1272" s="2226"/>
      <c r="I1272" s="2226"/>
      <c r="J1272" s="2226"/>
      <c r="K1272" s="2226"/>
      <c r="L1272" s="2226"/>
      <c r="M1272" s="2226"/>
      <c r="N1272" s="2226"/>
      <c r="O1272" s="2226"/>
      <c r="P1272" s="2226"/>
      <c r="Q1272" s="2226"/>
      <c r="R1272" s="1855" t="s">
        <v>1208</v>
      </c>
      <c r="S1272" s="1855"/>
      <c r="T1272" s="2225"/>
      <c r="U1272" s="1719"/>
      <c r="V1272" s="1719"/>
      <c r="W1272" s="1719"/>
      <c r="X1272" s="1719"/>
      <c r="Y1272" s="1719"/>
      <c r="Z1272" s="1719"/>
      <c r="AA1272" s="1719"/>
      <c r="AB1272" s="1719"/>
      <c r="AC1272" s="1719"/>
      <c r="AD1272" s="1719"/>
      <c r="AE1272" s="1719"/>
    </row>
    <row r="1273" spans="1:32" s="1852" customFormat="1" ht="11.25" customHeight="1">
      <c r="B1273" s="2227" t="s">
        <v>1781</v>
      </c>
      <c r="C1273" s="2227"/>
      <c r="D1273" s="2228"/>
      <c r="E1273" s="2228"/>
      <c r="F1273" s="2228"/>
      <c r="G1273" s="2228"/>
      <c r="H1273" s="2228"/>
      <c r="I1273" s="2228"/>
      <c r="J1273" s="2228"/>
      <c r="K1273" s="2228"/>
      <c r="L1273" s="2228"/>
      <c r="M1273" s="2228"/>
      <c r="N1273" s="2228"/>
      <c r="O1273" s="2228"/>
      <c r="P1273" s="2228"/>
    </row>
    <row r="1274" spans="1:32" s="1852" customFormat="1" ht="36" customHeight="1">
      <c r="A1274" s="2223"/>
      <c r="B1274" s="2223"/>
      <c r="C1274" s="2223"/>
      <c r="D1274" s="2223"/>
      <c r="E1274" s="2223"/>
      <c r="F1274" s="2223"/>
      <c r="G1274" s="2223"/>
      <c r="H1274" s="2223"/>
      <c r="I1274" s="2223"/>
      <c r="J1274" s="2223"/>
      <c r="K1274" s="2223"/>
      <c r="L1274" s="2223"/>
      <c r="M1274" s="2223"/>
      <c r="N1274" s="2223"/>
      <c r="O1274" s="2223"/>
      <c r="P1274" s="2223"/>
      <c r="Q1274" s="2223"/>
      <c r="R1274" s="1855" t="s">
        <v>1208</v>
      </c>
      <c r="S1274" s="1855"/>
    </row>
    <row r="1275" spans="1:32" s="1852" customFormat="1" ht="3" customHeight="1">
      <c r="B1275" s="2164"/>
      <c r="C1275" s="2228"/>
      <c r="D1275" s="2228"/>
      <c r="E1275" s="2228"/>
      <c r="F1275" s="2228"/>
      <c r="G1275" s="2228"/>
      <c r="H1275" s="2228"/>
      <c r="I1275" s="2228"/>
      <c r="J1275" s="2228"/>
      <c r="K1275" s="2228"/>
      <c r="L1275" s="2228"/>
      <c r="M1275" s="2228"/>
      <c r="N1275" s="2228"/>
      <c r="O1275" s="2228"/>
      <c r="P1275" s="2228"/>
      <c r="Q1275" s="2117"/>
    </row>
    <row r="1276" spans="1:32" s="1852" customFormat="1" ht="12.75" customHeight="1">
      <c r="A1276" s="2105" t="s">
        <v>710</v>
      </c>
      <c r="B1276" s="1818" t="s">
        <v>2559</v>
      </c>
      <c r="C1276" s="1818"/>
      <c r="D1276" s="1818"/>
      <c r="E1276" s="2228"/>
      <c r="G1276" s="1719"/>
      <c r="H1276" s="1719"/>
      <c r="I1276" s="1719"/>
      <c r="J1276" s="1818"/>
      <c r="L1276" s="2202"/>
      <c r="M1276" s="2202"/>
      <c r="N1276" s="2202"/>
      <c r="O1276" s="2224" t="s">
        <v>1782</v>
      </c>
      <c r="P1276" s="1719"/>
      <c r="Q1276" s="1719"/>
    </row>
    <row r="1277" spans="1:32" s="1852" customFormat="1" ht="11.25" customHeight="1">
      <c r="A1277" s="2229"/>
      <c r="B1277" s="2229"/>
      <c r="C1277" s="2229"/>
      <c r="D1277" s="2229"/>
      <c r="E1277" s="2229"/>
      <c r="F1277" s="2229"/>
      <c r="G1277" s="1864" t="s">
        <v>2563</v>
      </c>
      <c r="H1277" s="1864"/>
      <c r="I1277" s="435"/>
      <c r="J1277" s="1818"/>
      <c r="K1277" s="435" t="s">
        <v>3287</v>
      </c>
      <c r="L1277" s="435"/>
      <c r="M1277" s="435"/>
      <c r="N1277" s="435"/>
    </row>
    <row r="1278" spans="1:32" s="1852" customFormat="1" ht="11.25" customHeight="1">
      <c r="A1278" s="2229"/>
      <c r="B1278" s="2229"/>
      <c r="C1278" s="2229"/>
      <c r="D1278" s="2229"/>
      <c r="E1278" s="2229"/>
      <c r="F1278" s="2229"/>
      <c r="G1278" s="1864" t="s">
        <v>335</v>
      </c>
      <c r="H1278" s="1864"/>
      <c r="I1278" s="435"/>
      <c r="J1278" s="1818"/>
      <c r="K1278" s="435" t="s">
        <v>3288</v>
      </c>
      <c r="L1278" s="435"/>
      <c r="M1278" s="435"/>
      <c r="N1278" s="435"/>
      <c r="P1278" s="2029" t="s">
        <v>2574</v>
      </c>
      <c r="Q1278" s="2230" t="str">
        <f>'Part VIII-Threshold Criteria'!Q38</f>
        <v>Yes</v>
      </c>
    </row>
    <row r="1279" spans="1:32" s="1852" customFormat="1" ht="4.5" customHeight="1">
      <c r="A1279" s="2229"/>
      <c r="B1279" s="2229"/>
      <c r="C1279" s="2229"/>
      <c r="D1279" s="2229"/>
      <c r="E1279" s="2229"/>
      <c r="F1279" s="2229"/>
      <c r="G1279" s="435"/>
      <c r="H1279" s="435"/>
      <c r="I1279" s="435"/>
      <c r="J1279" s="1818"/>
      <c r="K1279" s="435"/>
      <c r="L1279" s="435"/>
      <c r="M1279" s="435"/>
      <c r="N1279" s="435"/>
      <c r="P1279" s="1875" t="s">
        <v>4136</v>
      </c>
      <c r="Q1279" s="1875"/>
    </row>
    <row r="1280" spans="1:32" s="1852" customFormat="1" ht="10.5" customHeight="1">
      <c r="D1280" s="2231" t="s">
        <v>2562</v>
      </c>
      <c r="F1280" s="2112" t="s">
        <v>3189</v>
      </c>
      <c r="G1280" s="2112" t="s">
        <v>4080</v>
      </c>
      <c r="H1280" s="2112"/>
      <c r="I1280" s="2112"/>
      <c r="K1280" s="2112" t="s">
        <v>3189</v>
      </c>
      <c r="L1280" s="2112" t="s">
        <v>4079</v>
      </c>
      <c r="M1280" s="2112"/>
      <c r="N1280" s="2112"/>
      <c r="P1280" s="1875"/>
      <c r="Q1280" s="1875"/>
      <c r="R1280" s="2488"/>
      <c r="V1280" s="1818"/>
      <c r="W1280" s="1818"/>
      <c r="X1280" s="2114"/>
      <c r="Y1280" s="1818"/>
      <c r="Z1280" s="435"/>
      <c r="AA1280" s="436"/>
      <c r="AB1280" s="436"/>
      <c r="AC1280" s="436"/>
      <c r="AD1280" s="436"/>
      <c r="AE1280" s="436"/>
      <c r="AF1280" s="436"/>
    </row>
    <row r="1281" spans="1:32" s="1852" customFormat="1" ht="12" customHeight="1">
      <c r="A1281" s="1905" t="s">
        <v>3119</v>
      </c>
      <c r="B1281" s="1905"/>
      <c r="C1281" s="1905"/>
      <c r="D1281" s="2232" t="s">
        <v>539</v>
      </c>
      <c r="E1281" s="2164">
        <v>0</v>
      </c>
      <c r="F1281" s="2233" t="str">
        <f>IF('Part VI-Revenues &amp; Expenses'!$K$147 =0,"",'Part VI-Revenues &amp; Expenses'!$K$147)</f>
        <v/>
      </c>
      <c r="G1281" s="2234">
        <f>'Part VIII-Threshold Criteria'!G41</f>
        <v>177609.60000000001</v>
      </c>
      <c r="H1281" s="2121" t="str">
        <f>CONCATENATE("x ", F1281," units = ")</f>
        <v xml:space="preserve">x  units = </v>
      </c>
      <c r="I1281" s="2052" t="str">
        <f>IF(F1281="","",F1281*G1281)</f>
        <v/>
      </c>
      <c r="J1281" s="1818"/>
      <c r="K1281" s="2233" t="str">
        <f>IF('Part VI-Revenues &amp; Expenses'!$K$148 =0,"",'Part VI-Revenues &amp; Expenses'!$K$148)</f>
        <v/>
      </c>
      <c r="L1281" s="2234">
        <f>G1281*(1+'DCA Underwriting Assumptions'!$Q$12)</f>
        <v>195370.56000000003</v>
      </c>
      <c r="M1281" s="2121" t="str">
        <f>CONCATENATE("x ", K1281," units = ")</f>
        <v xml:space="preserve">x  units = </v>
      </c>
      <c r="N1281" s="2052" t="str">
        <f>IF(K1281="","",K1281*L1281)</f>
        <v/>
      </c>
      <c r="O1281" s="2228"/>
      <c r="P1281" s="1875"/>
      <c r="Q1281" s="1875"/>
      <c r="R1281" s="2488"/>
      <c r="V1281" s="1818"/>
      <c r="W1281" s="1818"/>
      <c r="X1281" s="2114"/>
      <c r="Y1281" s="1818"/>
      <c r="Z1281" s="435"/>
      <c r="AA1281" s="436"/>
      <c r="AB1281" s="436"/>
      <c r="AC1281" s="436"/>
      <c r="AD1281" s="436"/>
      <c r="AE1281" s="436"/>
      <c r="AF1281" s="436"/>
    </row>
    <row r="1282" spans="1:32" s="1852" customFormat="1" ht="12" customHeight="1">
      <c r="A1282" s="1905"/>
      <c r="B1282" s="1905"/>
      <c r="C1282" s="1905"/>
      <c r="D1282" s="2232" t="s">
        <v>2330</v>
      </c>
      <c r="E1282" s="2164">
        <v>1</v>
      </c>
      <c r="F1282" s="2233" t="str">
        <f>IF('Part VI-Revenues &amp; Expenses'!$L$147 =0,"",'Part VI-Revenues &amp; Expenses'!$L$147)</f>
        <v/>
      </c>
      <c r="G1282" s="2234">
        <f>'Part VIII-Threshold Criteria'!G42</f>
        <v>220083.55</v>
      </c>
      <c r="H1282" s="2121" t="str">
        <f>CONCATENATE("x ", F1282," units = ")</f>
        <v xml:space="preserve">x  units = </v>
      </c>
      <c r="I1282" s="2052" t="str">
        <f>IF(F1282="","",F1282*G1282)</f>
        <v/>
      </c>
      <c r="J1282" s="1818"/>
      <c r="K1282" s="2233" t="str">
        <f>IF('Part VI-Revenues &amp; Expenses'!$L$148 =0,"",'Part VI-Revenues &amp; Expenses'!$L$148)</f>
        <v/>
      </c>
      <c r="L1282" s="2234">
        <f>G1282*(1+'DCA Underwriting Assumptions'!$Q$12)</f>
        <v>242091.905</v>
      </c>
      <c r="M1282" s="2121" t="str">
        <f>CONCATENATE("x ", K1282," units = ")</f>
        <v xml:space="preserve">x  units = </v>
      </c>
      <c r="N1282" s="2052" t="str">
        <f>IF(K1282="","",K1282*L1282)</f>
        <v/>
      </c>
      <c r="O1282" s="2228"/>
      <c r="P1282" s="2216" t="str">
        <f>IF('Part I-Project Information'!$F$39="","",VLOOKUP('Part I-Project Information'!$J$40,'DCA Underwriting Assumptions'!$G$174:$N$333,8,FALSE))</f>
        <v>Savannah</v>
      </c>
      <c r="Q1282" s="2216"/>
      <c r="R1282" s="2488"/>
      <c r="W1282" s="1818"/>
      <c r="X1282" s="2114"/>
      <c r="Y1282" s="1818"/>
      <c r="Z1282" s="435"/>
      <c r="AA1282" s="436"/>
      <c r="AB1282" s="436"/>
      <c r="AC1282" s="436"/>
      <c r="AD1282" s="436"/>
      <c r="AE1282" s="436"/>
      <c r="AF1282" s="436"/>
    </row>
    <row r="1283" spans="1:32" s="1852" customFormat="1" ht="12" customHeight="1">
      <c r="A1283" s="1905"/>
      <c r="B1283" s="1905"/>
      <c r="C1283" s="1905"/>
      <c r="D1283" s="2232" t="s">
        <v>2331</v>
      </c>
      <c r="E1283" s="2164">
        <v>2</v>
      </c>
      <c r="F1283" s="2233" t="str">
        <f>IF('Part VI-Revenues &amp; Expenses'!$M$147 =0,"",'Part VI-Revenues &amp; Expenses'!$M$147)</f>
        <v/>
      </c>
      <c r="G1283" s="2234">
        <f>'Part VIII-Threshold Criteria'!G43</f>
        <v>263232.69999999995</v>
      </c>
      <c r="H1283" s="2121" t="str">
        <f>CONCATENATE("x ", F1283," units = ")</f>
        <v xml:space="preserve">x  units = </v>
      </c>
      <c r="I1283" s="2052" t="str">
        <f>IF(F1283="","",F1283*G1283)</f>
        <v/>
      </c>
      <c r="J1283" s="1818"/>
      <c r="K1283" s="2233" t="str">
        <f>IF('Part VI-Revenues &amp; Expenses'!$M$148 =0,"",'Part VI-Revenues &amp; Expenses'!$M$148)</f>
        <v/>
      </c>
      <c r="L1283" s="2234">
        <f>G1283*(1+'DCA Underwriting Assumptions'!$Q$12)</f>
        <v>289555.96999999997</v>
      </c>
      <c r="M1283" s="2121" t="str">
        <f>CONCATENATE("x ", K1283," units = ")</f>
        <v xml:space="preserve">x  units = </v>
      </c>
      <c r="N1283" s="2052" t="str">
        <f>IF(K1283="","",K1283*L1283)</f>
        <v/>
      </c>
      <c r="O1283" s="2228"/>
      <c r="P1283" s="2216"/>
      <c r="Q1283" s="2216"/>
      <c r="W1283" s="1818"/>
      <c r="X1283" s="2114"/>
      <c r="Y1283" s="1818"/>
      <c r="Z1283" s="435"/>
      <c r="AA1283" s="436"/>
      <c r="AB1283" s="436"/>
      <c r="AC1283" s="436"/>
      <c r="AD1283" s="436"/>
      <c r="AE1283" s="436"/>
      <c r="AF1283" s="436"/>
    </row>
    <row r="1284" spans="1:32" s="1852" customFormat="1" ht="12" customHeight="1">
      <c r="A1284" s="1905"/>
      <c r="B1284" s="1905"/>
      <c r="C1284" s="1905"/>
      <c r="D1284" s="2232" t="s">
        <v>2332</v>
      </c>
      <c r="E1284" s="2164">
        <v>3</v>
      </c>
      <c r="F1284" s="2233" t="str">
        <f>IF('Part VI-Revenues &amp; Expenses'!$N$147 =0,"",'Part VI-Revenues &amp; Expenses'!$N$147)</f>
        <v/>
      </c>
      <c r="G1284" s="2234">
        <f>'Part VIII-Threshold Criteria'!G44</f>
        <v>300066.80000000005</v>
      </c>
      <c r="H1284" s="2121" t="str">
        <f>CONCATENATE("x ", F1284," units = ")</f>
        <v xml:space="preserve">x  units = </v>
      </c>
      <c r="I1284" s="2052" t="str">
        <f>IF(F1284="","",F1284*G1284)</f>
        <v/>
      </c>
      <c r="J1284" s="1818"/>
      <c r="K1284" s="2233" t="str">
        <f>IF('Part VI-Revenues &amp; Expenses'!$N$148 =0,"",'Part VI-Revenues &amp; Expenses'!$N$148)</f>
        <v/>
      </c>
      <c r="L1284" s="2234">
        <f>G1284*(1+'DCA Underwriting Assumptions'!$Q$12)</f>
        <v>330073.4800000001</v>
      </c>
      <c r="M1284" s="2121" t="str">
        <f>CONCATENATE("x ", K1284," units = ")</f>
        <v xml:space="preserve">x  units = </v>
      </c>
      <c r="N1284" s="2052" t="str">
        <f>IF(K1284="","",K1284*L1284)</f>
        <v/>
      </c>
      <c r="O1284" s="2228"/>
      <c r="P1284" s="435" t="s">
        <v>4137</v>
      </c>
      <c r="Q1284" s="435"/>
      <c r="W1284" s="1818"/>
      <c r="X1284" s="2114"/>
      <c r="AC1284" s="436"/>
      <c r="AD1284" s="436"/>
      <c r="AE1284" s="436"/>
      <c r="AF1284" s="436"/>
    </row>
    <row r="1285" spans="1:32" s="1852" customFormat="1" ht="12" customHeight="1">
      <c r="C1285" s="1818"/>
      <c r="D1285" s="2232" t="s">
        <v>2333</v>
      </c>
      <c r="E1285" s="2164">
        <v>4</v>
      </c>
      <c r="F1285" s="2233" t="str">
        <f>IF('Part VI-Revenues &amp; Expenses'!$O$147 =0,"",'Part VI-Revenues &amp; Expenses'!$O$147)</f>
        <v/>
      </c>
      <c r="G1285" s="2234">
        <f>'Part VIII-Threshold Criteria'!G45</f>
        <v>353446.5</v>
      </c>
      <c r="H1285" s="2121" t="str">
        <f>CONCATENATE("x ", F1285," units = ")</f>
        <v xml:space="preserve">x  units = </v>
      </c>
      <c r="I1285" s="2052" t="str">
        <f>IF(F1285="","",F1285*G1285)</f>
        <v/>
      </c>
      <c r="J1285" s="1818"/>
      <c r="K1285" s="2233" t="str">
        <f>IF('Part VI-Revenues &amp; Expenses'!$O$148 =0,"",'Part VI-Revenues &amp; Expenses'!$O$148)</f>
        <v/>
      </c>
      <c r="L1285" s="2234">
        <f>G1285*(1+'DCA Underwriting Assumptions'!$Q$12)</f>
        <v>388791.15</v>
      </c>
      <c r="M1285" s="2121" t="str">
        <f>CONCATENATE("x ", K1285," units = ")</f>
        <v xml:space="preserve">x  units = </v>
      </c>
      <c r="N1285" s="2052" t="str">
        <f>IF(K1285="","",K1285*L1285)</f>
        <v/>
      </c>
      <c r="O1285" s="2228"/>
      <c r="P1285" s="2235">
        <f>'Part IV-A-Uses of Funds'!$G$146</f>
        <v>11756729</v>
      </c>
      <c r="Q1285" s="2235"/>
      <c r="AC1285" s="436"/>
      <c r="AD1285" s="436"/>
      <c r="AE1285" s="436"/>
      <c r="AF1285" s="436"/>
    </row>
    <row r="1286" spans="1:32" s="1852" customFormat="1" ht="12" customHeight="1">
      <c r="C1286" s="1818"/>
      <c r="D1286" s="2236" t="s">
        <v>3123</v>
      </c>
      <c r="E1286" s="2158"/>
      <c r="F1286" s="2237">
        <f>SUM(F1281:F1285)</f>
        <v>0</v>
      </c>
      <c r="G1286" s="2238"/>
      <c r="H1286" s="2239"/>
      <c r="I1286" s="2240">
        <f>SUM(I1281:I1285)</f>
        <v>0</v>
      </c>
      <c r="J1286" s="2241"/>
      <c r="K1286" s="2237">
        <f>SUM(K1281:K1285)</f>
        <v>0</v>
      </c>
      <c r="L1286" s="2241"/>
      <c r="M1286" s="2239"/>
      <c r="N1286" s="2240">
        <f>SUM(N1281:N1285)</f>
        <v>0</v>
      </c>
      <c r="O1286" s="2228"/>
      <c r="P1286" s="435" t="s">
        <v>4123</v>
      </c>
      <c r="Q1286" s="435"/>
      <c r="R1286" s="2242" t="s">
        <v>6613</v>
      </c>
      <c r="S1286" s="2242"/>
      <c r="T1286" s="2242"/>
      <c r="V1286" s="2075"/>
      <c r="W1286" s="2075"/>
      <c r="AC1286" s="436"/>
      <c r="AD1286" s="436"/>
      <c r="AE1286" s="436"/>
      <c r="AF1286" s="436"/>
    </row>
    <row r="1287" spans="1:32" s="1852" customFormat="1" ht="12" customHeight="1">
      <c r="C1287" s="1818"/>
      <c r="D1287" s="2229"/>
      <c r="E1287" s="2229"/>
      <c r="F1287" s="2055"/>
      <c r="G1287" s="2223"/>
      <c r="I1287" s="2055"/>
      <c r="K1287" s="2055"/>
      <c r="M1287" s="2228"/>
      <c r="N1287" s="2055"/>
      <c r="O1287" s="2228"/>
      <c r="R1287" s="2488"/>
      <c r="AC1287" s="436"/>
      <c r="AD1287" s="436"/>
      <c r="AE1287" s="436"/>
      <c r="AF1287" s="436"/>
    </row>
    <row r="1288" spans="1:32" s="1852" customFormat="1" ht="12" customHeight="1">
      <c r="A1288" s="1905" t="s">
        <v>3114</v>
      </c>
      <c r="B1288" s="1905"/>
      <c r="C1288" s="1905"/>
      <c r="D1288" s="2232" t="s">
        <v>539</v>
      </c>
      <c r="E1288" s="2233">
        <v>0</v>
      </c>
      <c r="F1288" s="2233" t="str">
        <f>IF('Part VI-Revenues &amp; Expenses'!$K$149 =0,"",'Part VI-Revenues &amp; Expenses'!$K$149)</f>
        <v/>
      </c>
      <c r="G1288" s="2234">
        <f>'Part VIII-Threshold Criteria'!G48</f>
        <v>153390</v>
      </c>
      <c r="H1288" s="2121" t="str">
        <f>CONCATENATE("x ", F1288," units = ")</f>
        <v xml:space="preserve">x  units = </v>
      </c>
      <c r="I1288" s="2052" t="str">
        <f>IF(F1288="","",F1288*G1288)</f>
        <v/>
      </c>
      <c r="J1288" s="1818"/>
      <c r="K1288" s="2233" t="str">
        <f>IF('Part VI-Revenues &amp; Expenses'!$K$150 =0,"",'Part VI-Revenues &amp; Expenses'!$K$150)</f>
        <v/>
      </c>
      <c r="L1288" s="2234">
        <f>G1288*(1+'DCA Underwriting Assumptions'!$Q$12)</f>
        <v>168729</v>
      </c>
      <c r="M1288" s="2121" t="str">
        <f>CONCATENATE("x ", K1288," units = ")</f>
        <v xml:space="preserve">x  units = </v>
      </c>
      <c r="N1288" s="2052" t="str">
        <f>IF(K1288="","",K1288*L1288)</f>
        <v/>
      </c>
      <c r="P1288" s="2235">
        <f>'Part IV-A-Uses of Funds'!$G$146-'Part IV-A-Uses of Funds'!$G$92-'Part IV-A-Uses of Funds'!$G$114-'Part IV-A-Uses of Funds'!$G$130-'Part IV-A-Uses of Funds'!$G$131-'Part IV-A-Uses of Funds'!$G$132</f>
        <v>11064184</v>
      </c>
      <c r="Q1288" s="2235"/>
      <c r="AC1288" s="436"/>
      <c r="AD1288" s="436"/>
      <c r="AE1288" s="436"/>
      <c r="AF1288" s="436"/>
    </row>
    <row r="1289" spans="1:32" s="1852" customFormat="1" ht="12" customHeight="1">
      <c r="A1289" s="1905"/>
      <c r="B1289" s="1905"/>
      <c r="C1289" s="1905"/>
      <c r="D1289" s="2232" t="s">
        <v>2330</v>
      </c>
      <c r="E1289" s="2164">
        <v>1</v>
      </c>
      <c r="F1289" s="2233" t="str">
        <f>IF('Part VI-Revenues &amp; Expenses'!$L$149 =0,"",'Part VI-Revenues &amp; Expenses'!$L$149)</f>
        <v/>
      </c>
      <c r="G1289" s="2234">
        <f>'Part VIII-Threshold Criteria'!G49</f>
        <v>191784.34999999998</v>
      </c>
      <c r="H1289" s="2121" t="str">
        <f>CONCATENATE("x ", F1289," units = ")</f>
        <v xml:space="preserve">x  units = </v>
      </c>
      <c r="I1289" s="2052" t="str">
        <f>IF(F1289="","",F1289*G1289)</f>
        <v/>
      </c>
      <c r="J1289" s="1818"/>
      <c r="K1289" s="2233" t="str">
        <f>IF('Part VI-Revenues &amp; Expenses'!$L$150 =0,"",'Part VI-Revenues &amp; Expenses'!$L$150)</f>
        <v/>
      </c>
      <c r="L1289" s="2234">
        <f>G1289*(1+'DCA Underwriting Assumptions'!$Q$12)</f>
        <v>210962.785</v>
      </c>
      <c r="M1289" s="2121" t="str">
        <f>CONCATENATE("x ", K1289," units = ")</f>
        <v xml:space="preserve">x  units = </v>
      </c>
      <c r="N1289" s="2052" t="str">
        <f>IF(K1289="","",K1289*L1289)</f>
        <v/>
      </c>
      <c r="P1289" s="1864" t="s">
        <v>3514</v>
      </c>
      <c r="Q1289" s="1864"/>
      <c r="AC1289" s="436"/>
      <c r="AD1289" s="436"/>
      <c r="AE1289" s="436"/>
      <c r="AF1289" s="436"/>
    </row>
    <row r="1290" spans="1:32" s="1852" customFormat="1" ht="12" customHeight="1">
      <c r="A1290" s="1905"/>
      <c r="B1290" s="1905"/>
      <c r="C1290" s="1905"/>
      <c r="D1290" s="2232" t="s">
        <v>2331</v>
      </c>
      <c r="E1290" s="2164">
        <v>2</v>
      </c>
      <c r="F1290" s="2233" t="str">
        <f>IF('Part VI-Revenues &amp; Expenses'!$M$149 =0,"",'Part VI-Revenues &amp; Expenses'!$M$149)</f>
        <v/>
      </c>
      <c r="G1290" s="2234">
        <f>'Part VIII-Threshold Criteria'!G50</f>
        <v>232242.49999999997</v>
      </c>
      <c r="H1290" s="2121" t="str">
        <f>CONCATENATE("x ", F1290," units = ")</f>
        <v xml:space="preserve">x  units = </v>
      </c>
      <c r="I1290" s="2052" t="str">
        <f>IF(F1290="","",F1290*G1290)</f>
        <v/>
      </c>
      <c r="J1290" s="1818"/>
      <c r="K1290" s="2233" t="str">
        <f>IF('Part VI-Revenues &amp; Expenses'!$M$150 =0,"",'Part VI-Revenues &amp; Expenses'!$M$150)</f>
        <v/>
      </c>
      <c r="L1290" s="2234">
        <f>G1290*(1+'DCA Underwriting Assumptions'!$Q$12)</f>
        <v>255466.75</v>
      </c>
      <c r="M1290" s="2121" t="str">
        <f>CONCATENATE("x ", K1290," units = ")</f>
        <v xml:space="preserve">x  units = </v>
      </c>
      <c r="N1290" s="2052" t="str">
        <f>IF(K1290="","",K1290*L1290)</f>
        <v/>
      </c>
      <c r="O1290" s="2108"/>
      <c r="P1290" s="2243"/>
      <c r="Q1290" s="2243"/>
      <c r="R1290" s="2488"/>
      <c r="S1290" s="2244" t="s">
        <v>7146</v>
      </c>
      <c r="T1290" s="2244"/>
      <c r="U1290" s="2244"/>
      <c r="V1290" s="2244"/>
      <c r="AC1290" s="436"/>
      <c r="AD1290" s="436"/>
      <c r="AE1290" s="436"/>
      <c r="AF1290" s="436"/>
    </row>
    <row r="1291" spans="1:32" s="1852" customFormat="1" ht="12" customHeight="1">
      <c r="C1291" s="1818"/>
      <c r="D1291" s="2232" t="s">
        <v>2332</v>
      </c>
      <c r="E1291" s="2164">
        <v>3</v>
      </c>
      <c r="F1291" s="2233" t="str">
        <f>IF('Part VI-Revenues &amp; Expenses'!$N$149 =0,"",'Part VI-Revenues &amp; Expenses'!$N$149)</f>
        <v/>
      </c>
      <c r="G1291" s="2234">
        <f>'Part VIII-Threshold Criteria'!G51</f>
        <v>270867.30000000005</v>
      </c>
      <c r="H1291" s="2121" t="str">
        <f>CONCATENATE("x ", F1291," units = ")</f>
        <v xml:space="preserve">x  units = </v>
      </c>
      <c r="I1291" s="2052" t="str">
        <f>IF(F1291="","",F1291*G1291)</f>
        <v/>
      </c>
      <c r="J1291" s="1818"/>
      <c r="K1291" s="2233" t="str">
        <f>IF('Part VI-Revenues &amp; Expenses'!$N$150 =0,"",'Part VI-Revenues &amp; Expenses'!$N$150)</f>
        <v/>
      </c>
      <c r="L1291" s="2234">
        <f>G1291*(1+'DCA Underwriting Assumptions'!$Q$12)</f>
        <v>297954.03000000009</v>
      </c>
      <c r="M1291" s="2121" t="str">
        <f>CONCATENATE("x ", K1291," units = ")</f>
        <v xml:space="preserve">x  units = </v>
      </c>
      <c r="N1291" s="2052" t="str">
        <f>IF(K1291="","",K1291*L1291)</f>
        <v/>
      </c>
      <c r="O1291" s="2108"/>
      <c r="P1291" s="2243"/>
      <c r="Q1291" s="2243"/>
      <c r="S1291" s="2244"/>
      <c r="T1291" s="2244"/>
      <c r="U1291" s="2244"/>
      <c r="V1291" s="2244"/>
      <c r="AC1291" s="436"/>
      <c r="AD1291" s="436"/>
      <c r="AE1291" s="436"/>
      <c r="AF1291" s="436"/>
    </row>
    <row r="1292" spans="1:32" s="1852" customFormat="1" ht="12" customHeight="1">
      <c r="C1292" s="1818"/>
      <c r="D1292" s="2232" t="s">
        <v>2333</v>
      </c>
      <c r="E1292" s="2164">
        <v>4</v>
      </c>
      <c r="F1292" s="2233" t="str">
        <f>IF('Part VI-Revenues &amp; Expenses'!$O$149 =0,"",'Part VI-Revenues &amp; Expenses'!$O$149)</f>
        <v/>
      </c>
      <c r="G1292" s="2234">
        <f>'Part VIII-Threshold Criteria'!G52</f>
        <v>320824.90000000002</v>
      </c>
      <c r="H1292" s="2121" t="str">
        <f>CONCATENATE("x ", F1292," units = ")</f>
        <v xml:space="preserve">x  units = </v>
      </c>
      <c r="I1292" s="2052" t="str">
        <f>IF(F1292="","",F1292*G1292)</f>
        <v/>
      </c>
      <c r="J1292" s="1818"/>
      <c r="K1292" s="2233" t="str">
        <f>IF('Part VI-Revenues &amp; Expenses'!$O$150 =0,"",'Part VI-Revenues &amp; Expenses'!$O$150)</f>
        <v/>
      </c>
      <c r="L1292" s="2234">
        <f>G1292*(1+'DCA Underwriting Assumptions'!$Q$12)</f>
        <v>352907.39000000007</v>
      </c>
      <c r="M1292" s="2121" t="str">
        <f>CONCATENATE("x ", K1292," units = ")</f>
        <v xml:space="preserve">x  units = </v>
      </c>
      <c r="N1292" s="2052" t="str">
        <f>IF(K1292="","",K1292*L1292)</f>
        <v/>
      </c>
      <c r="O1292" s="2108"/>
      <c r="P1292" s="1875" t="s">
        <v>3283</v>
      </c>
      <c r="Q1292" s="1875"/>
      <c r="S1292" s="2244"/>
      <c r="T1292" s="2244"/>
      <c r="U1292" s="2244"/>
      <c r="V1292" s="2244"/>
      <c r="AC1292" s="436"/>
      <c r="AD1292" s="436"/>
      <c r="AE1292" s="436"/>
      <c r="AF1292" s="436"/>
    </row>
    <row r="1293" spans="1:32" s="1852" customFormat="1" ht="12" customHeight="1">
      <c r="C1293" s="1818"/>
      <c r="D1293" s="2236" t="s">
        <v>3123</v>
      </c>
      <c r="E1293" s="2158"/>
      <c r="F1293" s="2237">
        <f>SUM(F1288:F1292)</f>
        <v>0</v>
      </c>
      <c r="G1293" s="2238"/>
      <c r="H1293" s="2239"/>
      <c r="I1293" s="2240">
        <f>SUM(I1288:I1292)</f>
        <v>0</v>
      </c>
      <c r="J1293" s="2241"/>
      <c r="K1293" s="2237">
        <f>SUM(K1288:K1292)</f>
        <v>0</v>
      </c>
      <c r="L1293" s="2241"/>
      <c r="M1293" s="2239"/>
      <c r="N1293" s="2240">
        <f>SUM(N1288:N1292)</f>
        <v>0</v>
      </c>
      <c r="O1293" s="2108"/>
      <c r="P1293" s="2129" t="s">
        <v>3010</v>
      </c>
      <c r="Q1293" s="2129" t="s">
        <v>245</v>
      </c>
      <c r="R1293" s="2488"/>
      <c r="S1293" s="2244"/>
      <c r="T1293" s="2244"/>
      <c r="U1293" s="2244"/>
      <c r="V1293" s="2244"/>
      <c r="AB1293" s="436"/>
      <c r="AC1293" s="436"/>
      <c r="AD1293" s="436"/>
      <c r="AE1293" s="436"/>
      <c r="AF1293" s="436"/>
    </row>
    <row r="1294" spans="1:32" s="1852" customFormat="1" ht="12" customHeight="1">
      <c r="C1294" s="1818"/>
      <c r="D1294" s="2229"/>
      <c r="E1294" s="2229"/>
      <c r="F1294" s="2055"/>
      <c r="G1294" s="2223"/>
      <c r="I1294" s="2055"/>
      <c r="K1294" s="2055"/>
      <c r="M1294" s="2228"/>
      <c r="N1294" s="2055"/>
      <c r="O1294" s="2108"/>
      <c r="R1294" s="2488"/>
      <c r="S1294" s="2244"/>
      <c r="T1294" s="2244"/>
      <c r="U1294" s="2244"/>
      <c r="V1294" s="2244"/>
      <c r="W1294" s="1818"/>
      <c r="AB1294" s="436"/>
      <c r="AC1294" s="436"/>
      <c r="AD1294" s="436"/>
      <c r="AE1294" s="436"/>
      <c r="AF1294" s="436"/>
    </row>
    <row r="1295" spans="1:32" s="1852" customFormat="1" ht="12" customHeight="1">
      <c r="A1295" s="1864" t="s">
        <v>3115</v>
      </c>
      <c r="C1295" s="1818"/>
      <c r="D1295" s="2232" t="s">
        <v>539</v>
      </c>
      <c r="E1295" s="2164">
        <v>0</v>
      </c>
      <c r="F1295" s="2233" t="str">
        <f>IF('Part VI-Revenues &amp; Expenses'!$K$151 =0,"",'Part VI-Revenues &amp; Expenses'!$K$151)</f>
        <v/>
      </c>
      <c r="G1295" s="2234">
        <f>'Part VIII-Threshold Criteria'!G55</f>
        <v>137608.79999999999</v>
      </c>
      <c r="H1295" s="2121" t="str">
        <f>CONCATENATE("x ", F1295," units = ")</f>
        <v xml:space="preserve">x  units = </v>
      </c>
      <c r="I1295" s="2052" t="str">
        <f>IF(F1295="","",F1295*G1295)</f>
        <v/>
      </c>
      <c r="J1295" s="1818"/>
      <c r="K1295" s="2233" t="str">
        <f>IF('Part VI-Revenues &amp; Expenses'!$K$152 =0,"",'Part VI-Revenues &amp; Expenses'!$K$152)</f>
        <v/>
      </c>
      <c r="L1295" s="2234">
        <f>G1295*(1+'DCA Underwriting Assumptions'!$Q$12)</f>
        <v>151369.68</v>
      </c>
      <c r="M1295" s="2121" t="str">
        <f>CONCATENATE("x ", K1295," units = ")</f>
        <v xml:space="preserve">x  units = </v>
      </c>
      <c r="N1295" s="2052" t="str">
        <f>IF(K1295="","",K1295*L1295)</f>
        <v/>
      </c>
      <c r="O1295" s="2108"/>
      <c r="P1295" s="2172">
        <f>'Part IX Scoring Criteria'!O1520</f>
        <v>0</v>
      </c>
      <c r="Q1295" s="2172">
        <f>'Part IX Scoring Criteria'!P1520</f>
        <v>0</v>
      </c>
      <c r="R1295" s="2488"/>
      <c r="S1295" s="2244"/>
      <c r="T1295" s="2244"/>
      <c r="U1295" s="2244"/>
      <c r="V1295" s="2244"/>
      <c r="W1295" s="1818"/>
      <c r="AB1295" s="436"/>
      <c r="AC1295" s="436"/>
      <c r="AD1295" s="436"/>
      <c r="AE1295" s="436"/>
      <c r="AF1295" s="436"/>
    </row>
    <row r="1296" spans="1:32" s="1852" customFormat="1" ht="12" customHeight="1">
      <c r="C1296" s="1818"/>
      <c r="D1296" s="2232" t="s">
        <v>2330</v>
      </c>
      <c r="E1296" s="2164">
        <v>1</v>
      </c>
      <c r="F1296" s="2233">
        <f>IF('Part VI-Revenues &amp; Expenses'!$L$151 =0,"",'Part VI-Revenues &amp; Expenses'!$L$151)</f>
        <v>12</v>
      </c>
      <c r="G1296" s="2234">
        <f>'Part VIII-Threshold Criteria'!G56</f>
        <v>179842.75</v>
      </c>
      <c r="H1296" s="2121" t="str">
        <f>CONCATENATE("x ", F1296," units = ")</f>
        <v xml:space="preserve">x 12 units = </v>
      </c>
      <c r="I1296" s="2052">
        <f>IF(F1296="","",F1296*G1296)</f>
        <v>2158113</v>
      </c>
      <c r="J1296" s="1818"/>
      <c r="K1296" s="2233" t="str">
        <f>IF('Part VI-Revenues &amp; Expenses'!$L$152 =0,"",'Part VI-Revenues &amp; Expenses'!$L$152)</f>
        <v/>
      </c>
      <c r="L1296" s="2234">
        <f>G1296*(1+'DCA Underwriting Assumptions'!$Q$12)</f>
        <v>197827.02500000002</v>
      </c>
      <c r="M1296" s="2121" t="str">
        <f>CONCATENATE("x ", K1296," units = ")</f>
        <v xml:space="preserve">x  units = </v>
      </c>
      <c r="N1296" s="2052" t="str">
        <f>IF(K1296="","",K1296*L1296)</f>
        <v/>
      </c>
      <c r="P1296" s="1875" t="s">
        <v>3284</v>
      </c>
      <c r="Q1296" s="1875"/>
      <c r="S1296" s="2244"/>
      <c r="T1296" s="2244"/>
      <c r="U1296" s="2244"/>
      <c r="V1296" s="2244"/>
      <c r="W1296" s="1818"/>
      <c r="AB1296" s="436"/>
      <c r="AC1296" s="436"/>
      <c r="AD1296" s="436"/>
      <c r="AE1296" s="436"/>
      <c r="AF1296" s="436"/>
    </row>
    <row r="1297" spans="1:32" s="1852" customFormat="1" ht="12" customHeight="1">
      <c r="C1297" s="1818"/>
      <c r="D1297" s="2232" t="s">
        <v>2331</v>
      </c>
      <c r="E1297" s="2164">
        <v>2</v>
      </c>
      <c r="F1297" s="2233">
        <f>IF('Part VI-Revenues &amp; Expenses'!$M$151 =0,"",'Part VI-Revenues &amp; Expenses'!$M$151)</f>
        <v>24</v>
      </c>
      <c r="G1297" s="2234">
        <f>'Part VIII-Threshold Criteria'!G57</f>
        <v>227650.55</v>
      </c>
      <c r="H1297" s="2121" t="str">
        <f>CONCATENATE("x ", F1297," units = ")</f>
        <v xml:space="preserve">x 24 units = </v>
      </c>
      <c r="I1297" s="2052">
        <f>IF(F1297="","",F1297*G1297)</f>
        <v>5463613.1999999993</v>
      </c>
      <c r="J1297" s="1818"/>
      <c r="K1297" s="2233" t="str">
        <f>IF('Part VI-Revenues &amp; Expenses'!$M$152 =0,"",'Part VI-Revenues &amp; Expenses'!$M$152)</f>
        <v/>
      </c>
      <c r="L1297" s="2234">
        <f>G1297*(1+'DCA Underwriting Assumptions'!$Q$12)</f>
        <v>250415.60500000001</v>
      </c>
      <c r="M1297" s="2121" t="str">
        <f>CONCATENATE("x ", K1297," units = ")</f>
        <v xml:space="preserve">x  units = </v>
      </c>
      <c r="N1297" s="2052" t="str">
        <f>IF(K1297="","",K1297*L1297)</f>
        <v/>
      </c>
      <c r="P1297" s="2129" t="s">
        <v>3010</v>
      </c>
      <c r="Q1297" s="2129" t="s">
        <v>245</v>
      </c>
      <c r="S1297" s="2244"/>
      <c r="T1297" s="2244"/>
      <c r="U1297" s="2244"/>
      <c r="V1297" s="2244"/>
      <c r="W1297" s="1818"/>
      <c r="AB1297" s="436"/>
      <c r="AC1297" s="436"/>
      <c r="AD1297" s="436"/>
      <c r="AE1297" s="436"/>
      <c r="AF1297" s="436"/>
    </row>
    <row r="1298" spans="1:32" s="1852" customFormat="1" ht="12" customHeight="1">
      <c r="C1298" s="1818"/>
      <c r="D1298" s="2232" t="s">
        <v>2332</v>
      </c>
      <c r="E1298" s="2164">
        <v>3</v>
      </c>
      <c r="F1298" s="2233">
        <f>IF('Part VI-Revenues &amp; Expenses'!$N$151 =0,"",'Part VI-Revenues &amp; Expenses'!$N$151)</f>
        <v>12</v>
      </c>
      <c r="G1298" s="2234">
        <f>'Part VIII-Threshold Criteria'!G58</f>
        <v>286873.40000000002</v>
      </c>
      <c r="H1298" s="2121" t="str">
        <f>CONCATENATE("x ", F1298," units = ")</f>
        <v xml:space="preserve">x 12 units = </v>
      </c>
      <c r="I1298" s="2052">
        <f>IF(F1298="","",F1298*G1298)</f>
        <v>3442480.8000000003</v>
      </c>
      <c r="J1298" s="1818"/>
      <c r="K1298" s="2233" t="str">
        <f>IF('Part VI-Revenues &amp; Expenses'!$N$152 =0,"",'Part VI-Revenues &amp; Expenses'!$N$152)</f>
        <v/>
      </c>
      <c r="L1298" s="2234">
        <f>G1298*(1+'DCA Underwriting Assumptions'!$Q$12)</f>
        <v>315560.74000000005</v>
      </c>
      <c r="M1298" s="2121" t="str">
        <f>CONCATENATE("x ", K1298," units = ")</f>
        <v xml:space="preserve">x  units = </v>
      </c>
      <c r="N1298" s="2052" t="str">
        <f>IF(K1298="","",K1298*L1298)</f>
        <v/>
      </c>
      <c r="O1298" s="2108"/>
      <c r="P1298" s="2172">
        <f>'Part IX Scoring Criteria'!O1298</f>
        <v>0</v>
      </c>
      <c r="Q1298" s="2172">
        <f>'Part IX Scoring Criteria'!P1298</f>
        <v>0</v>
      </c>
      <c r="S1298" s="2244"/>
      <c r="T1298" s="2244"/>
      <c r="U1298" s="2244"/>
      <c r="V1298" s="2244"/>
      <c r="W1298" s="1818"/>
      <c r="AB1298" s="436"/>
      <c r="AC1298" s="436"/>
      <c r="AD1298" s="436"/>
      <c r="AE1298" s="436"/>
      <c r="AF1298" s="436"/>
    </row>
    <row r="1299" spans="1:32" s="1852" customFormat="1" ht="12" customHeight="1">
      <c r="C1299" s="1818"/>
      <c r="D1299" s="2232" t="s">
        <v>2333</v>
      </c>
      <c r="E1299" s="2164">
        <v>4</v>
      </c>
      <c r="F1299" s="2233" t="str">
        <f>IF('Part VI-Revenues &amp; Expenses'!$O$151 =0,"",'Part VI-Revenues &amp; Expenses'!$O$151)</f>
        <v/>
      </c>
      <c r="G1299" s="2234">
        <f>'Part VIII-Threshold Criteria'!G59</f>
        <v>355345.10000000003</v>
      </c>
      <c r="H1299" s="2121" t="str">
        <f>CONCATENATE("x ", F1299," units = ")</f>
        <v xml:space="preserve">x  units = </v>
      </c>
      <c r="I1299" s="2052" t="str">
        <f>IF(F1299="","",F1299*G1299)</f>
        <v/>
      </c>
      <c r="J1299" s="1818"/>
      <c r="K1299" s="2233" t="str">
        <f>IF('Part VI-Revenues &amp; Expenses'!$O$152 =0,"",'Part VI-Revenues &amp; Expenses'!$O$152)</f>
        <v/>
      </c>
      <c r="L1299" s="2234">
        <f>G1299*(1+'DCA Underwriting Assumptions'!$Q$12)</f>
        <v>390879.61000000004</v>
      </c>
      <c r="M1299" s="2121" t="str">
        <f>CONCATENATE("x ", K1299," units = ")</f>
        <v xml:space="preserve">x  units = </v>
      </c>
      <c r="N1299" s="2052" t="str">
        <f>IF(K1299="","",K1299*L1299)</f>
        <v/>
      </c>
      <c r="O1299" s="2108"/>
      <c r="P1299" s="1852" t="s">
        <v>2598</v>
      </c>
      <c r="S1299" s="2244"/>
      <c r="T1299" s="2244"/>
      <c r="U1299" s="2244"/>
      <c r="V1299" s="2244"/>
      <c r="W1299" s="1818"/>
      <c r="AB1299" s="436"/>
      <c r="AC1299" s="436"/>
      <c r="AD1299" s="436"/>
      <c r="AE1299" s="436"/>
      <c r="AF1299" s="436"/>
    </row>
    <row r="1300" spans="1:32" s="1852" customFormat="1" ht="12" customHeight="1">
      <c r="C1300" s="1818"/>
      <c r="D1300" s="2236" t="s">
        <v>3123</v>
      </c>
      <c r="E1300" s="2158"/>
      <c r="F1300" s="2237">
        <f>SUM(F1295:F1299)</f>
        <v>48</v>
      </c>
      <c r="G1300" s="2238"/>
      <c r="H1300" s="2239"/>
      <c r="I1300" s="2240">
        <f>SUM(I1295:I1299)</f>
        <v>11064207</v>
      </c>
      <c r="J1300" s="2241"/>
      <c r="K1300" s="2237">
        <f>SUM(K1295:K1299)</f>
        <v>0</v>
      </c>
      <c r="L1300" s="2241"/>
      <c r="M1300" s="2239"/>
      <c r="N1300" s="2240">
        <f>SUM(N1295:N1299)</f>
        <v>0</v>
      </c>
      <c r="O1300" s="2108"/>
      <c r="S1300" s="2244"/>
      <c r="T1300" s="2244"/>
      <c r="U1300" s="2244"/>
      <c r="V1300" s="2244"/>
      <c r="W1300" s="1818"/>
      <c r="AB1300" s="436"/>
      <c r="AC1300" s="436"/>
      <c r="AD1300" s="436"/>
      <c r="AE1300" s="436"/>
      <c r="AF1300" s="436"/>
    </row>
    <row r="1301" spans="1:32" s="1852" customFormat="1" ht="12" customHeight="1">
      <c r="C1301" s="1818"/>
      <c r="D1301" s="2229"/>
      <c r="E1301" s="2229"/>
      <c r="F1301" s="2055"/>
      <c r="G1301" s="2223"/>
      <c r="I1301" s="2055"/>
      <c r="K1301" s="2055"/>
      <c r="M1301" s="2228"/>
      <c r="N1301" s="2055"/>
      <c r="O1301" s="2108"/>
      <c r="R1301" s="2488"/>
      <c r="S1301" s="2244"/>
      <c r="T1301" s="2244"/>
      <c r="U1301" s="2244"/>
      <c r="V1301" s="2244"/>
      <c r="W1301" s="1818"/>
      <c r="AB1301" s="436"/>
      <c r="AC1301" s="436"/>
      <c r="AD1301" s="436"/>
      <c r="AE1301" s="436"/>
      <c r="AF1301" s="436"/>
    </row>
    <row r="1302" spans="1:32" s="1852" customFormat="1" ht="12" customHeight="1">
      <c r="A1302" s="1864" t="s">
        <v>3116</v>
      </c>
      <c r="C1302" s="1818"/>
      <c r="D1302" s="2232" t="s">
        <v>539</v>
      </c>
      <c r="E1302" s="2164">
        <v>0</v>
      </c>
      <c r="F1302" s="2233" t="str">
        <f>IF('Part VI-Revenues &amp; Expenses'!$K$153 =0,"",'Part VI-Revenues &amp; Expenses'!$K$153)</f>
        <v/>
      </c>
      <c r="G1302" s="2234">
        <f>'Part VIII-Threshold Criteria'!G62</f>
        <v>138457.19999999998</v>
      </c>
      <c r="H1302" s="2121" t="str">
        <f>CONCATENATE("x ", F1302," units = ")</f>
        <v xml:space="preserve">x  units = </v>
      </c>
      <c r="I1302" s="2052" t="str">
        <f>IF(F1302="","",F1302*G1302)</f>
        <v/>
      </c>
      <c r="J1302" s="1818"/>
      <c r="K1302" s="2233" t="str">
        <f>IF('Part VI-Revenues &amp; Expenses'!$K$154 =0,"",'Part VI-Revenues &amp; Expenses'!$K$154)</f>
        <v/>
      </c>
      <c r="L1302" s="2234">
        <f>G1302*(1+'DCA Underwriting Assumptions'!$Q$12)</f>
        <v>152302.91999999998</v>
      </c>
      <c r="M1302" s="2121" t="str">
        <f>CONCATENATE("x ", K1302," units = ")</f>
        <v xml:space="preserve">x  units = </v>
      </c>
      <c r="N1302" s="2052" t="str">
        <f>IF(K1302="","",K1302*L1302)</f>
        <v/>
      </c>
      <c r="O1302" s="2108"/>
      <c r="R1302" s="2488"/>
      <c r="S1302" s="2244"/>
      <c r="T1302" s="2244"/>
      <c r="U1302" s="2244"/>
      <c r="V1302" s="2244"/>
      <c r="W1302" s="1818"/>
      <c r="X1302" s="2114"/>
      <c r="Y1302" s="1818"/>
      <c r="Z1302" s="435"/>
      <c r="AA1302" s="436"/>
      <c r="AB1302" s="436"/>
      <c r="AC1302" s="436"/>
      <c r="AD1302" s="436"/>
      <c r="AE1302" s="436"/>
      <c r="AF1302" s="436"/>
    </row>
    <row r="1303" spans="1:32" s="1852" customFormat="1" ht="12" customHeight="1">
      <c r="C1303" s="1818"/>
      <c r="D1303" s="2232" t="s">
        <v>2330</v>
      </c>
      <c r="E1303" s="2164">
        <v>1</v>
      </c>
      <c r="F1303" s="2233" t="str">
        <f>IF('Part VI-Revenues &amp; Expenses'!$L$153 =0,"",'Part VI-Revenues &amp; Expenses'!$L$153)</f>
        <v/>
      </c>
      <c r="G1303" s="2234">
        <f>'Part VIII-Threshold Criteria'!G63</f>
        <v>185762.94999999998</v>
      </c>
      <c r="H1303" s="2121" t="str">
        <f>CONCATENATE("x ", F1303," units = ")</f>
        <v xml:space="preserve">x  units = </v>
      </c>
      <c r="I1303" s="2052" t="str">
        <f>IF(F1303="","",F1303*G1303)</f>
        <v/>
      </c>
      <c r="J1303" s="1818"/>
      <c r="K1303" s="2233" t="str">
        <f>IF('Part VI-Revenues &amp; Expenses'!$L$154 =0,"",'Part VI-Revenues &amp; Expenses'!$L$154)</f>
        <v/>
      </c>
      <c r="L1303" s="2234">
        <f>G1303*(1+'DCA Underwriting Assumptions'!$Q$12)</f>
        <v>204339.245</v>
      </c>
      <c r="M1303" s="2121" t="str">
        <f>CONCATENATE("x ", K1303," units = ")</f>
        <v xml:space="preserve">x  units = </v>
      </c>
      <c r="N1303" s="2052" t="str">
        <f>IF(K1303="","",K1303*L1303)</f>
        <v/>
      </c>
      <c r="O1303" s="2108"/>
      <c r="P1303" s="2245">
        <f>IF(P1290&gt;1,P1290, IF(OR('Part IX Scoring Criteria'!$O$108='Part IX Scoring Criteria'!$M$108,AND('Part IV-A-Uses of Funds'!$T$185="Yes",'Part IX Scoring Criteria'!$O$330&gt;0)),H1309+M1309,H1309))</f>
        <v>11064207</v>
      </c>
      <c r="Q1303" s="2245"/>
      <c r="R1303" s="1818"/>
      <c r="S1303" s="1818"/>
      <c r="V1303" s="1818"/>
      <c r="W1303" s="1818"/>
      <c r="X1303" s="2114"/>
      <c r="Y1303" s="1818"/>
      <c r="Z1303" s="435"/>
      <c r="AA1303" s="436"/>
      <c r="AB1303" s="436"/>
      <c r="AC1303" s="436"/>
      <c r="AD1303" s="436"/>
      <c r="AE1303" s="436"/>
      <c r="AF1303" s="436"/>
    </row>
    <row r="1304" spans="1:32" s="1852" customFormat="1" ht="12" customHeight="1">
      <c r="C1304" s="1818"/>
      <c r="D1304" s="2232" t="s">
        <v>2331</v>
      </c>
      <c r="E1304" s="2164">
        <v>2</v>
      </c>
      <c r="F1304" s="2233" t="str">
        <f>IF('Part VI-Revenues &amp; Expenses'!$M$153 =0,"",'Part VI-Revenues &amp; Expenses'!$M$153)</f>
        <v/>
      </c>
      <c r="G1304" s="2234">
        <f>'Part VIII-Threshold Criteria'!G64</f>
        <v>238837.74999999997</v>
      </c>
      <c r="H1304" s="2121" t="str">
        <f>CONCATENATE("x ", F1304," units = ")</f>
        <v xml:space="preserve">x  units = </v>
      </c>
      <c r="I1304" s="2052" t="str">
        <f>IF(F1304="","",F1304*G1304)</f>
        <v/>
      </c>
      <c r="J1304" s="1818"/>
      <c r="K1304" s="2233" t="str">
        <f>IF('Part VI-Revenues &amp; Expenses'!$M$154 =0,"",'Part VI-Revenues &amp; Expenses'!$M$154)</f>
        <v/>
      </c>
      <c r="L1304" s="2234">
        <f>G1304*(1+'DCA Underwriting Assumptions'!$Q$12)</f>
        <v>262721.52499999997</v>
      </c>
      <c r="M1304" s="2121" t="str">
        <f>CONCATENATE("x ", K1304," units = ")</f>
        <v xml:space="preserve">x  units = </v>
      </c>
      <c r="N1304" s="2052" t="str">
        <f>IF(K1304="","",K1304*L1304)</f>
        <v/>
      </c>
      <c r="P1304" s="2245"/>
      <c r="Q1304" s="2245"/>
      <c r="R1304" s="1818"/>
      <c r="S1304" s="1818"/>
      <c r="V1304" s="1818"/>
      <c r="W1304" s="1818"/>
      <c r="X1304" s="2114"/>
      <c r="Y1304" s="1818"/>
      <c r="Z1304" s="435"/>
      <c r="AA1304" s="436"/>
      <c r="AB1304" s="436"/>
      <c r="AC1304" s="436"/>
      <c r="AD1304" s="436"/>
      <c r="AE1304" s="436"/>
      <c r="AF1304" s="436"/>
    </row>
    <row r="1305" spans="1:32" s="1852" customFormat="1" ht="12" customHeight="1">
      <c r="C1305" s="1818"/>
      <c r="D1305" s="2232" t="s">
        <v>2332</v>
      </c>
      <c r="E1305" s="2164">
        <v>3</v>
      </c>
      <c r="F1305" s="2233" t="str">
        <f>IF('Part VI-Revenues &amp; Expenses'!$N$153 =0,"",'Part VI-Revenues &amp; Expenses'!$N$153)</f>
        <v/>
      </c>
      <c r="G1305" s="2234">
        <f>'Part VIII-Threshold Criteria'!G65</f>
        <v>304604.30000000005</v>
      </c>
      <c r="H1305" s="2121" t="str">
        <f>CONCATENATE("x ", F1305," units = ")</f>
        <v xml:space="preserve">x  units = </v>
      </c>
      <c r="I1305" s="2052" t="str">
        <f>IF(F1305="","",F1305*G1305)</f>
        <v/>
      </c>
      <c r="J1305" s="1818"/>
      <c r="K1305" s="2233" t="str">
        <f>IF('Part VI-Revenues &amp; Expenses'!$N$154 =0,"",'Part VI-Revenues &amp; Expenses'!$N$154)</f>
        <v/>
      </c>
      <c r="L1305" s="2234">
        <f>G1305*(1+'DCA Underwriting Assumptions'!$Q$12)</f>
        <v>335064.7300000001</v>
      </c>
      <c r="M1305" s="2121" t="str">
        <f>CONCATENATE("x ", K1305," units = ")</f>
        <v xml:space="preserve">x  units = </v>
      </c>
      <c r="N1305" s="2052" t="str">
        <f>IF(K1305="","",K1305*L1305)</f>
        <v/>
      </c>
      <c r="P1305" s="2229" t="s">
        <v>6849</v>
      </c>
      <c r="Q1305" s="2229"/>
      <c r="R1305" s="2488"/>
      <c r="V1305" s="1818"/>
      <c r="W1305" s="1818"/>
      <c r="X1305" s="2114"/>
      <c r="Y1305" s="1818"/>
      <c r="Z1305" s="435"/>
      <c r="AA1305" s="436"/>
      <c r="AB1305" s="436"/>
      <c r="AC1305" s="436"/>
      <c r="AD1305" s="436"/>
      <c r="AE1305" s="436"/>
      <c r="AF1305" s="436"/>
    </row>
    <row r="1306" spans="1:32" s="1852" customFormat="1" ht="12" customHeight="1">
      <c r="C1306" s="1818"/>
      <c r="D1306" s="2232" t="s">
        <v>2333</v>
      </c>
      <c r="E1306" s="2164">
        <v>4</v>
      </c>
      <c r="F1306" s="2233" t="str">
        <f>IF('Part VI-Revenues &amp; Expenses'!$O$153 =0,"",'Part VI-Revenues &amp; Expenses'!$O$153)</f>
        <v/>
      </c>
      <c r="G1306" s="2234">
        <f>'Part VIII-Threshold Criteria'!G66</f>
        <v>380756.2</v>
      </c>
      <c r="H1306" s="2121" t="str">
        <f>CONCATENATE("x ", F1306," units = ")</f>
        <v xml:space="preserve">x  units = </v>
      </c>
      <c r="I1306" s="2052" t="str">
        <f>IF(F1306="","",F1306*G1306)</f>
        <v/>
      </c>
      <c r="J1306" s="1818"/>
      <c r="K1306" s="2233" t="str">
        <f>IF('Part VI-Revenues &amp; Expenses'!$O$154 =0,"",'Part VI-Revenues &amp; Expenses'!$O$154)</f>
        <v/>
      </c>
      <c r="L1306" s="2234">
        <f>G1306*(1+'DCA Underwriting Assumptions'!$Q$12)</f>
        <v>418831.82000000007</v>
      </c>
      <c r="M1306" s="2121" t="str">
        <f>CONCATENATE("x ", K1306," units = ")</f>
        <v xml:space="preserve">x  units = </v>
      </c>
      <c r="N1306" s="2052" t="str">
        <f>IF(K1306="","",K1306*L1306)</f>
        <v/>
      </c>
      <c r="O1306" s="2108"/>
      <c r="P1306" s="2229"/>
      <c r="Q1306" s="2229"/>
      <c r="R1306" s="2488"/>
      <c r="V1306" s="1818"/>
      <c r="W1306" s="1818"/>
      <c r="X1306" s="2114"/>
      <c r="Y1306" s="1818"/>
      <c r="Z1306" s="435"/>
      <c r="AA1306" s="436"/>
      <c r="AB1306" s="436"/>
      <c r="AC1306" s="436"/>
      <c r="AD1306" s="436"/>
      <c r="AE1306" s="436"/>
      <c r="AF1306" s="436"/>
    </row>
    <row r="1307" spans="1:32" s="1852" customFormat="1" ht="12" customHeight="1">
      <c r="C1307" s="1818"/>
      <c r="D1307" s="2236" t="s">
        <v>3123</v>
      </c>
      <c r="E1307" s="2158"/>
      <c r="F1307" s="2237">
        <f>SUM(F1302:F1306)</f>
        <v>0</v>
      </c>
      <c r="G1307" s="2238"/>
      <c r="H1307" s="2239"/>
      <c r="I1307" s="2240">
        <f>SUM(I1302:I1306)</f>
        <v>0</v>
      </c>
      <c r="J1307" s="2241"/>
      <c r="K1307" s="2237">
        <f>SUM(K1302:K1306)</f>
        <v>0</v>
      </c>
      <c r="L1307" s="2241"/>
      <c r="M1307" s="2239"/>
      <c r="N1307" s="2240">
        <f>SUM(N1302:N1306)</f>
        <v>0</v>
      </c>
      <c r="O1307" s="2108"/>
      <c r="P1307" s="2229"/>
      <c r="Q1307" s="2229"/>
      <c r="R1307" s="2488"/>
      <c r="V1307" s="1818"/>
      <c r="W1307" s="1818"/>
      <c r="X1307" s="2114"/>
      <c r="Y1307" s="1818"/>
      <c r="Z1307" s="435"/>
      <c r="AA1307" s="436"/>
      <c r="AB1307" s="436"/>
      <c r="AC1307" s="436"/>
      <c r="AD1307" s="436"/>
      <c r="AE1307" s="436"/>
      <c r="AF1307" s="436"/>
    </row>
    <row r="1308" spans="1:32" s="1852" customFormat="1" ht="3.75" customHeight="1">
      <c r="C1308" s="1818"/>
      <c r="D1308" s="1818"/>
      <c r="E1308" s="2114"/>
      <c r="F1308" s="1818"/>
      <c r="G1308" s="435"/>
      <c r="H1308" s="2246"/>
      <c r="I1308" s="2246"/>
      <c r="J1308" s="2246"/>
      <c r="K1308" s="2246"/>
      <c r="L1308" s="2246"/>
      <c r="M1308" s="2246"/>
      <c r="N1308" s="2164"/>
      <c r="O1308" s="2108"/>
      <c r="P1308" s="2229"/>
      <c r="Q1308" s="2229"/>
      <c r="R1308" s="2488"/>
      <c r="S1308" s="2488"/>
      <c r="V1308" s="1818"/>
      <c r="W1308" s="1818"/>
      <c r="X1308" s="2114"/>
      <c r="Y1308" s="1818"/>
      <c r="Z1308" s="435"/>
      <c r="AA1308" s="436"/>
      <c r="AB1308" s="436"/>
      <c r="AC1308" s="436"/>
      <c r="AD1308" s="436"/>
      <c r="AE1308" s="436"/>
      <c r="AF1308" s="436"/>
    </row>
    <row r="1309" spans="1:32" s="1852" customFormat="1" ht="12.75" customHeight="1">
      <c r="A1309" s="2121" t="s">
        <v>3124</v>
      </c>
      <c r="B1309" s="1818"/>
      <c r="C1309" s="1818"/>
      <c r="D1309" s="1818"/>
      <c r="E1309" s="1719"/>
      <c r="F1309" s="2247">
        <f>F1286+F1293+F1300+F1307</f>
        <v>48</v>
      </c>
      <c r="G1309" s="1875"/>
      <c r="H1309" s="1995">
        <f>I1286+I1293+I1300+I1307</f>
        <v>11064207</v>
      </c>
      <c r="I1309" s="1995"/>
      <c r="J1309" s="1995"/>
      <c r="K1309" s="2247">
        <f>K1286+K1293+K1300+K1307</f>
        <v>0</v>
      </c>
      <c r="L1309" s="2248"/>
      <c r="M1309" s="1995">
        <f>N1286+N1293+N1300+N1307</f>
        <v>0</v>
      </c>
      <c r="N1309" s="1995"/>
      <c r="O1309" s="1995"/>
      <c r="P1309" s="2229"/>
      <c r="Q1309" s="2229"/>
      <c r="R1309" s="2488"/>
      <c r="S1309" s="2488"/>
      <c r="V1309" s="1818"/>
      <c r="W1309" s="1818"/>
      <c r="X1309" s="2114"/>
      <c r="Y1309" s="1818"/>
      <c r="Z1309" s="435"/>
      <c r="AA1309" s="436"/>
      <c r="AB1309" s="436"/>
      <c r="AC1309" s="436"/>
      <c r="AD1309" s="436"/>
      <c r="AE1309" s="436"/>
      <c r="AF1309" s="436"/>
    </row>
    <row r="1310" spans="1:32" s="1852" customFormat="1" ht="10.5" customHeight="1">
      <c r="B1310" s="2170" t="s">
        <v>3373</v>
      </c>
      <c r="D1310" s="2170"/>
      <c r="E1310" s="2170"/>
      <c r="F1310" s="2170"/>
      <c r="G1310" s="2170"/>
      <c r="H1310" s="2121"/>
      <c r="I1310" s="2164"/>
      <c r="J1310" s="2164"/>
      <c r="K1310" s="2227" t="s">
        <v>1781</v>
      </c>
      <c r="L1310" s="2117"/>
      <c r="M1310" s="2117"/>
      <c r="N1310" s="2117"/>
      <c r="O1310" s="2117"/>
      <c r="P1310" s="2229"/>
      <c r="Q1310" s="2229"/>
    </row>
    <row r="1311" spans="1:32" s="1852" customFormat="1" ht="10.5" customHeight="1">
      <c r="A1311" s="2226" t="str">
        <f>'Part VIII-Threshold Criteria'!A71</f>
        <v>The proposal is for 48 units in Effingham Co. and the total development cost is below the maximum allowed total development cost for the applicable area.</v>
      </c>
      <c r="B1311" s="2226"/>
      <c r="C1311" s="2226"/>
      <c r="D1311" s="2226"/>
      <c r="E1311" s="2226"/>
      <c r="F1311" s="2226"/>
      <c r="G1311" s="2226"/>
      <c r="H1311" s="2226"/>
      <c r="I1311" s="2226"/>
      <c r="J1311" s="2226"/>
      <c r="K1311" s="2223"/>
      <c r="L1311" s="2223"/>
      <c r="M1311" s="2223"/>
      <c r="N1311" s="2223"/>
      <c r="O1311" s="2223"/>
      <c r="P1311" s="2223"/>
      <c r="Q1311" s="2223"/>
      <c r="R1311" s="1855" t="s">
        <v>1208</v>
      </c>
      <c r="U1311" s="1719"/>
      <c r="V1311" s="1719"/>
      <c r="W1311" s="1719"/>
      <c r="X1311" s="1719"/>
      <c r="Y1311" s="1719"/>
      <c r="Z1311" s="1719"/>
      <c r="AA1311" s="1719"/>
      <c r="AB1311" s="1719"/>
      <c r="AC1311" s="1719"/>
      <c r="AD1311" s="1719"/>
      <c r="AE1311" s="1719"/>
    </row>
    <row r="1312" spans="1:32" s="1852" customFormat="1" ht="3" customHeight="1">
      <c r="B1312" s="2164"/>
      <c r="C1312" s="2228"/>
      <c r="D1312" s="2228"/>
      <c r="E1312" s="2228"/>
      <c r="F1312" s="2228"/>
      <c r="G1312" s="2228"/>
      <c r="H1312" s="2228"/>
      <c r="I1312" s="2228"/>
      <c r="J1312" s="2228"/>
      <c r="K1312" s="2228"/>
      <c r="L1312" s="2228"/>
      <c r="M1312" s="2228"/>
      <c r="N1312" s="2228"/>
      <c r="O1312" s="2228"/>
      <c r="P1312" s="2228"/>
      <c r="Q1312" s="2117"/>
    </row>
    <row r="1313" spans="1:31" s="1852" customFormat="1" ht="12.75" customHeight="1">
      <c r="A1313" s="2105" t="s">
        <v>712</v>
      </c>
      <c r="B1313" s="1818" t="s">
        <v>1146</v>
      </c>
      <c r="C1313" s="1818"/>
      <c r="D1313" s="1818"/>
      <c r="E1313" s="2228"/>
      <c r="F1313" s="2228"/>
      <c r="O1313" s="2224" t="s">
        <v>1782</v>
      </c>
      <c r="P1313" s="1719"/>
      <c r="Q1313" s="1719"/>
    </row>
    <row r="1314" spans="1:31" s="1852" customFormat="1" ht="12.75" customHeight="1">
      <c r="A1314" s="2105"/>
      <c r="B1314" s="2223" t="s">
        <v>6436</v>
      </c>
      <c r="C1314" s="1818"/>
      <c r="D1314" s="1818"/>
      <c r="E1314" s="2228"/>
      <c r="F1314" s="2228"/>
      <c r="G1314" s="435" t="str">
        <f>'Part I-Project Information'!$H$77</f>
        <v>Family</v>
      </c>
      <c r="H1314" s="2228"/>
      <c r="J1314" s="2249" t="str">
        <f>IF(OR(G1314="Other Senior/Elderly",G1314= "Other Non-Senior"),'Part I-Project Information'!$M$77,"")</f>
        <v/>
      </c>
      <c r="K1314" s="435"/>
      <c r="O1314" s="2224"/>
      <c r="P1314" s="2224"/>
      <c r="Q1314" s="2224"/>
    </row>
    <row r="1315" spans="1:31" s="1852" customFormat="1" ht="12.75" customHeight="1">
      <c r="A1315" s="2105"/>
      <c r="B1315" s="2223" t="s">
        <v>6437</v>
      </c>
      <c r="C1315" s="1818"/>
      <c r="D1315" s="1818"/>
      <c r="E1315" s="2228"/>
      <c r="F1315" s="2228"/>
      <c r="G1315" s="435" t="str">
        <f>'Part I-Project Information'!$H$82</f>
        <v>&lt;&lt; Select CURRENT Tenancy &gt;&gt;</v>
      </c>
      <c r="H1315" s="2228"/>
      <c r="J1315" s="2249" t="str">
        <f>IF(OR(G1315="Other Senior/Elderly",G1315= "Other Non-Senior"),'Part I-Project Information'!$M$77,"")</f>
        <v/>
      </c>
      <c r="K1315" s="435"/>
      <c r="O1315" s="2224"/>
      <c r="P1315" s="2224"/>
      <c r="Q1315" s="2224"/>
    </row>
    <row r="1316" spans="1:31" s="1852" customFormat="1" ht="10.5" customHeight="1">
      <c r="B1316" s="2170" t="s">
        <v>3373</v>
      </c>
      <c r="D1316" s="2170"/>
      <c r="E1316" s="2170"/>
      <c r="F1316" s="2170"/>
      <c r="G1316" s="2170"/>
      <c r="H1316" s="2121"/>
      <c r="I1316" s="2164"/>
      <c r="J1316" s="2164"/>
      <c r="K1316" s="2227" t="s">
        <v>1781</v>
      </c>
      <c r="L1316" s="2117"/>
      <c r="M1316" s="2117"/>
      <c r="N1316" s="2117"/>
      <c r="O1316" s="2117"/>
      <c r="P1316" s="2117"/>
      <c r="Q1316" s="2117"/>
    </row>
    <row r="1317" spans="1:31" s="1852" customFormat="1" ht="10.5" customHeight="1">
      <c r="A1317" s="2226" t="str">
        <f>'Part VIII-Threshold Criteria'!A77</f>
        <v xml:space="preserve">The proposed development consists of 48 units that are consistent with the characteristics of the community and targeting families with a focus on community activities from within the neighborhood. </v>
      </c>
      <c r="B1317" s="2226"/>
      <c r="C1317" s="2226"/>
      <c r="D1317" s="2226"/>
      <c r="E1317" s="2226"/>
      <c r="F1317" s="2226"/>
      <c r="G1317" s="2226"/>
      <c r="H1317" s="2226"/>
      <c r="I1317" s="2226"/>
      <c r="J1317" s="2226"/>
      <c r="K1317" s="2223"/>
      <c r="L1317" s="2223"/>
      <c r="M1317" s="2223"/>
      <c r="N1317" s="2223"/>
      <c r="O1317" s="2223"/>
      <c r="P1317" s="2223"/>
      <c r="Q1317" s="2223"/>
      <c r="R1317" s="1855" t="s">
        <v>1208</v>
      </c>
      <c r="U1317" s="1719"/>
      <c r="V1317" s="1719"/>
      <c r="W1317" s="1719"/>
      <c r="X1317" s="1719"/>
      <c r="Y1317" s="1719"/>
      <c r="Z1317" s="1719"/>
      <c r="AA1317" s="1719"/>
      <c r="AB1317" s="1719"/>
      <c r="AC1317" s="1719"/>
      <c r="AD1317" s="1719"/>
      <c r="AE1317" s="1719"/>
    </row>
    <row r="1318" spans="1:31" s="1852" customFormat="1" ht="3" customHeight="1">
      <c r="A1318" s="2117"/>
      <c r="B1318" s="2164"/>
      <c r="C1318" s="2228"/>
      <c r="D1318" s="2228"/>
      <c r="E1318" s="2228"/>
      <c r="F1318" s="2228"/>
      <c r="G1318" s="2228"/>
      <c r="H1318" s="2228"/>
      <c r="I1318" s="2228"/>
      <c r="J1318" s="2228"/>
      <c r="K1318" s="2228"/>
      <c r="L1318" s="2228"/>
      <c r="M1318" s="2228"/>
      <c r="N1318" s="2228"/>
      <c r="O1318" s="2228"/>
      <c r="P1318" s="2228"/>
      <c r="Q1318" s="2117"/>
    </row>
    <row r="1319" spans="1:31" s="1852" customFormat="1" ht="12.75" customHeight="1">
      <c r="A1319" s="2105" t="s">
        <v>1711</v>
      </c>
      <c r="B1319" s="2105" t="s">
        <v>2512</v>
      </c>
      <c r="C1319" s="2121"/>
      <c r="D1319" s="2228"/>
      <c r="E1319" s="2228"/>
      <c r="F1319" s="2228"/>
      <c r="G1319" s="2228"/>
      <c r="H1319" s="2228"/>
      <c r="I1319" s="2228"/>
      <c r="J1319" s="2228"/>
      <c r="L1319" s="2250" t="s">
        <v>3951</v>
      </c>
      <c r="M1319" s="2251" t="s">
        <v>3952</v>
      </c>
      <c r="O1319" s="2224" t="s">
        <v>1782</v>
      </c>
      <c r="P1319" s="1719"/>
      <c r="Q1319" s="1719"/>
    </row>
    <row r="1320" spans="1:31" s="1852" customFormat="1" ht="1.5" customHeight="1"/>
    <row r="1321" spans="1:31" s="1852" customFormat="1" ht="12" customHeight="1">
      <c r="A1321" s="2224" t="s">
        <v>1894</v>
      </c>
      <c r="B1321" s="2223" t="s">
        <v>3945</v>
      </c>
      <c r="C1321" s="2223"/>
      <c r="D1321" s="2223"/>
      <c r="E1321" s="2223"/>
      <c r="F1321" s="2223"/>
      <c r="G1321" s="2223"/>
      <c r="H1321" s="2223"/>
      <c r="I1321" s="2223"/>
      <c r="J1321" s="2223"/>
      <c r="L1321" s="2252" t="s">
        <v>2699</v>
      </c>
      <c r="M1321" s="2055">
        <v>2</v>
      </c>
      <c r="N1321" s="2223" t="s">
        <v>4227</v>
      </c>
      <c r="P1321" s="2111" t="str">
        <f>'Part VIII-Threshold Criteria'!P81</f>
        <v>Agree</v>
      </c>
      <c r="Q1321" s="435"/>
    </row>
    <row r="1322" spans="1:31" s="1852" customFormat="1" ht="12" customHeight="1">
      <c r="A1322" s="2224"/>
      <c r="B1322" s="2223"/>
      <c r="C1322" s="2223"/>
      <c r="D1322" s="2223"/>
      <c r="E1322" s="2223"/>
      <c r="F1322" s="2223"/>
      <c r="G1322" s="2223"/>
      <c r="H1322" s="2223"/>
      <c r="I1322" s="2223"/>
      <c r="J1322" s="2223"/>
      <c r="L1322" s="2252" t="s">
        <v>3950</v>
      </c>
      <c r="M1322" s="2252">
        <v>4</v>
      </c>
      <c r="O1322" s="2223"/>
      <c r="P1322" s="2111"/>
      <c r="Q1322" s="435"/>
    </row>
    <row r="1323" spans="1:31" s="1852" customFormat="1" ht="12" customHeight="1">
      <c r="A1323" s="2224"/>
      <c r="D1323" s="2228"/>
      <c r="E1323" s="2228"/>
      <c r="F1323" s="2228"/>
      <c r="G1323" s="2228"/>
      <c r="H1323" s="2228"/>
      <c r="I1323" s="2228"/>
      <c r="J1323" s="2228"/>
      <c r="L1323" s="2228" t="s">
        <v>6414</v>
      </c>
      <c r="M1323" s="2252"/>
      <c r="O1323" s="2223"/>
      <c r="P1323" s="2253">
        <f>'Part VIII-Threshold Criteria'!P83</f>
        <v>2</v>
      </c>
      <c r="Q1323" s="2254"/>
    </row>
    <row r="1324" spans="1:31" s="1852" customFormat="1" ht="12" customHeight="1">
      <c r="A1324" s="2255" t="s">
        <v>1896</v>
      </c>
      <c r="B1324" s="2223" t="s">
        <v>3953</v>
      </c>
      <c r="C1324" s="2223"/>
      <c r="D1324" s="2223"/>
      <c r="E1324" s="2223"/>
      <c r="F1324" s="2223"/>
      <c r="G1324" s="2223"/>
      <c r="H1324" s="2223"/>
      <c r="I1324" s="2223"/>
      <c r="J1324" s="2223"/>
      <c r="K1324" s="2223"/>
      <c r="L1324" s="2223"/>
      <c r="N1324" s="2256"/>
      <c r="O1324" s="2256"/>
      <c r="P1324" s="2256"/>
    </row>
    <row r="1325" spans="1:31" s="1852" customFormat="1" ht="12.75" customHeight="1">
      <c r="A1325" s="2255"/>
      <c r="B1325" s="2228" t="s">
        <v>1658</v>
      </c>
      <c r="C1325" s="2223" t="s">
        <v>3957</v>
      </c>
      <c r="D1325" s="2223"/>
      <c r="E1325" s="2223"/>
      <c r="F1325" s="2223"/>
      <c r="G1325" s="2223"/>
      <c r="H1325" s="2223"/>
      <c r="I1325" s="2223"/>
      <c r="J1325" s="2223"/>
      <c r="K1325" s="2223"/>
      <c r="L1325" s="2223"/>
      <c r="N1325" s="2223" t="s">
        <v>4228</v>
      </c>
      <c r="O1325" s="2256"/>
      <c r="P1325" s="2230" t="str">
        <f>'Part VIII-Threshold Criteria'!P85</f>
        <v>N/ap</v>
      </c>
      <c r="Q1325" s="2164"/>
    </row>
    <row r="1326" spans="1:31" s="1852" customFormat="1" ht="12.75" customHeight="1">
      <c r="A1326" s="2255"/>
      <c r="B1326" s="2228" t="s">
        <v>1659</v>
      </c>
      <c r="C1326" s="2223" t="s">
        <v>3954</v>
      </c>
      <c r="D1326" s="2223"/>
      <c r="E1326" s="2223"/>
      <c r="F1326" s="2223"/>
      <c r="G1326" s="2223"/>
      <c r="H1326" s="2223"/>
      <c r="I1326" s="2223"/>
      <c r="J1326" s="2223"/>
      <c r="K1326" s="2223"/>
      <c r="L1326" s="2223"/>
      <c r="N1326" s="2223" t="s">
        <v>4229</v>
      </c>
      <c r="O1326" s="2256"/>
      <c r="P1326" s="2230" t="str">
        <f>'Part VIII-Threshold Criteria'!P86</f>
        <v>Disagree</v>
      </c>
      <c r="Q1326" s="2164"/>
    </row>
    <row r="1327" spans="1:31" s="1852" customFormat="1" ht="12.75" customHeight="1">
      <c r="A1327" s="2224"/>
      <c r="B1327" s="2228" t="s">
        <v>1660</v>
      </c>
      <c r="C1327" s="2223" t="s">
        <v>3955</v>
      </c>
      <c r="E1327" s="2223"/>
      <c r="F1327" s="2223"/>
      <c r="G1327" s="2223"/>
      <c r="H1327" s="2223"/>
      <c r="I1327" s="2223"/>
      <c r="J1327" s="2223"/>
      <c r="K1327" s="2223"/>
      <c r="L1327" s="2223"/>
      <c r="M1327" s="2256"/>
      <c r="N1327" s="2223" t="s">
        <v>4230</v>
      </c>
      <c r="O1327" s="2256"/>
      <c r="P1327" s="2230" t="str">
        <f>'Part VIII-Threshold Criteria'!P87</f>
        <v>Disagree</v>
      </c>
      <c r="Q1327" s="2164"/>
    </row>
    <row r="1328" spans="1:31" s="1852" customFormat="1" ht="12.75" customHeight="1">
      <c r="A1328" s="2257"/>
      <c r="B1328" s="2228" t="s">
        <v>2261</v>
      </c>
      <c r="C1328" s="2228" t="s">
        <v>3958</v>
      </c>
      <c r="D1328" s="435"/>
      <c r="E1328" s="435"/>
      <c r="F1328" s="435"/>
      <c r="G1328" s="435"/>
      <c r="H1328" s="435"/>
      <c r="I1328" s="1818"/>
      <c r="J1328" s="1818"/>
      <c r="N1328" s="2223" t="s">
        <v>4231</v>
      </c>
      <c r="O1328" s="2256"/>
      <c r="P1328" s="2230" t="str">
        <f>'Part VIII-Threshold Criteria'!P88</f>
        <v>N/Ap</v>
      </c>
      <c r="Q1328" s="2164"/>
    </row>
    <row r="1329" spans="1:31" s="1852" customFormat="1" ht="12.75" customHeight="1">
      <c r="A1329" s="2257"/>
      <c r="B1329" s="2228"/>
      <c r="C1329" s="2223" t="s">
        <v>3959</v>
      </c>
      <c r="D1329" s="435"/>
      <c r="E1329" s="435"/>
      <c r="F1329" s="435"/>
      <c r="G1329" s="435"/>
      <c r="H1329" s="435"/>
      <c r="I1329" s="1818"/>
      <c r="J1329" s="1818"/>
      <c r="L1329" s="2111">
        <f>'Part VIII-Threshold Criteria'!L89</f>
        <v>0</v>
      </c>
      <c r="M1329" s="2111"/>
      <c r="N1329" s="2111"/>
      <c r="O1329" s="2111"/>
      <c r="P1329" s="2111"/>
      <c r="Q1329" s="2111"/>
    </row>
    <row r="1330" spans="1:31" s="1852" customFormat="1" ht="12.75" customHeight="1">
      <c r="A1330" s="2257"/>
      <c r="B1330" s="2228" t="s">
        <v>1487</v>
      </c>
      <c r="C1330" s="2223" t="s">
        <v>3956</v>
      </c>
      <c r="D1330" s="2223"/>
      <c r="E1330" s="2223"/>
      <c r="F1330" s="2223"/>
      <c r="G1330" s="2223"/>
      <c r="H1330" s="2223"/>
      <c r="I1330" s="2223"/>
      <c r="J1330" s="2223"/>
      <c r="K1330" s="2223"/>
      <c r="L1330" s="2223"/>
      <c r="M1330" s="2112"/>
      <c r="N1330" s="2223" t="s">
        <v>4232</v>
      </c>
      <c r="O1330" s="2256"/>
      <c r="P1330" s="2230" t="str">
        <f>'Part VIII-Threshold Criteria'!P90</f>
        <v>Agree</v>
      </c>
      <c r="Q1330" s="2164"/>
    </row>
    <row r="1331" spans="1:31" s="1852" customFormat="1" ht="12.75" customHeight="1">
      <c r="A1331" s="2255"/>
      <c r="C1331" s="2223"/>
      <c r="D1331" s="2223"/>
      <c r="E1331" s="2223"/>
      <c r="F1331" s="2223"/>
      <c r="G1331" s="2223"/>
      <c r="H1331" s="2223"/>
      <c r="I1331" s="2223"/>
      <c r="J1331" s="2223"/>
      <c r="K1331" s="2223"/>
      <c r="L1331" s="2223"/>
      <c r="M1331" s="2112"/>
    </row>
    <row r="1332" spans="1:31" s="1852" customFormat="1" ht="10.5" customHeight="1">
      <c r="B1332" s="2170" t="s">
        <v>3373</v>
      </c>
      <c r="D1332" s="2170"/>
      <c r="E1332" s="2170"/>
      <c r="F1332" s="2170"/>
      <c r="G1332" s="2170"/>
      <c r="H1332" s="2121"/>
      <c r="I1332" s="2164"/>
      <c r="J1332" s="2164"/>
      <c r="K1332" s="2227" t="s">
        <v>1781</v>
      </c>
      <c r="L1332" s="2117"/>
      <c r="M1332" s="2117"/>
      <c r="N1332" s="2117"/>
      <c r="O1332" s="2117"/>
      <c r="P1332" s="2117"/>
      <c r="Q1332" s="2117"/>
    </row>
    <row r="1333" spans="1:31" s="1852" customFormat="1" ht="10.5" customHeight="1">
      <c r="A1333" s="2226" t="str">
        <f>'Part VIII-Threshold Criteria'!A93</f>
        <v>The managing agent will provide on-site social/recreational programs and on-site enrichment classes on a monthly basis.  All activities to be overseen by the property manager. The applicant agrees to provide the minimum 2 services as stated above on item A. Items B.2-3 above are marked "disagree" as the applicant does not intend to hire a full or part-time activities manager or temporary staffing; additionally, the development is not for rehabilitation of existing congregate supportive housing thus a MOA has not been included.</v>
      </c>
      <c r="B1333" s="2226"/>
      <c r="C1333" s="2226"/>
      <c r="D1333" s="2226"/>
      <c r="E1333" s="2226"/>
      <c r="F1333" s="2226"/>
      <c r="G1333" s="2226"/>
      <c r="H1333" s="2226"/>
      <c r="I1333" s="2226"/>
      <c r="J1333" s="2226"/>
      <c r="K1333" s="2223"/>
      <c r="L1333" s="2223"/>
      <c r="M1333" s="2223"/>
      <c r="N1333" s="2223"/>
      <c r="O1333" s="2223"/>
      <c r="P1333" s="2223"/>
      <c r="Q1333" s="2223"/>
      <c r="R1333" s="1855" t="s">
        <v>1208</v>
      </c>
      <c r="U1333" s="1719"/>
      <c r="V1333" s="1719"/>
      <c r="W1333" s="1719"/>
      <c r="X1333" s="1719"/>
      <c r="Y1333" s="1719"/>
      <c r="Z1333" s="1719"/>
      <c r="AA1333" s="1719"/>
      <c r="AB1333" s="1719"/>
      <c r="AC1333" s="1719"/>
      <c r="AD1333" s="1719"/>
      <c r="AE1333" s="1719"/>
    </row>
    <row r="1334" spans="1:31" s="1852" customFormat="1" ht="3" customHeight="1">
      <c r="A1334" s="2117"/>
      <c r="B1334" s="2164"/>
      <c r="C1334" s="2228"/>
      <c r="D1334" s="2228"/>
      <c r="E1334" s="2228"/>
      <c r="F1334" s="2228"/>
      <c r="G1334" s="2228"/>
      <c r="H1334" s="2228"/>
      <c r="I1334" s="2228"/>
      <c r="J1334" s="2228"/>
      <c r="K1334" s="2228"/>
      <c r="L1334" s="2228"/>
      <c r="M1334" s="2228"/>
      <c r="N1334" s="2228"/>
      <c r="O1334" s="2228"/>
      <c r="P1334" s="2228"/>
      <c r="Q1334" s="2117"/>
    </row>
    <row r="1335" spans="1:31" s="1852" customFormat="1" ht="14.1" customHeight="1">
      <c r="A1335" s="2105" t="s">
        <v>1713</v>
      </c>
      <c r="B1335" s="2105" t="s">
        <v>4223</v>
      </c>
      <c r="C1335" s="2105"/>
      <c r="D1335" s="2228"/>
      <c r="E1335" s="2228"/>
      <c r="F1335" s="2228"/>
      <c r="G1335" s="2228"/>
      <c r="H1335" s="2164" t="str">
        <f>'Part I-Project Information'!$K$41</f>
        <v>Rural</v>
      </c>
      <c r="J1335" s="2255" t="s">
        <v>4226</v>
      </c>
      <c r="K1335" s="435" t="str">
        <f>'Part I-Project Information'!$H$105</f>
        <v>Rural</v>
      </c>
      <c r="L1335" s="2255" t="s">
        <v>3988</v>
      </c>
      <c r="M1335" s="2121" t="str">
        <f>'Part I-Project Information'!$H$77</f>
        <v>Family</v>
      </c>
      <c r="O1335" s="2224" t="s">
        <v>1782</v>
      </c>
      <c r="P1335" s="1719"/>
      <c r="Q1335" s="1719"/>
    </row>
    <row r="1336" spans="1:31" s="1852" customFormat="1" ht="3" customHeight="1"/>
    <row r="1337" spans="1:31" s="1852" customFormat="1" ht="12.75" customHeight="1">
      <c r="A1337" s="2255" t="s">
        <v>1894</v>
      </c>
      <c r="B1337" s="435" t="s">
        <v>2349</v>
      </c>
      <c r="D1337" s="435"/>
      <c r="E1337" s="435"/>
      <c r="F1337" s="435"/>
      <c r="G1337" s="435"/>
      <c r="H1337" s="435"/>
      <c r="I1337" s="1818"/>
      <c r="J1337" s="1818"/>
      <c r="K1337" s="1818"/>
      <c r="L1337" s="2255" t="s">
        <v>1894</v>
      </c>
      <c r="M1337" s="2111" t="str">
        <f>'Part VIII-Threshold Criteria'!M97</f>
        <v>John Wall and Associates</v>
      </c>
      <c r="N1337" s="2111"/>
      <c r="O1337" s="2111"/>
      <c r="P1337" s="1976"/>
      <c r="Q1337" s="2164"/>
    </row>
    <row r="1338" spans="1:31" s="1852" customFormat="1" ht="12.75" customHeight="1">
      <c r="A1338" s="2255" t="s">
        <v>1896</v>
      </c>
      <c r="B1338" s="435" t="s">
        <v>4149</v>
      </c>
      <c r="D1338" s="435"/>
      <c r="E1338" s="435"/>
      <c r="F1338" s="435"/>
      <c r="L1338" s="2255" t="s">
        <v>1896</v>
      </c>
      <c r="M1338" s="2111" t="str">
        <f>'Part VIII-Threshold Criteria'!M98</f>
        <v>4 months</v>
      </c>
      <c r="N1338" s="2111"/>
      <c r="O1338" s="2111"/>
      <c r="P1338" s="1976"/>
      <c r="Q1338" s="2164"/>
    </row>
    <row r="1339" spans="1:31" s="1852" customFormat="1" ht="12.75" customHeight="1">
      <c r="A1339" s="2255" t="s">
        <v>719</v>
      </c>
      <c r="B1339" s="435" t="s">
        <v>2672</v>
      </c>
      <c r="D1339" s="435"/>
      <c r="E1339" s="435"/>
      <c r="F1339" s="435"/>
      <c r="L1339" s="2255" t="s">
        <v>719</v>
      </c>
      <c r="M1339" s="2258">
        <f>'Part VIII-Threshold Criteria'!M99</f>
        <v>0.97899999999999998</v>
      </c>
      <c r="N1339" s="2258"/>
      <c r="O1339" s="2258"/>
      <c r="P1339" s="2259"/>
      <c r="Q1339" s="2164"/>
    </row>
    <row r="1340" spans="1:31" s="1852" customFormat="1" ht="12.75" customHeight="1">
      <c r="A1340" s="2255" t="s">
        <v>2022</v>
      </c>
      <c r="B1340" s="435" t="s">
        <v>3445</v>
      </c>
      <c r="D1340" s="435"/>
      <c r="E1340" s="435"/>
      <c r="F1340" s="435"/>
      <c r="J1340" s="2255" t="s">
        <v>3446</v>
      </c>
      <c r="K1340" s="2260">
        <f>'Part VIII-Threshold Criteria'!K100</f>
        <v>3.5999999999999997E-2</v>
      </c>
      <c r="L1340" s="2261"/>
      <c r="N1340" s="2262"/>
      <c r="O1340" s="2263" t="s">
        <v>3542</v>
      </c>
      <c r="P1340" s="2260">
        <f>'Part VIII-Threshold Criteria'!P100</f>
        <v>3.5999999999999997E-2</v>
      </c>
      <c r="Q1340" s="2261"/>
    </row>
    <row r="1341" spans="1:31" s="1852" customFormat="1" ht="12.75" customHeight="1">
      <c r="A1341" s="2255" t="s">
        <v>1656</v>
      </c>
      <c r="B1341" s="435" t="s">
        <v>4150</v>
      </c>
      <c r="D1341" s="2223"/>
      <c r="E1341" s="2223"/>
      <c r="F1341" s="2223"/>
      <c r="G1341" s="2223"/>
      <c r="H1341" s="2223"/>
      <c r="I1341" s="2223"/>
      <c r="J1341" s="2223"/>
      <c r="K1341" s="2223"/>
      <c r="L1341" s="2223"/>
      <c r="M1341" s="2223"/>
      <c r="N1341" s="2223"/>
      <c r="O1341" s="2223"/>
      <c r="P1341" s="2223"/>
      <c r="Q1341" s="2223"/>
    </row>
    <row r="1342" spans="1:31" s="1852" customFormat="1" ht="12.75" customHeight="1">
      <c r="B1342" s="2255"/>
      <c r="C1342" s="435"/>
      <c r="D1342" s="2164" t="s">
        <v>2273</v>
      </c>
      <c r="E1342" s="2121" t="s">
        <v>587</v>
      </c>
      <c r="F1342" s="2121"/>
      <c r="H1342" s="435"/>
      <c r="I1342" s="2164" t="s">
        <v>2273</v>
      </c>
      <c r="J1342" s="2121" t="s">
        <v>587</v>
      </c>
      <c r="K1342" s="2121"/>
      <c r="M1342" s="435"/>
      <c r="N1342" s="2164" t="s">
        <v>2273</v>
      </c>
      <c r="O1342" s="2121" t="s">
        <v>587</v>
      </c>
      <c r="P1342" s="2121"/>
      <c r="Q1342" s="2255"/>
    </row>
    <row r="1343" spans="1:31" s="1852" customFormat="1" ht="12.75" customHeight="1">
      <c r="C1343" s="2255" t="s">
        <v>1658</v>
      </c>
      <c r="D1343" s="2230" t="str">
        <f>'Part VIII-Threshold Criteria'!D103</f>
        <v>2010-070</v>
      </c>
      <c r="E1343" s="2111" t="str">
        <f>'Part VIII-Threshold Criteria'!E103</f>
        <v>Goshen Crossing</v>
      </c>
      <c r="F1343" s="2111"/>
      <c r="G1343" s="2111"/>
      <c r="H1343" s="2255" t="s">
        <v>1660</v>
      </c>
      <c r="I1343" s="2230" t="str">
        <f>'Part VIII-Threshold Criteria'!I103</f>
        <v>2017-044</v>
      </c>
      <c r="J1343" s="2111" t="str">
        <f>'Part VIII-Threshold Criteria'!J103</f>
        <v>Towne Park Commons</v>
      </c>
      <c r="K1343" s="2111"/>
      <c r="L1343" s="2111"/>
      <c r="M1343" s="2255" t="s">
        <v>1487</v>
      </c>
      <c r="N1343" s="2230" t="str">
        <f>'Part VIII-Threshold Criteria'!N103</f>
        <v>2017-013</v>
      </c>
      <c r="O1343" s="2111" t="str">
        <f>'Part VIII-Threshold Criteria'!O103</f>
        <v>Wood Meadow</v>
      </c>
      <c r="P1343" s="2111"/>
      <c r="Q1343" s="2111"/>
    </row>
    <row r="1344" spans="1:31" s="1852" customFormat="1" ht="12.75" customHeight="1">
      <c r="C1344" s="2255" t="s">
        <v>1659</v>
      </c>
      <c r="D1344" s="2230" t="str">
        <f>'Part VIII-Threshold Criteria'!D104</f>
        <v>2012-035</v>
      </c>
      <c r="E1344" s="2111" t="str">
        <f>'Part VIII-Threshold Criteria'!E104</f>
        <v>Goshen Crossing II</v>
      </c>
      <c r="F1344" s="2111"/>
      <c r="G1344" s="2111"/>
      <c r="H1344" s="2255" t="s">
        <v>2261</v>
      </c>
      <c r="I1344" s="2230" t="str">
        <f>'Part VIII-Threshold Criteria'!I104</f>
        <v>2003-035</v>
      </c>
      <c r="J1344" s="2111" t="str">
        <f>'Part VIII-Threshold Criteria'!J104</f>
        <v>Veranda Village</v>
      </c>
      <c r="K1344" s="2111"/>
      <c r="L1344" s="2111"/>
      <c r="M1344" s="2255" t="s">
        <v>1488</v>
      </c>
      <c r="N1344" s="2230" t="str">
        <f>'Part VIII-Threshold Criteria'!N104</f>
        <v>1994-003</v>
      </c>
      <c r="O1344" s="2111" t="str">
        <f>'Part VIII-Threshold Criteria'!O104</f>
        <v>Fair Oaks Lane</v>
      </c>
      <c r="P1344" s="2111"/>
      <c r="Q1344" s="2111"/>
    </row>
    <row r="1345" spans="1:31" s="1852" customFormat="1" ht="12.75" customHeight="1">
      <c r="A1345" s="2255" t="s">
        <v>1657</v>
      </c>
      <c r="B1345" s="435" t="s">
        <v>6328</v>
      </c>
      <c r="D1345" s="435"/>
      <c r="E1345" s="435"/>
      <c r="F1345" s="435"/>
      <c r="G1345" s="435"/>
      <c r="H1345" s="435"/>
      <c r="I1345" s="1818"/>
      <c r="J1345" s="1818"/>
      <c r="K1345" s="435"/>
      <c r="L1345" s="2121"/>
      <c r="M1345" s="2121"/>
      <c r="O1345" s="2255" t="s">
        <v>1657</v>
      </c>
      <c r="P1345" s="2230" t="str">
        <f>'Part VIII-Threshold Criteria'!P105</f>
        <v>Yes</v>
      </c>
      <c r="Q1345" s="2164"/>
    </row>
    <row r="1346" spans="1:31" s="1852" customFormat="1" ht="12.75" customHeight="1">
      <c r="A1346" s="2255" t="s">
        <v>1859</v>
      </c>
      <c r="B1346" s="435" t="s">
        <v>6330</v>
      </c>
      <c r="D1346" s="435"/>
      <c r="E1346" s="435"/>
      <c r="F1346" s="435"/>
      <c r="G1346" s="435"/>
      <c r="H1346" s="435"/>
      <c r="I1346" s="1818"/>
      <c r="J1346" s="1818"/>
      <c r="K1346" s="435"/>
      <c r="L1346" s="2121"/>
      <c r="M1346" s="2121"/>
      <c r="O1346" s="2255" t="s">
        <v>1859</v>
      </c>
      <c r="P1346" s="2230" t="str">
        <f>'Part VIII-Threshold Criteria'!P106</f>
        <v>Yes</v>
      </c>
      <c r="Q1346" s="2164"/>
    </row>
    <row r="1347" spans="1:31" s="1852" customFormat="1" ht="10.5" customHeight="1">
      <c r="A1347" s="2255" t="s">
        <v>3125</v>
      </c>
      <c r="B1347" s="435" t="s">
        <v>6332</v>
      </c>
      <c r="D1347" s="435"/>
      <c r="E1347" s="435"/>
      <c r="F1347" s="435"/>
      <c r="G1347" s="435"/>
      <c r="H1347" s="435"/>
      <c r="I1347" s="1818"/>
      <c r="J1347" s="1818"/>
      <c r="K1347" s="435"/>
      <c r="L1347" s="2121"/>
      <c r="M1347" s="2121"/>
      <c r="O1347" s="2255" t="s">
        <v>3125</v>
      </c>
      <c r="P1347" s="2260">
        <f>'Part VIII-Threshold Criteria'!P107</f>
        <v>0.93</v>
      </c>
      <c r="Q1347" s="2261"/>
    </row>
    <row r="1348" spans="1:31" s="2158" customFormat="1" ht="60" customHeight="1">
      <c r="A1348" s="2224" t="s">
        <v>586</v>
      </c>
      <c r="B1348" s="2223" t="s">
        <v>7071</v>
      </c>
      <c r="C1348" s="2223"/>
      <c r="D1348" s="2223"/>
      <c r="E1348" s="2223"/>
      <c r="F1348" s="2223"/>
      <c r="G1348" s="2223"/>
      <c r="H1348" s="2223"/>
      <c r="I1348" s="2223"/>
      <c r="J1348" s="2223"/>
      <c r="K1348" s="2223"/>
      <c r="L1348" s="2223"/>
      <c r="M1348" s="2223"/>
      <c r="N1348" s="2223"/>
      <c r="O1348" s="2224" t="s">
        <v>6331</v>
      </c>
      <c r="P1348" s="2264" t="str">
        <f>'Part VIII-Threshold Criteria'!P108</f>
        <v>Yes</v>
      </c>
      <c r="Q1348" s="2252"/>
    </row>
    <row r="1349" spans="1:31" s="1818" customFormat="1" ht="12.75" customHeight="1">
      <c r="A1349" s="2255"/>
      <c r="B1349" s="2228" t="s">
        <v>1659</v>
      </c>
      <c r="C1349" s="435" t="s">
        <v>4279</v>
      </c>
      <c r="D1349" s="435"/>
      <c r="E1349" s="435"/>
      <c r="F1349" s="435"/>
      <c r="G1349" s="435"/>
      <c r="H1349" s="435"/>
      <c r="K1349" s="435"/>
      <c r="L1349" s="2121"/>
      <c r="M1349" s="2121"/>
      <c r="O1349" s="2255" t="s">
        <v>1659</v>
      </c>
      <c r="P1349" s="2230" t="str">
        <f>'Part VIII-Threshold Criteria'!P109</f>
        <v>No</v>
      </c>
      <c r="Q1349" s="2164"/>
    </row>
    <row r="1350" spans="1:31" s="1852" customFormat="1" ht="9.75" customHeight="1">
      <c r="B1350" s="2170" t="s">
        <v>3373</v>
      </c>
      <c r="D1350" s="2170"/>
      <c r="E1350" s="2170"/>
      <c r="F1350" s="2170"/>
      <c r="G1350" s="2170"/>
      <c r="H1350" s="2121"/>
      <c r="I1350" s="2164"/>
      <c r="J1350" s="2164"/>
      <c r="K1350" s="2164"/>
      <c r="L1350" s="2117"/>
      <c r="M1350" s="2117"/>
      <c r="N1350" s="2117"/>
      <c r="O1350" s="2117"/>
      <c r="P1350" s="2117"/>
      <c r="Q1350" s="2117"/>
    </row>
    <row r="1351" spans="1:31" s="1852" customFormat="1" ht="33" customHeight="1">
      <c r="A1351" s="2226" t="str">
        <f>'Part VIII-Threshold Criteria'!A111</f>
        <v xml:space="preserve">Per the market study, the site is suitable for the development and the neighborhood is compatible with the development proposal. The population and household growth in the market area is significant and the calculated demand for the development is strong. The capture rates are low (3.6%). The total vacancy rates among the most comparable developments are all 0.0%. The average LIHTC vacancy rate is 0.0%. It is noted that the proposal would have no long term impact on the only existing LIHTC development in the primary market area. The gross rents are well below maximum allowable levels and the local economy seems to be growing. The development, as proposed, should be successful. </v>
      </c>
      <c r="B1351" s="2226"/>
      <c r="C1351" s="2226"/>
      <c r="D1351" s="2226"/>
      <c r="E1351" s="2226"/>
      <c r="F1351" s="2226"/>
      <c r="G1351" s="2226"/>
      <c r="H1351" s="2226"/>
      <c r="I1351" s="2226"/>
      <c r="J1351" s="2226"/>
      <c r="K1351" s="2226"/>
      <c r="L1351" s="2226"/>
      <c r="M1351" s="2226"/>
      <c r="N1351" s="2226"/>
      <c r="O1351" s="2226"/>
      <c r="P1351" s="2226"/>
      <c r="Q1351" s="2226"/>
      <c r="U1351" s="1719"/>
      <c r="V1351" s="1719"/>
      <c r="W1351" s="1719"/>
      <c r="X1351" s="1719"/>
      <c r="Y1351" s="1719"/>
      <c r="Z1351" s="1719"/>
      <c r="AA1351" s="1719"/>
      <c r="AB1351" s="1719"/>
      <c r="AC1351" s="1719"/>
      <c r="AD1351" s="1719"/>
      <c r="AE1351" s="1719"/>
    </row>
    <row r="1352" spans="1:31" s="1852" customFormat="1" ht="9.75" customHeight="1">
      <c r="B1352" s="2227" t="s">
        <v>1781</v>
      </c>
      <c r="C1352" s="2227"/>
      <c r="D1352" s="2228"/>
      <c r="E1352" s="2228"/>
      <c r="F1352" s="2228"/>
      <c r="G1352" s="2228"/>
      <c r="H1352" s="2228"/>
      <c r="I1352" s="2228"/>
      <c r="J1352" s="2228"/>
      <c r="K1352" s="2228"/>
      <c r="L1352" s="2228"/>
      <c r="M1352" s="2228"/>
      <c r="N1352" s="2228"/>
      <c r="O1352" s="2228"/>
      <c r="P1352" s="2228"/>
      <c r="Q1352" s="2228"/>
    </row>
    <row r="1353" spans="1:31" s="1852" customFormat="1" ht="33" customHeight="1">
      <c r="A1353" s="2223"/>
      <c r="B1353" s="2223"/>
      <c r="C1353" s="2223"/>
      <c r="D1353" s="2223"/>
      <c r="E1353" s="2223"/>
      <c r="F1353" s="2223"/>
      <c r="G1353" s="2223"/>
      <c r="H1353" s="2223"/>
      <c r="I1353" s="2223"/>
      <c r="J1353" s="2223"/>
      <c r="K1353" s="2223"/>
      <c r="L1353" s="2223"/>
      <c r="M1353" s="2223"/>
      <c r="N1353" s="2223"/>
      <c r="O1353" s="2223"/>
      <c r="P1353" s="2223"/>
      <c r="Q1353" s="2223"/>
    </row>
    <row r="1354" spans="1:31" s="1852" customFormat="1" ht="14.1" customHeight="1">
      <c r="A1354" s="2105" t="s">
        <v>505</v>
      </c>
      <c r="B1354" s="2105" t="s">
        <v>2513</v>
      </c>
      <c r="C1354" s="2105"/>
      <c r="D1354" s="2228"/>
      <c r="E1354" s="2228"/>
      <c r="F1354" s="2228"/>
      <c r="G1354" s="2228"/>
      <c r="H1354" s="2228"/>
      <c r="I1354" s="2228"/>
      <c r="J1354" s="2228"/>
      <c r="K1354" s="2228"/>
      <c r="L1354" s="2228"/>
      <c r="M1354" s="2228"/>
      <c r="O1354" s="2224" t="s">
        <v>1782</v>
      </c>
      <c r="P1354" s="1719"/>
      <c r="Q1354" s="1719"/>
    </row>
    <row r="1355" spans="1:31" s="1852" customFormat="1" ht="3" customHeight="1"/>
    <row r="1356" spans="1:31" s="1852" customFormat="1" ht="12.75" customHeight="1">
      <c r="A1356" s="2255" t="s">
        <v>1894</v>
      </c>
      <c r="B1356" s="435" t="s">
        <v>4233</v>
      </c>
      <c r="C1356" s="435"/>
      <c r="E1356" s="435"/>
      <c r="F1356" s="435"/>
      <c r="G1356" s="435"/>
      <c r="H1356" s="435"/>
      <c r="I1356" s="435"/>
      <c r="J1356" s="435"/>
      <c r="K1356" s="435"/>
      <c r="L1356" s="2121"/>
      <c r="M1356" s="2121"/>
      <c r="O1356" s="2255" t="s">
        <v>1894</v>
      </c>
      <c r="P1356" s="2230" t="str">
        <f>'Part VIII-Threshold Criteria'!P116</f>
        <v>No</v>
      </c>
      <c r="Q1356" s="2164"/>
    </row>
    <row r="1357" spans="1:31" s="1852" customFormat="1" ht="12.75" customHeight="1">
      <c r="B1357" s="2228" t="s">
        <v>1658</v>
      </c>
      <c r="C1357" s="435" t="s">
        <v>527</v>
      </c>
      <c r="E1357" s="1818"/>
      <c r="F1357" s="1818"/>
      <c r="G1357" s="1818"/>
      <c r="H1357" s="1818"/>
      <c r="I1357" s="1818"/>
      <c r="L1357" s="2255" t="s">
        <v>528</v>
      </c>
      <c r="M1357" s="2111">
        <f>'Part VIII-Threshold Criteria'!M117</f>
        <v>0</v>
      </c>
      <c r="N1357" s="2111"/>
      <c r="O1357" s="2111"/>
      <c r="P1357" s="1976"/>
      <c r="Q1357" s="2164"/>
    </row>
    <row r="1358" spans="1:31" s="1818" customFormat="1" ht="12.75" customHeight="1">
      <c r="B1358" s="2121" t="s">
        <v>1659</v>
      </c>
      <c r="C1358" s="435" t="s">
        <v>4014</v>
      </c>
      <c r="O1358" s="2255" t="s">
        <v>1659</v>
      </c>
      <c r="P1358" s="2230">
        <f>'Part VIII-Threshold Criteria'!P118</f>
        <v>0</v>
      </c>
      <c r="Q1358" s="2164"/>
    </row>
    <row r="1359" spans="1:31" s="1818" customFormat="1" ht="12.75" customHeight="1">
      <c r="B1359" s="2228" t="s">
        <v>1660</v>
      </c>
      <c r="C1359" s="435" t="s">
        <v>4260</v>
      </c>
      <c r="O1359" s="2224" t="s">
        <v>1660</v>
      </c>
      <c r="P1359" s="2265">
        <f>'Part VIII-Threshold Criteria'!P119</f>
        <v>0</v>
      </c>
      <c r="Q1359" s="2266"/>
    </row>
    <row r="1360" spans="1:31" s="1852" customFormat="1" ht="12.75" customHeight="1">
      <c r="A1360" s="2164"/>
      <c r="B1360" s="2228" t="s">
        <v>2261</v>
      </c>
      <c r="C1360" s="2121" t="s">
        <v>3960</v>
      </c>
      <c r="D1360" s="2105"/>
      <c r="E1360" s="2105"/>
      <c r="F1360" s="2105"/>
      <c r="G1360" s="2105"/>
      <c r="H1360" s="2105"/>
      <c r="I1360" s="2105"/>
      <c r="J1360" s="2105"/>
      <c r="K1360" s="2105"/>
      <c r="L1360" s="2105"/>
      <c r="M1360" s="2105"/>
      <c r="O1360" s="2224" t="s">
        <v>2261</v>
      </c>
      <c r="P1360" s="2230">
        <f>'Part VIII-Threshold Criteria'!P120</f>
        <v>0</v>
      </c>
      <c r="Q1360" s="2164"/>
    </row>
    <row r="1361" spans="1:31" s="1852" customFormat="1" ht="12.75" customHeight="1">
      <c r="A1361" s="2164"/>
      <c r="B1361" s="2228" t="s">
        <v>1487</v>
      </c>
      <c r="C1361" s="2121" t="s">
        <v>3200</v>
      </c>
      <c r="D1361" s="2105"/>
      <c r="E1361" s="2105"/>
      <c r="F1361" s="2105"/>
      <c r="G1361" s="2105"/>
      <c r="H1361" s="2105"/>
      <c r="I1361" s="2105"/>
      <c r="J1361" s="2105"/>
      <c r="K1361" s="2105"/>
      <c r="L1361" s="2105"/>
      <c r="M1361" s="2105"/>
      <c r="O1361" s="2224" t="s">
        <v>1487</v>
      </c>
      <c r="P1361" s="2230">
        <f>'Part VIII-Threshold Criteria'!P121</f>
        <v>0</v>
      </c>
      <c r="Q1361" s="2164"/>
    </row>
    <row r="1362" spans="1:31" s="1852" customFormat="1" ht="12.75" customHeight="1">
      <c r="A1362" s="2164"/>
      <c r="B1362" s="2228" t="s">
        <v>1488</v>
      </c>
      <c r="C1362" s="2121" t="s">
        <v>3201</v>
      </c>
      <c r="D1362" s="2105"/>
      <c r="E1362" s="2105"/>
      <c r="F1362" s="2105"/>
      <c r="G1362" s="2105"/>
      <c r="H1362" s="2105"/>
      <c r="I1362" s="2105"/>
      <c r="J1362" s="2105"/>
      <c r="K1362" s="2105"/>
      <c r="L1362" s="2105"/>
      <c r="M1362" s="2105"/>
      <c r="O1362" s="2224" t="s">
        <v>1488</v>
      </c>
      <c r="P1362" s="2230">
        <f>'Part VIII-Threshold Criteria'!P122</f>
        <v>0</v>
      </c>
      <c r="Q1362" s="2164"/>
    </row>
    <row r="1363" spans="1:31" s="1852" customFormat="1" ht="12.75" customHeight="1">
      <c r="A1363" s="2164"/>
      <c r="B1363" s="2228" t="s">
        <v>92</v>
      </c>
      <c r="C1363" s="2121" t="s">
        <v>2673</v>
      </c>
      <c r="D1363" s="2121"/>
      <c r="E1363" s="2121"/>
      <c r="F1363" s="2121"/>
      <c r="G1363" s="2121"/>
      <c r="H1363" s="2121"/>
      <c r="I1363" s="2121"/>
      <c r="J1363" s="2121"/>
      <c r="K1363" s="2121"/>
      <c r="L1363" s="2121"/>
      <c r="M1363" s="2123"/>
      <c r="O1363" s="2224" t="s">
        <v>92</v>
      </c>
      <c r="P1363" s="2230">
        <f>'Part VIII-Threshold Criteria'!P123</f>
        <v>0</v>
      </c>
      <c r="Q1363" s="2164"/>
    </row>
    <row r="1364" spans="1:31" s="2158" customFormat="1" ht="23.25" customHeight="1">
      <c r="A1364" s="2252"/>
      <c r="B1364" s="2228" t="s">
        <v>489</v>
      </c>
      <c r="C1364" s="2223" t="s">
        <v>4152</v>
      </c>
      <c r="D1364" s="2223"/>
      <c r="E1364" s="2223"/>
      <c r="F1364" s="2223"/>
      <c r="G1364" s="2223"/>
      <c r="H1364" s="2223"/>
      <c r="I1364" s="2223"/>
      <c r="J1364" s="2223"/>
      <c r="K1364" s="2223"/>
      <c r="L1364" s="2223"/>
      <c r="M1364" s="2223"/>
      <c r="N1364" s="2223"/>
      <c r="O1364" s="2224" t="s">
        <v>489</v>
      </c>
      <c r="P1364" s="2230">
        <f>'Part VIII-Threshold Criteria'!P124</f>
        <v>0</v>
      </c>
      <c r="Q1364" s="2252"/>
    </row>
    <row r="1365" spans="1:31" s="1852" customFormat="1" ht="12.75" customHeight="1">
      <c r="A1365" s="2255" t="s">
        <v>1896</v>
      </c>
      <c r="B1365" s="435" t="s">
        <v>4151</v>
      </c>
      <c r="C1365" s="435"/>
      <c r="E1365" s="435"/>
      <c r="F1365" s="435"/>
      <c r="G1365" s="435"/>
      <c r="H1365" s="435"/>
      <c r="I1365" s="435"/>
      <c r="J1365" s="435"/>
      <c r="K1365" s="435"/>
      <c r="L1365" s="435"/>
      <c r="M1365" s="435"/>
      <c r="O1365" s="2255" t="s">
        <v>1896</v>
      </c>
      <c r="P1365" s="2230" t="str">
        <f>'Part VIII-Threshold Criteria'!P125</f>
        <v>No</v>
      </c>
      <c r="Q1365" s="2164"/>
    </row>
    <row r="1366" spans="1:31" s="1852" customFormat="1" ht="12.75" customHeight="1">
      <c r="B1366" s="2228" t="s">
        <v>1658</v>
      </c>
      <c r="C1366" s="435" t="s">
        <v>4282</v>
      </c>
      <c r="D1366" s="435"/>
      <c r="E1366" s="435"/>
      <c r="F1366" s="435"/>
      <c r="G1366" s="435"/>
      <c r="H1366" s="435"/>
      <c r="I1366" s="435"/>
      <c r="J1366" s="435"/>
      <c r="K1366" s="435"/>
      <c r="L1366" s="435"/>
      <c r="M1366" s="435"/>
      <c r="O1366" s="2224" t="s">
        <v>1658</v>
      </c>
      <c r="P1366" s="2230">
        <f>'Part VIII-Threshold Criteria'!P126</f>
        <v>0</v>
      </c>
      <c r="Q1366" s="2164"/>
    </row>
    <row r="1367" spans="1:31" s="1852" customFormat="1" ht="12.75" customHeight="1">
      <c r="A1367" s="2255"/>
      <c r="B1367" s="2121" t="s">
        <v>1659</v>
      </c>
      <c r="C1367" s="435" t="s">
        <v>4281</v>
      </c>
      <c r="D1367" s="435"/>
      <c r="E1367" s="435"/>
      <c r="F1367" s="435"/>
      <c r="G1367" s="435"/>
      <c r="H1367" s="435"/>
      <c r="I1367" s="435"/>
      <c r="J1367" s="435"/>
      <c r="K1367" s="435"/>
      <c r="L1367" s="435"/>
      <c r="M1367" s="435"/>
      <c r="O1367" s="2255" t="s">
        <v>1659</v>
      </c>
      <c r="P1367" s="2230">
        <f>'Part VIII-Threshold Criteria'!P127</f>
        <v>0</v>
      </c>
      <c r="Q1367" s="2164"/>
    </row>
    <row r="1368" spans="1:31" s="1852" customFormat="1" ht="10.5" customHeight="1">
      <c r="B1368" s="2170" t="s">
        <v>3373</v>
      </c>
      <c r="D1368" s="2170"/>
      <c r="E1368" s="2170"/>
      <c r="F1368" s="2170"/>
      <c r="G1368" s="2170"/>
      <c r="H1368" s="2121"/>
      <c r="I1368" s="2164"/>
      <c r="J1368" s="2164"/>
      <c r="K1368" s="2164"/>
      <c r="L1368" s="2117"/>
      <c r="M1368" s="2117"/>
      <c r="N1368" s="2117"/>
      <c r="O1368" s="2117"/>
      <c r="P1368" s="2117"/>
      <c r="Q1368" s="2117"/>
    </row>
    <row r="1369" spans="1:31" s="1852" customFormat="1" ht="22.5" customHeight="1">
      <c r="A1369" s="2226" t="str">
        <f>'Part VIII-Threshold Criteria'!A129</f>
        <v>An appraisal is not required as there is not an identity of interest between the buyer and seller of the property; therefore, an appraisal has not been done at this time.</v>
      </c>
      <c r="B1369" s="2226"/>
      <c r="C1369" s="2226"/>
      <c r="D1369" s="2226"/>
      <c r="E1369" s="2226"/>
      <c r="F1369" s="2226"/>
      <c r="G1369" s="2226"/>
      <c r="H1369" s="2226"/>
      <c r="I1369" s="2226"/>
      <c r="J1369" s="2226"/>
      <c r="K1369" s="2226"/>
      <c r="L1369" s="2226"/>
      <c r="M1369" s="2226"/>
      <c r="N1369" s="2226"/>
      <c r="O1369" s="2226"/>
      <c r="P1369" s="2226"/>
      <c r="Q1369" s="2226"/>
      <c r="U1369" s="1719"/>
      <c r="V1369" s="1719"/>
      <c r="W1369" s="1719"/>
      <c r="X1369" s="1719"/>
      <c r="Y1369" s="1719"/>
      <c r="Z1369" s="1719"/>
      <c r="AA1369" s="1719"/>
      <c r="AB1369" s="1719"/>
      <c r="AC1369" s="1719"/>
      <c r="AD1369" s="1719"/>
      <c r="AE1369" s="1719"/>
    </row>
    <row r="1370" spans="1:31" s="1852" customFormat="1" ht="11.25" customHeight="1">
      <c r="B1370" s="2227" t="s">
        <v>1781</v>
      </c>
      <c r="C1370" s="2227"/>
      <c r="D1370" s="2228"/>
      <c r="E1370" s="2228"/>
      <c r="F1370" s="2228"/>
      <c r="G1370" s="2228"/>
      <c r="H1370" s="2228"/>
      <c r="I1370" s="2228"/>
      <c r="J1370" s="2228"/>
      <c r="K1370" s="2228"/>
      <c r="L1370" s="2228"/>
      <c r="M1370" s="2228"/>
      <c r="N1370" s="2228"/>
      <c r="O1370" s="2228"/>
      <c r="P1370" s="2228"/>
      <c r="Q1370" s="2228"/>
    </row>
    <row r="1371" spans="1:31" s="1852" customFormat="1" ht="22.5" customHeight="1">
      <c r="A1371" s="2223"/>
      <c r="B1371" s="2223"/>
      <c r="C1371" s="2223"/>
      <c r="D1371" s="2223"/>
      <c r="E1371" s="2223"/>
      <c r="F1371" s="2223"/>
      <c r="G1371" s="2223"/>
      <c r="H1371" s="2223"/>
      <c r="I1371" s="2223"/>
      <c r="J1371" s="2223"/>
      <c r="K1371" s="2223"/>
      <c r="L1371" s="2223"/>
      <c r="M1371" s="2223"/>
      <c r="N1371" s="2223"/>
      <c r="O1371" s="2223"/>
      <c r="P1371" s="2223"/>
      <c r="Q1371" s="2223"/>
    </row>
    <row r="1372" spans="1:31" s="1852" customFormat="1" ht="14.1" customHeight="1">
      <c r="A1372" s="2105" t="s">
        <v>742</v>
      </c>
      <c r="B1372" s="2105" t="s">
        <v>2514</v>
      </c>
      <c r="C1372" s="2121"/>
      <c r="D1372" s="2228"/>
      <c r="E1372" s="2228"/>
      <c r="F1372" s="2228"/>
      <c r="G1372" s="2228"/>
      <c r="H1372" s="2228"/>
      <c r="I1372" s="2228"/>
      <c r="J1372" s="2228"/>
      <c r="K1372" s="2228"/>
      <c r="L1372" s="2228"/>
      <c r="M1372" s="2228"/>
      <c r="O1372" s="2224" t="s">
        <v>1782</v>
      </c>
      <c r="P1372" s="1719"/>
      <c r="Q1372" s="1719"/>
    </row>
    <row r="1373" spans="1:31" s="1852" customFormat="1" ht="6.6" customHeight="1"/>
    <row r="1374" spans="1:31" s="1852" customFormat="1">
      <c r="A1374" s="2255" t="s">
        <v>1894</v>
      </c>
      <c r="B1374" s="435" t="s">
        <v>6443</v>
      </c>
      <c r="D1374" s="435"/>
      <c r="E1374" s="435"/>
      <c r="F1374" s="435"/>
      <c r="G1374" s="435"/>
      <c r="H1374" s="435"/>
      <c r="I1374" s="1818"/>
      <c r="J1374" s="1818"/>
      <c r="K1374" s="2255" t="s">
        <v>1894</v>
      </c>
      <c r="L1374" s="2183" t="str">
        <f>'Part VIII-Threshold Criteria'!L134</f>
        <v>United Consulting</v>
      </c>
      <c r="M1374" s="2183"/>
      <c r="N1374" s="2183"/>
      <c r="O1374" s="2183"/>
      <c r="P1374" s="2183"/>
      <c r="Q1374" s="2164"/>
    </row>
    <row r="1375" spans="1:31" s="1852" customFormat="1" ht="12" customHeight="1">
      <c r="B1375" s="2112" t="s">
        <v>6444</v>
      </c>
      <c r="O1375" s="2255" t="s">
        <v>1659</v>
      </c>
      <c r="P1375" s="2230" t="str">
        <f>'Part VIII-Threshold Criteria'!P135</f>
        <v>No</v>
      </c>
      <c r="Q1375" s="2164"/>
    </row>
    <row r="1376" spans="1:31" s="1852" customFormat="1" ht="12" customHeight="1">
      <c r="A1376" s="2255" t="s">
        <v>1896</v>
      </c>
      <c r="B1376" s="435" t="s">
        <v>1476</v>
      </c>
      <c r="D1376" s="435"/>
      <c r="E1376" s="435"/>
      <c r="F1376" s="435"/>
      <c r="G1376" s="435"/>
      <c r="H1376" s="435"/>
      <c r="I1376" s="1818"/>
      <c r="J1376" s="1818"/>
      <c r="K1376" s="435"/>
      <c r="L1376" s="2121"/>
      <c r="O1376" s="2255" t="s">
        <v>1896</v>
      </c>
      <c r="P1376" s="2230" t="str">
        <f>'Part VIII-Threshold Criteria'!P136</f>
        <v>No</v>
      </c>
      <c r="Q1376" s="2164"/>
    </row>
    <row r="1377" spans="1:17" s="1852" customFormat="1" ht="12" customHeight="1">
      <c r="A1377" s="2255" t="s">
        <v>719</v>
      </c>
      <c r="B1377" s="435" t="s">
        <v>143</v>
      </c>
      <c r="D1377" s="435"/>
      <c r="E1377" s="435"/>
      <c r="F1377" s="435"/>
      <c r="G1377" s="435"/>
      <c r="H1377" s="435"/>
      <c r="I1377" s="1818"/>
      <c r="J1377" s="1818"/>
      <c r="K1377" s="2121"/>
      <c r="L1377" s="2121"/>
      <c r="O1377" s="2255" t="s">
        <v>719</v>
      </c>
      <c r="P1377" s="2230" t="str">
        <f>'Part VIII-Threshold Criteria'!P137</f>
        <v>Yes</v>
      </c>
      <c r="Q1377" s="2164"/>
    </row>
    <row r="1378" spans="1:17" s="1852" customFormat="1" ht="12" customHeight="1">
      <c r="A1378" s="2255"/>
      <c r="B1378" s="2121" t="s">
        <v>1658</v>
      </c>
      <c r="C1378" s="435" t="s">
        <v>2541</v>
      </c>
      <c r="E1378" s="435"/>
      <c r="F1378" s="435"/>
      <c r="G1378" s="435"/>
      <c r="H1378" s="435"/>
      <c r="I1378" s="1818"/>
      <c r="J1378" s="1818"/>
      <c r="K1378" s="2255" t="s">
        <v>1658</v>
      </c>
      <c r="L1378" s="2183" t="str">
        <f>'Part VIII-Threshold Criteria'!L138</f>
        <v>United Consulting</v>
      </c>
      <c r="M1378" s="2183"/>
      <c r="N1378" s="2183"/>
      <c r="O1378" s="2183"/>
      <c r="P1378" s="2183"/>
      <c r="Q1378" s="2164"/>
    </row>
    <row r="1379" spans="1:17" s="1852" customFormat="1" ht="12" customHeight="1">
      <c r="A1379" s="2141"/>
      <c r="B1379" s="2121" t="s">
        <v>1659</v>
      </c>
      <c r="C1379" s="435" t="s">
        <v>3202</v>
      </c>
      <c r="E1379" s="1818"/>
      <c r="F1379" s="1818"/>
      <c r="G1379" s="1818"/>
      <c r="H1379" s="435"/>
      <c r="I1379" s="1818"/>
      <c r="J1379" s="1818"/>
      <c r="K1379" s="435"/>
      <c r="L1379" s="2121"/>
      <c r="M1379" s="2121"/>
      <c r="O1379" s="2255" t="s">
        <v>1659</v>
      </c>
      <c r="P1379" s="2230">
        <f>'Part VIII-Threshold Criteria'!P139</f>
        <v>70</v>
      </c>
      <c r="Q1379" s="2164"/>
    </row>
    <row r="1380" spans="1:17" s="1852" customFormat="1" ht="12" customHeight="1">
      <c r="A1380" s="2141"/>
      <c r="B1380" s="2121" t="s">
        <v>1660</v>
      </c>
      <c r="C1380" s="435" t="s">
        <v>3946</v>
      </c>
      <c r="E1380" s="1818"/>
      <c r="F1380" s="1818"/>
      <c r="G1380" s="1818"/>
      <c r="H1380" s="435"/>
      <c r="I1380" s="1818"/>
      <c r="J1380" s="1818"/>
      <c r="K1380" s="435"/>
      <c r="L1380" s="2121"/>
      <c r="M1380" s="2121"/>
      <c r="O1380" s="2255" t="s">
        <v>1660</v>
      </c>
      <c r="P1380" s="2230" t="str">
        <f>'Part VIII-Threshold Criteria'!P140</f>
        <v>Yes</v>
      </c>
      <c r="Q1380" s="2164"/>
    </row>
    <row r="1381" spans="1:17" s="1852" customFormat="1" ht="12" customHeight="1">
      <c r="A1381" s="2255" t="s">
        <v>2022</v>
      </c>
      <c r="B1381" s="2121" t="s">
        <v>2305</v>
      </c>
      <c r="D1381" s="435"/>
      <c r="E1381" s="435"/>
      <c r="F1381" s="435"/>
      <c r="G1381" s="435"/>
      <c r="H1381" s="435"/>
      <c r="I1381" s="1818"/>
      <c r="J1381" s="1818"/>
      <c r="K1381" s="435"/>
      <c r="M1381" s="2121"/>
      <c r="N1381" s="2121"/>
      <c r="O1381" s="2121"/>
      <c r="P1381" s="2121"/>
      <c r="Q1381" s="2121"/>
    </row>
    <row r="1382" spans="1:17" s="1852" customFormat="1" ht="12" customHeight="1">
      <c r="A1382" s="2255"/>
      <c r="B1382" s="2121" t="s">
        <v>1658</v>
      </c>
      <c r="C1382" s="435" t="s">
        <v>1214</v>
      </c>
      <c r="D1382" s="435"/>
      <c r="E1382" s="2121"/>
      <c r="F1382" s="2230" t="str">
        <f>'Part VIII-Threshold Criteria'!F142</f>
        <v>Yes</v>
      </c>
      <c r="G1382" s="2164"/>
      <c r="H1382" s="2255" t="s">
        <v>4042</v>
      </c>
      <c r="I1382" s="435" t="s">
        <v>6333</v>
      </c>
      <c r="K1382" s="2230" t="str">
        <f>'Part VIII-Threshold Criteria'!K142</f>
        <v>Yes</v>
      </c>
      <c r="L1382" s="2164"/>
      <c r="M1382" s="2255" t="s">
        <v>4046</v>
      </c>
      <c r="N1382" s="2112" t="s">
        <v>3419</v>
      </c>
      <c r="O1382" s="2121"/>
      <c r="P1382" s="2230" t="str">
        <f>'Part VIII-Threshold Criteria'!P142</f>
        <v>No</v>
      </c>
      <c r="Q1382" s="2164"/>
    </row>
    <row r="1383" spans="1:17" s="1852" customFormat="1" ht="12.75" customHeight="1">
      <c r="B1383" s="2121" t="s">
        <v>1659</v>
      </c>
      <c r="C1383" s="435" t="s">
        <v>6445</v>
      </c>
      <c r="E1383" s="435"/>
      <c r="F1383" s="2230" t="str">
        <f>'Part VIII-Threshold Criteria'!F143</f>
        <v>Yes</v>
      </c>
      <c r="G1383" s="2164"/>
      <c r="H1383" s="2255" t="s">
        <v>4043</v>
      </c>
      <c r="I1383" s="435" t="s">
        <v>6334</v>
      </c>
      <c r="K1383" s="2230" t="str">
        <f>'Part VIII-Threshold Criteria'!K143</f>
        <v>No</v>
      </c>
      <c r="L1383" s="2164"/>
      <c r="M1383" s="2255" t="s">
        <v>4047</v>
      </c>
      <c r="N1383" s="435" t="s">
        <v>1489</v>
      </c>
      <c r="P1383" s="2230" t="str">
        <f>'Part VIII-Threshold Criteria'!P143</f>
        <v>No</v>
      </c>
      <c r="Q1383" s="2164"/>
    </row>
    <row r="1384" spans="1:17" s="1852" customFormat="1" ht="12" customHeight="1">
      <c r="A1384" s="435"/>
      <c r="B1384" s="2121" t="s">
        <v>1660</v>
      </c>
      <c r="C1384" s="435" t="s">
        <v>6446</v>
      </c>
      <c r="E1384" s="435"/>
      <c r="F1384" s="2230" t="str">
        <f>'Part VIII-Threshold Criteria'!F144</f>
        <v>No</v>
      </c>
      <c r="G1384" s="2164"/>
      <c r="H1384" s="2255" t="s">
        <v>4044</v>
      </c>
      <c r="I1384" s="2112" t="s">
        <v>6447</v>
      </c>
      <c r="K1384" s="2230" t="str">
        <f>'Part VIII-Threshold Criteria'!K144</f>
        <v>No</v>
      </c>
      <c r="L1384" s="2164"/>
      <c r="M1384" s="2255" t="s">
        <v>6448</v>
      </c>
      <c r="N1384" s="2112" t="s">
        <v>6335</v>
      </c>
      <c r="P1384" s="2230" t="str">
        <f>'Part VIII-Threshold Criteria'!P144</f>
        <v>No</v>
      </c>
      <c r="Q1384" s="2164"/>
    </row>
    <row r="1385" spans="1:17" s="1852" customFormat="1" ht="12" customHeight="1">
      <c r="A1385" s="435"/>
      <c r="B1385" s="2121" t="s">
        <v>2261</v>
      </c>
      <c r="C1385" s="2112" t="s">
        <v>2504</v>
      </c>
      <c r="E1385" s="435"/>
      <c r="F1385" s="2230" t="str">
        <f>'Part VIII-Threshold Criteria'!F145</f>
        <v>No</v>
      </c>
      <c r="G1385" s="2164"/>
      <c r="H1385" s="2255" t="s">
        <v>4045</v>
      </c>
      <c r="I1385" s="2223" t="s">
        <v>6450</v>
      </c>
      <c r="J1385" s="2223"/>
      <c r="K1385" s="2223"/>
      <c r="M1385" s="2255" t="s">
        <v>6449</v>
      </c>
      <c r="N1385" s="435" t="s">
        <v>141</v>
      </c>
      <c r="P1385" s="2230" t="str">
        <f>'Part VIII-Threshold Criteria'!P145</f>
        <v>No</v>
      </c>
      <c r="Q1385" s="2164"/>
    </row>
    <row r="1386" spans="1:17" s="1852" customFormat="1" ht="12" customHeight="1">
      <c r="A1386" s="435"/>
      <c r="B1386" s="2255" t="s">
        <v>4041</v>
      </c>
      <c r="C1386" s="435" t="s">
        <v>2612</v>
      </c>
      <c r="E1386" s="435"/>
      <c r="F1386" s="2230" t="str">
        <f>'Part VIII-Threshold Criteria'!F146</f>
        <v>Yes</v>
      </c>
      <c r="G1386" s="2164"/>
      <c r="I1386" s="2223"/>
      <c r="J1386" s="2223"/>
      <c r="K1386" s="2230" t="str">
        <f>'Part VIII-Threshold Criteria'!K146</f>
        <v>No</v>
      </c>
      <c r="L1386" s="2164"/>
    </row>
    <row r="1387" spans="1:17" s="1852" customFormat="1" ht="12" customHeight="1">
      <c r="A1387" s="435"/>
      <c r="B1387" s="2255" t="s">
        <v>6469</v>
      </c>
      <c r="C1387" s="435" t="s">
        <v>2613</v>
      </c>
      <c r="E1387" s="435"/>
      <c r="F1387" s="435"/>
      <c r="G1387" s="435"/>
      <c r="H1387" s="435"/>
      <c r="I1387" s="435"/>
      <c r="J1387" s="435"/>
      <c r="K1387" s="435"/>
      <c r="L1387" s="435"/>
      <c r="M1387" s="435"/>
      <c r="O1387" s="2255"/>
      <c r="P1387" s="2255"/>
    </row>
    <row r="1388" spans="1:17" s="1852" customFormat="1" ht="12" customHeight="1">
      <c r="A1388" s="435"/>
      <c r="C1388" s="2111" t="str">
        <f>'Part VIII-Threshold Criteria'!C148</f>
        <v>None</v>
      </c>
      <c r="D1388" s="2111"/>
      <c r="E1388" s="2111"/>
      <c r="F1388" s="2111"/>
      <c r="G1388" s="2111"/>
      <c r="H1388" s="2111"/>
      <c r="I1388" s="2111"/>
      <c r="J1388" s="2111"/>
      <c r="K1388" s="2111"/>
      <c r="L1388" s="2111"/>
      <c r="M1388" s="2111"/>
      <c r="N1388" s="2111"/>
      <c r="O1388" s="2111"/>
      <c r="P1388" s="2111"/>
      <c r="Q1388" s="2111"/>
    </row>
    <row r="1389" spans="1:17" s="1852" customFormat="1" ht="12" customHeight="1">
      <c r="A1389" s="2255" t="s">
        <v>1656</v>
      </c>
      <c r="B1389" s="435" t="s">
        <v>3260</v>
      </c>
      <c r="D1389" s="435"/>
      <c r="E1389" s="435"/>
      <c r="F1389" s="435"/>
      <c r="G1389" s="435"/>
      <c r="H1389" s="435"/>
      <c r="I1389" s="1818"/>
      <c r="J1389" s="1818"/>
      <c r="K1389" s="435"/>
      <c r="L1389" s="435"/>
      <c r="M1389" s="2121"/>
    </row>
    <row r="1390" spans="1:17" s="1852" customFormat="1" ht="12.75" customHeight="1">
      <c r="A1390" s="1818"/>
      <c r="B1390" s="2121" t="s">
        <v>1658</v>
      </c>
      <c r="C1390" s="435" t="s">
        <v>2614</v>
      </c>
      <c r="E1390" s="435"/>
      <c r="F1390" s="435"/>
      <c r="G1390" s="435"/>
      <c r="H1390" s="435"/>
      <c r="O1390" s="2255" t="s">
        <v>1658</v>
      </c>
      <c r="P1390" s="2230" t="str">
        <f>'Part VIII-Threshold Criteria'!P150</f>
        <v>No</v>
      </c>
      <c r="Q1390" s="2164"/>
    </row>
    <row r="1391" spans="1:17" s="1852" customFormat="1" ht="12.75" customHeight="1">
      <c r="A1391" s="2164"/>
      <c r="B1391" s="2121" t="s">
        <v>1659</v>
      </c>
      <c r="C1391" s="435" t="s">
        <v>469</v>
      </c>
      <c r="E1391" s="435"/>
      <c r="F1391" s="435"/>
      <c r="G1391" s="435"/>
      <c r="H1391" s="435"/>
      <c r="I1391" s="1818"/>
      <c r="J1391" s="1818"/>
      <c r="K1391" s="435"/>
      <c r="L1391" s="435"/>
      <c r="M1391" s="435"/>
      <c r="O1391" s="2255" t="s">
        <v>1659</v>
      </c>
      <c r="P1391" s="2230" t="str">
        <f>'Part VIII-Threshold Criteria'!P151</f>
        <v>No</v>
      </c>
      <c r="Q1391" s="2164"/>
    </row>
    <row r="1392" spans="1:17" s="1852" customFormat="1" ht="12.75" customHeight="1">
      <c r="A1392" s="2164"/>
      <c r="B1392" s="2121" t="s">
        <v>1660</v>
      </c>
      <c r="C1392" s="435" t="s">
        <v>651</v>
      </c>
      <c r="E1392" s="435"/>
      <c r="F1392" s="435"/>
      <c r="G1392" s="435"/>
      <c r="H1392" s="435"/>
      <c r="I1392" s="1818"/>
      <c r="J1392" s="1818"/>
      <c r="K1392" s="435"/>
      <c r="L1392" s="435"/>
      <c r="M1392" s="435"/>
      <c r="O1392" s="2255" t="s">
        <v>1660</v>
      </c>
      <c r="P1392" s="2230" t="str">
        <f>'Part VIII-Threshold Criteria'!P152</f>
        <v>No</v>
      </c>
      <c r="Q1392" s="2164"/>
    </row>
    <row r="1393" spans="1:31" s="1852" customFormat="1" ht="12.75" customHeight="1">
      <c r="A1393" s="2164"/>
      <c r="B1393" s="2121" t="s">
        <v>2261</v>
      </c>
      <c r="C1393" s="435" t="s">
        <v>4028</v>
      </c>
      <c r="E1393" s="435"/>
      <c r="F1393" s="435"/>
      <c r="G1393" s="435"/>
      <c r="H1393" s="435"/>
      <c r="I1393" s="1818"/>
      <c r="J1393" s="1818"/>
      <c r="K1393" s="435"/>
      <c r="L1393" s="435"/>
      <c r="M1393" s="435"/>
      <c r="O1393" s="2255" t="s">
        <v>2261</v>
      </c>
      <c r="P1393" s="2230" t="str">
        <f>'Part VIII-Threshold Criteria'!P153</f>
        <v>No</v>
      </c>
      <c r="Q1393" s="2164"/>
    </row>
    <row r="1394" spans="1:31" s="1852" customFormat="1" ht="12" customHeight="1">
      <c r="A1394" s="2112" t="s">
        <v>4153</v>
      </c>
      <c r="C1394" s="435"/>
      <c r="D1394" s="435"/>
      <c r="E1394" s="435"/>
      <c r="F1394" s="435"/>
      <c r="G1394" s="435"/>
      <c r="H1394" s="435"/>
      <c r="I1394" s="1818"/>
      <c r="J1394" s="1818"/>
      <c r="K1394" s="435"/>
      <c r="L1394" s="435"/>
      <c r="M1394" s="2121"/>
      <c r="N1394" s="2121"/>
      <c r="O1394" s="2121"/>
      <c r="P1394" s="2121"/>
      <c r="Q1394" s="2121"/>
      <c r="R1394" s="2121"/>
    </row>
    <row r="1395" spans="1:31" s="1818" customFormat="1" ht="24" customHeight="1">
      <c r="A1395" s="2224" t="s">
        <v>1657</v>
      </c>
      <c r="B1395" s="2223" t="s">
        <v>7147</v>
      </c>
      <c r="C1395" s="2223"/>
      <c r="D1395" s="2223"/>
      <c r="E1395" s="2223"/>
      <c r="F1395" s="2223"/>
      <c r="G1395" s="2223"/>
      <c r="H1395" s="2223"/>
      <c r="I1395" s="2223"/>
      <c r="J1395" s="2223"/>
      <c r="K1395" s="2223"/>
      <c r="L1395" s="2223"/>
      <c r="M1395" s="2255" t="s">
        <v>1859</v>
      </c>
      <c r="N1395" s="2226" t="str">
        <f>'Part VIII-Threshold Criteria'!N155</f>
        <v>&lt;&lt;Select&gt;&gt;</v>
      </c>
      <c r="O1395" s="2226"/>
      <c r="P1395" s="2223"/>
      <c r="Q1395" s="2223"/>
    </row>
    <row r="1396" spans="1:31" s="1852" customFormat="1" ht="11.25" customHeight="1">
      <c r="B1396" s="2170" t="s">
        <v>3373</v>
      </c>
      <c r="D1396" s="2170"/>
      <c r="E1396" s="2170"/>
      <c r="F1396" s="2170"/>
      <c r="G1396" s="2170"/>
      <c r="H1396" s="2121"/>
      <c r="I1396" s="2164"/>
      <c r="J1396" s="2164"/>
      <c r="K1396" s="2164"/>
      <c r="L1396" s="2117"/>
      <c r="M1396" s="2117"/>
      <c r="N1396" s="2117"/>
      <c r="O1396" s="2117"/>
      <c r="P1396" s="2117"/>
      <c r="Q1396" s="2117"/>
    </row>
    <row r="1397" spans="1:31" s="1852" customFormat="1" ht="45" customHeight="1">
      <c r="A1397" s="2226" t="str">
        <f>'Part VIII-Threshold Criteria'!A157</f>
        <v>No on-site RECs were identified on the Project Site during the site reconnaissance. Wetland and stream areas were identified on the Project Site. However, no wetlands will be impacted and the development plans are all outside of the 25 ft buffer required due to the stream. As no current or former structures were present on the Project Site, this assessment did not evaluate for lead in soil, lead paint, lead in dust, asbestos, lead in drinking water, mold/moisture, and/or radon. United Consulting performed a noise assessment for the Project Site based on the location of the proposed structures and outdoor amenity areas. A “Normally Unacceptable,” noise level, as defined by HUD, was calculated at three NAL points on the Project Site and specific building materials were recommended to reduce noise levels to an acceptable level. An “Acceptable” noise level was calculated for the NAL point at the outdoor amenities area. The results of the vapor encroachment screening checklist is that a VEC can be ruled out. Effingham County is in Zone 3 and has a low potential for the presence of radon. The proposed buildings will be constructed in accordance with current EPA requirements for radon resistant construction techniques. The buildings will be tested for radon upon completion of construction. Based on the entirety of the Phase I Environmental Site Assessment, no off-site RECs were identified. According to the Phase I Environmental Assessment, this property was determined environmentally suitable for multi-family housing. Section F has all been marked "no" as HOME funds were not awarded to this development.</v>
      </c>
      <c r="B1397" s="2226"/>
      <c r="C1397" s="2226"/>
      <c r="D1397" s="2226"/>
      <c r="E1397" s="2226"/>
      <c r="F1397" s="2226"/>
      <c r="G1397" s="2226"/>
      <c r="H1397" s="2226"/>
      <c r="I1397" s="2226"/>
      <c r="J1397" s="2226"/>
      <c r="K1397" s="2226"/>
      <c r="L1397" s="2226"/>
      <c r="M1397" s="2226"/>
      <c r="N1397" s="2226"/>
      <c r="O1397" s="2226"/>
      <c r="P1397" s="2226"/>
      <c r="Q1397" s="2226"/>
      <c r="R1397" s="1855" t="s">
        <v>1208</v>
      </c>
      <c r="S1397" s="1855"/>
      <c r="U1397" s="1719"/>
      <c r="V1397" s="1719"/>
      <c r="W1397" s="1719"/>
      <c r="X1397" s="1719"/>
      <c r="Y1397" s="1719"/>
      <c r="Z1397" s="1719"/>
      <c r="AA1397" s="1719"/>
      <c r="AB1397" s="1719"/>
      <c r="AC1397" s="1719"/>
      <c r="AD1397" s="1719"/>
      <c r="AE1397" s="1719"/>
    </row>
    <row r="1398" spans="1:31" s="1852" customFormat="1" ht="3" customHeight="1">
      <c r="R1398" s="1855"/>
      <c r="S1398" s="1855"/>
    </row>
    <row r="1399" spans="1:31" s="1852" customFormat="1" ht="11.25" customHeight="1">
      <c r="B1399" s="2227" t="s">
        <v>1781</v>
      </c>
      <c r="C1399" s="2227"/>
      <c r="D1399" s="2228"/>
      <c r="E1399" s="2228"/>
      <c r="F1399" s="2228"/>
      <c r="G1399" s="2228"/>
      <c r="H1399" s="2228"/>
      <c r="I1399" s="2228"/>
      <c r="J1399" s="2228"/>
      <c r="K1399" s="2228"/>
      <c r="L1399" s="2228"/>
      <c r="M1399" s="2228"/>
      <c r="N1399" s="2228"/>
      <c r="O1399" s="2228"/>
      <c r="P1399" s="2228"/>
      <c r="Q1399" s="2228"/>
    </row>
    <row r="1400" spans="1:31" s="1852" customFormat="1" ht="45" customHeight="1">
      <c r="A1400" s="2223"/>
      <c r="B1400" s="2223"/>
      <c r="C1400" s="2223"/>
      <c r="D1400" s="2223"/>
      <c r="E1400" s="2223"/>
      <c r="F1400" s="2223"/>
      <c r="G1400" s="2223"/>
      <c r="H1400" s="2223"/>
      <c r="I1400" s="2223"/>
      <c r="J1400" s="2223"/>
      <c r="K1400" s="2223"/>
      <c r="L1400" s="2223"/>
      <c r="M1400" s="2223"/>
      <c r="N1400" s="2223"/>
      <c r="O1400" s="2223"/>
      <c r="P1400" s="2223"/>
      <c r="Q1400" s="2223"/>
    </row>
    <row r="1401" spans="1:31" s="1852" customFormat="1" ht="3" customHeight="1">
      <c r="A1401" s="2117"/>
      <c r="B1401" s="2164"/>
      <c r="C1401" s="2228"/>
      <c r="D1401" s="2228"/>
      <c r="E1401" s="2228"/>
      <c r="F1401" s="2228"/>
      <c r="G1401" s="2228"/>
      <c r="H1401" s="2228"/>
      <c r="I1401" s="2228"/>
      <c r="J1401" s="2228"/>
      <c r="K1401" s="2228"/>
      <c r="L1401" s="2228"/>
      <c r="M1401" s="2228"/>
      <c r="N1401" s="2228"/>
      <c r="O1401" s="2228"/>
      <c r="P1401" s="2228"/>
      <c r="Q1401" s="2117"/>
    </row>
    <row r="1402" spans="1:31" s="1852" customFormat="1" ht="14.1" customHeight="1">
      <c r="A1402" s="2105" t="s">
        <v>281</v>
      </c>
      <c r="B1402" s="2105" t="s">
        <v>2515</v>
      </c>
      <c r="C1402" s="2105"/>
      <c r="D1402" s="2228"/>
      <c r="E1402" s="2228"/>
      <c r="F1402" s="2228"/>
      <c r="G1402" s="2228"/>
      <c r="H1402" s="2228"/>
      <c r="I1402" s="2228"/>
      <c r="J1402" s="2228"/>
      <c r="K1402" s="2228"/>
      <c r="O1402" s="2224" t="s">
        <v>1782</v>
      </c>
      <c r="P1402" s="1719"/>
      <c r="Q1402" s="1719"/>
    </row>
    <row r="1403" spans="1:31" s="1852" customFormat="1" ht="12" customHeight="1">
      <c r="A1403" s="2255" t="s">
        <v>1894</v>
      </c>
      <c r="B1403" s="2121" t="s">
        <v>1658</v>
      </c>
      <c r="C1403" s="435" t="s">
        <v>7072</v>
      </c>
      <c r="D1403" s="435"/>
      <c r="E1403" s="435"/>
      <c r="F1403" s="435"/>
      <c r="G1403" s="435"/>
      <c r="K1403" s="435" t="s">
        <v>2556</v>
      </c>
      <c r="M1403" s="2267">
        <f>'Part VIII-Threshold Criteria'!M163</f>
        <v>44531</v>
      </c>
      <c r="N1403" s="2267"/>
      <c r="O1403" s="2255" t="s">
        <v>1658</v>
      </c>
      <c r="P1403" s="2230" t="str">
        <f>'Part VIII-Threshold Criteria'!P163</f>
        <v>Yes</v>
      </c>
      <c r="Q1403" s="2164"/>
    </row>
    <row r="1404" spans="1:31" s="1852" customFormat="1" ht="12" customHeight="1">
      <c r="A1404" s="2255"/>
      <c r="B1404" s="2121" t="s">
        <v>1659</v>
      </c>
      <c r="C1404" s="435" t="s">
        <v>7073</v>
      </c>
      <c r="D1404" s="435"/>
      <c r="E1404" s="435"/>
      <c r="F1404" s="435"/>
      <c r="G1404" s="435"/>
      <c r="K1404" s="435" t="s">
        <v>2556</v>
      </c>
      <c r="M1404" s="2267">
        <f>'Part VIII-Threshold Criteria'!M164</f>
        <v>0</v>
      </c>
      <c r="N1404" s="2267"/>
      <c r="O1404" s="2255" t="s">
        <v>1659</v>
      </c>
      <c r="P1404" s="2230">
        <f>'Part VIII-Threshold Criteria'!P164</f>
        <v>0</v>
      </c>
      <c r="Q1404" s="2164"/>
    </row>
    <row r="1405" spans="1:31" s="1852" customFormat="1" ht="12" customHeight="1">
      <c r="A1405" s="2255" t="s">
        <v>1896</v>
      </c>
      <c r="B1405" s="2223" t="s">
        <v>142</v>
      </c>
      <c r="D1405" s="2223"/>
      <c r="E1405" s="2223"/>
      <c r="F1405" s="435" t="str">
        <f>IF(M1405="Ground lease/Option","Ground lease/Option:","")</f>
        <v>Ground lease/Option:</v>
      </c>
      <c r="H1405" s="435" t="str">
        <f>IF(M1405="Ground lease/Option","Annual Pymt:","")</f>
        <v>Annual Pymt:</v>
      </c>
      <c r="I1405" s="2199">
        <f>IF(M1405="Ground lease/Option",'Part VI-Revenues &amp; Expenses'!$K$248,"")</f>
        <v>0</v>
      </c>
      <c r="J1405" s="2255" t="str">
        <f>IF(M1405="Ground lease/Option","Term:","")</f>
        <v>Term:</v>
      </c>
      <c r="K1405" s="2121">
        <f>IF(M1405="Ground lease/Option",'Part VI-Revenues &amp; Expenses'!$N$248,"")</f>
        <v>0</v>
      </c>
      <c r="L1405" s="2255" t="s">
        <v>1896</v>
      </c>
      <c r="M1405" s="2268" t="str">
        <f>'Part VIII-Threshold Criteria'!M165</f>
        <v>Ground lease/Option</v>
      </c>
      <c r="N1405" s="2268"/>
      <c r="P1405" s="2112" t="s">
        <v>1691</v>
      </c>
      <c r="Q1405" s="2112"/>
    </row>
    <row r="1406" spans="1:31" s="1852" customFormat="1" ht="12" customHeight="1">
      <c r="A1406" s="2255" t="s">
        <v>719</v>
      </c>
      <c r="B1406" s="2223" t="s">
        <v>652</v>
      </c>
      <c r="D1406" s="2223"/>
      <c r="E1406" s="2223"/>
      <c r="F1406" s="2223"/>
      <c r="G1406" s="2223"/>
      <c r="H1406" s="2223"/>
      <c r="J1406" s="2255" t="s">
        <v>719</v>
      </c>
      <c r="K1406" s="2111" t="str">
        <f>'Part VIII-Threshold Criteria'!K166</f>
        <v>The Peaks at Turnberry, LP</v>
      </c>
      <c r="L1406" s="2111"/>
      <c r="M1406" s="2111"/>
      <c r="N1406" s="2111"/>
      <c r="O1406" s="2111"/>
      <c r="P1406" s="2111"/>
      <c r="Q1406" s="2164"/>
    </row>
    <row r="1407" spans="1:31" s="1852" customFormat="1" ht="21.75" customHeight="1">
      <c r="A1407" s="2224" t="s">
        <v>2022</v>
      </c>
      <c r="B1407" s="2223" t="s">
        <v>6451</v>
      </c>
      <c r="C1407" s="2223"/>
      <c r="D1407" s="2223"/>
      <c r="E1407" s="2223"/>
      <c r="F1407" s="2223"/>
      <c r="G1407" s="2223"/>
      <c r="H1407" s="2223"/>
      <c r="I1407" s="2223"/>
      <c r="J1407" s="2223"/>
      <c r="K1407" s="2223"/>
      <c r="L1407" s="2223"/>
      <c r="M1407" s="2223"/>
      <c r="N1407" s="2223"/>
      <c r="O1407" s="2224" t="s">
        <v>2022</v>
      </c>
      <c r="P1407" s="2264" t="str">
        <f>'Part VIII-Threshold Criteria'!P167</f>
        <v>N/a</v>
      </c>
      <c r="Q1407" s="2252"/>
    </row>
    <row r="1408" spans="1:31" s="1852" customFormat="1" ht="12" customHeight="1">
      <c r="B1408" s="2170" t="s">
        <v>3373</v>
      </c>
      <c r="D1408" s="2170"/>
      <c r="E1408" s="2170"/>
      <c r="F1408" s="2170"/>
      <c r="G1408" s="2170"/>
      <c r="H1408" s="2121"/>
      <c r="I1408" s="2164"/>
      <c r="J1408" s="2164"/>
      <c r="K1408" s="2164"/>
      <c r="L1408" s="2117"/>
      <c r="M1408" s="2117"/>
      <c r="N1408" s="2117"/>
      <c r="O1408" s="2117"/>
      <c r="P1408" s="2117"/>
      <c r="Q1408" s="2117"/>
    </row>
    <row r="1409" spans="1:44" s="1852" customFormat="1" ht="11.45" customHeight="1">
      <c r="A1409" s="2226" t="str">
        <f>'Part VIII-Threshold Criteria'!A169</f>
        <v xml:space="preserve">No identity of interest exists between the Seller and Purchaser. In reference to VIII. D. above, note that the entity with site control, via an assignment of the purchase option, is the applicant. A copy of the Option agreement along with the assignment of the option has been included in the application. </v>
      </c>
      <c r="B1409" s="2226"/>
      <c r="C1409" s="2226"/>
      <c r="D1409" s="2226"/>
      <c r="E1409" s="2226"/>
      <c r="F1409" s="2226"/>
      <c r="G1409" s="2226"/>
      <c r="H1409" s="2226"/>
      <c r="I1409" s="2226"/>
      <c r="J1409" s="2226"/>
      <c r="K1409" s="2226"/>
      <c r="L1409" s="2226"/>
      <c r="M1409" s="2226"/>
      <c r="N1409" s="2226"/>
      <c r="O1409" s="2226"/>
      <c r="P1409" s="2226"/>
      <c r="Q1409" s="2226"/>
      <c r="U1409" s="1719"/>
      <c r="V1409" s="1719"/>
      <c r="W1409" s="1719"/>
      <c r="X1409" s="1719"/>
      <c r="Y1409" s="1719"/>
      <c r="Z1409" s="1719"/>
      <c r="AA1409" s="1719"/>
      <c r="AB1409" s="1719"/>
      <c r="AC1409" s="1719"/>
      <c r="AD1409" s="1719"/>
      <c r="AE1409" s="1719"/>
    </row>
    <row r="1410" spans="1:44" s="1852" customFormat="1" ht="12" customHeight="1">
      <c r="B1410" s="2227" t="s">
        <v>1781</v>
      </c>
      <c r="C1410" s="2227"/>
      <c r="D1410" s="2228"/>
      <c r="E1410" s="2228"/>
      <c r="F1410" s="2228"/>
      <c r="G1410" s="2228"/>
      <c r="H1410" s="2228"/>
      <c r="I1410" s="2228"/>
      <c r="J1410" s="2228"/>
      <c r="K1410" s="2228"/>
      <c r="L1410" s="2228"/>
      <c r="M1410" s="2228"/>
      <c r="N1410" s="2228"/>
      <c r="O1410" s="2228"/>
      <c r="P1410" s="2228"/>
      <c r="Q1410" s="2228"/>
    </row>
    <row r="1411" spans="1:44" s="1852" customFormat="1" ht="11.45" customHeight="1">
      <c r="A1411" s="2223"/>
      <c r="B1411" s="2223"/>
      <c r="C1411" s="2223"/>
      <c r="D1411" s="2223"/>
      <c r="E1411" s="2223"/>
      <c r="F1411" s="2223"/>
      <c r="G1411" s="2223"/>
      <c r="H1411" s="2223"/>
      <c r="I1411" s="2223"/>
      <c r="J1411" s="2223"/>
      <c r="K1411" s="2223"/>
      <c r="L1411" s="2223"/>
      <c r="M1411" s="2223"/>
      <c r="N1411" s="2223"/>
      <c r="O1411" s="2223"/>
      <c r="P1411" s="2223"/>
      <c r="Q1411" s="2223"/>
    </row>
    <row r="1412" spans="1:44" s="1852" customFormat="1" ht="3" customHeight="1">
      <c r="A1412" s="2117"/>
      <c r="B1412" s="2164"/>
      <c r="C1412" s="2228"/>
      <c r="D1412" s="2228"/>
      <c r="E1412" s="2228"/>
      <c r="F1412" s="2228"/>
      <c r="G1412" s="2228"/>
      <c r="H1412" s="2228"/>
      <c r="I1412" s="2228"/>
      <c r="J1412" s="2228"/>
      <c r="K1412" s="2228"/>
      <c r="L1412" s="2228"/>
      <c r="M1412" s="2228"/>
      <c r="Q1412" s="2117"/>
    </row>
    <row r="1413" spans="1:44" s="1852" customFormat="1" ht="14.1" customHeight="1">
      <c r="A1413" s="2105" t="s">
        <v>407</v>
      </c>
      <c r="B1413" s="2105" t="s">
        <v>2516</v>
      </c>
      <c r="C1413" s="2105"/>
      <c r="D1413" s="2228"/>
      <c r="E1413" s="2228"/>
      <c r="F1413" s="2228"/>
      <c r="G1413" s="2228"/>
      <c r="H1413" s="2228"/>
      <c r="I1413" s="2228"/>
      <c r="J1413" s="2228"/>
      <c r="K1413" s="2228"/>
      <c r="L1413" s="2228"/>
      <c r="M1413" s="2228"/>
      <c r="O1413" s="2224" t="s">
        <v>1782</v>
      </c>
      <c r="P1413" s="1719"/>
      <c r="Q1413" s="1719"/>
    </row>
    <row r="1414" spans="1:44" s="1852" customFormat="1" ht="21.75" customHeight="1">
      <c r="A1414" s="2224" t="s">
        <v>1894</v>
      </c>
      <c r="B1414" s="2223" t="s">
        <v>3367</v>
      </c>
      <c r="C1414" s="2223"/>
      <c r="D1414" s="2223"/>
      <c r="E1414" s="2223"/>
      <c r="F1414" s="2223"/>
      <c r="G1414" s="2223"/>
      <c r="H1414" s="2223"/>
      <c r="I1414" s="2223"/>
      <c r="J1414" s="2223"/>
      <c r="K1414" s="2223"/>
      <c r="L1414" s="2223"/>
      <c r="M1414" s="2223"/>
      <c r="N1414" s="2223"/>
      <c r="O1414" s="2224" t="s">
        <v>1894</v>
      </c>
      <c r="P1414" s="2264" t="str">
        <f>'Part VIII-Threshold Criteria'!P174</f>
        <v>Yes</v>
      </c>
      <c r="Q1414" s="2252"/>
    </row>
    <row r="1415" spans="1:44" s="1852" customFormat="1" ht="22.35" customHeight="1">
      <c r="A1415" s="2224" t="s">
        <v>1896</v>
      </c>
      <c r="B1415" s="2223" t="s">
        <v>3961</v>
      </c>
      <c r="C1415" s="2223"/>
      <c r="D1415" s="2223"/>
      <c r="E1415" s="2223"/>
      <c r="F1415" s="2223"/>
      <c r="G1415" s="2223"/>
      <c r="H1415" s="2223"/>
      <c r="I1415" s="2223"/>
      <c r="J1415" s="2223"/>
      <c r="K1415" s="2223"/>
      <c r="L1415" s="2223"/>
      <c r="M1415" s="2223"/>
      <c r="N1415" s="2223"/>
      <c r="O1415" s="2224" t="s">
        <v>1896</v>
      </c>
      <c r="P1415" s="2264" t="str">
        <f>'Part VIII-Threshold Criteria'!P175</f>
        <v>N/Ap</v>
      </c>
      <c r="Q1415" s="2252"/>
    </row>
    <row r="1416" spans="1:44" s="1852" customFormat="1" ht="22.35" customHeight="1">
      <c r="A1416" s="2224" t="s">
        <v>719</v>
      </c>
      <c r="B1416" s="2223" t="s">
        <v>3368</v>
      </c>
      <c r="C1416" s="2223"/>
      <c r="D1416" s="2223"/>
      <c r="E1416" s="2223"/>
      <c r="F1416" s="2223"/>
      <c r="G1416" s="2223"/>
      <c r="H1416" s="2223"/>
      <c r="I1416" s="2223"/>
      <c r="J1416" s="2223"/>
      <c r="K1416" s="2223"/>
      <c r="L1416" s="2223"/>
      <c r="M1416" s="2223"/>
      <c r="N1416" s="2223"/>
      <c r="O1416" s="2224" t="s">
        <v>719</v>
      </c>
      <c r="P1416" s="2264" t="str">
        <f>'Part VIII-Threshold Criteria'!P176</f>
        <v>N/Ap</v>
      </c>
      <c r="Q1416" s="2252"/>
    </row>
    <row r="1417" spans="1:44" s="1852" customFormat="1" ht="21.75" customHeight="1">
      <c r="A1417" s="2224" t="s">
        <v>2022</v>
      </c>
      <c r="B1417" s="2223" t="s">
        <v>4009</v>
      </c>
      <c r="C1417" s="2223"/>
      <c r="D1417" s="2223"/>
      <c r="E1417" s="2223"/>
      <c r="F1417" s="2223"/>
      <c r="G1417" s="2223"/>
      <c r="H1417" s="2223"/>
      <c r="I1417" s="2223"/>
      <c r="J1417" s="2223"/>
      <c r="K1417" s="2223"/>
      <c r="L1417" s="2223"/>
      <c r="M1417" s="2223"/>
      <c r="N1417" s="2223"/>
      <c r="O1417" s="2224" t="s">
        <v>2022</v>
      </c>
      <c r="P1417" s="2264" t="str">
        <f>'Part VIII-Threshold Criteria'!P177</f>
        <v>N/Ap</v>
      </c>
      <c r="Q1417" s="2252"/>
    </row>
    <row r="1418" spans="1:44" s="1852" customFormat="1" ht="12" customHeight="1">
      <c r="B1418" s="2170" t="s">
        <v>3373</v>
      </c>
      <c r="D1418" s="2170"/>
      <c r="E1418" s="2170"/>
      <c r="F1418" s="2170"/>
      <c r="G1418" s="2170"/>
      <c r="H1418" s="2121"/>
      <c r="I1418" s="2164"/>
      <c r="J1418" s="2164"/>
      <c r="K1418" s="2164"/>
      <c r="L1418" s="2117"/>
      <c r="M1418" s="2117"/>
      <c r="N1418" s="2117"/>
      <c r="O1418" s="2117"/>
      <c r="P1418" s="2117"/>
      <c r="Q1418" s="2117"/>
    </row>
    <row r="1419" spans="1:44" s="1852" customFormat="1" ht="11.45" customHeight="1">
      <c r="A1419" s="2226" t="str">
        <f>'Part VIII-Threshold Criteria'!A179</f>
        <v>Currently the site is bordered by two paved roads. Photos of the paved roads and descriptions are located in Tab 9. Site Access</v>
      </c>
      <c r="B1419" s="2226"/>
      <c r="C1419" s="2226"/>
      <c r="D1419" s="2226"/>
      <c r="E1419" s="2226"/>
      <c r="F1419" s="2226"/>
      <c r="G1419" s="2226"/>
      <c r="H1419" s="2226"/>
      <c r="I1419" s="2226"/>
      <c r="J1419" s="2226"/>
      <c r="K1419" s="2226"/>
      <c r="L1419" s="2226"/>
      <c r="M1419" s="2226"/>
      <c r="N1419" s="2226"/>
      <c r="O1419" s="2226"/>
      <c r="P1419" s="2226"/>
      <c r="Q1419" s="2226"/>
      <c r="U1419" s="1719"/>
      <c r="V1419" s="1719"/>
      <c r="W1419" s="1719"/>
      <c r="X1419" s="1719"/>
      <c r="Y1419" s="1719"/>
      <c r="Z1419" s="1719"/>
      <c r="AA1419" s="1719"/>
      <c r="AB1419" s="1719"/>
      <c r="AC1419" s="1719"/>
      <c r="AD1419" s="1719"/>
      <c r="AE1419" s="1719"/>
    </row>
    <row r="1420" spans="1:44" s="1852" customFormat="1" ht="12" customHeight="1">
      <c r="B1420" s="2227" t="s">
        <v>1781</v>
      </c>
      <c r="C1420" s="2227"/>
      <c r="D1420" s="2228"/>
      <c r="E1420" s="2228"/>
      <c r="F1420" s="2228"/>
      <c r="G1420" s="2228"/>
      <c r="H1420" s="2228"/>
      <c r="I1420" s="2228"/>
      <c r="J1420" s="2228"/>
      <c r="K1420" s="2228"/>
      <c r="L1420" s="2228"/>
      <c r="M1420" s="2228"/>
      <c r="N1420" s="2228"/>
      <c r="O1420" s="2228"/>
      <c r="P1420" s="2228"/>
      <c r="Q1420" s="2228"/>
    </row>
    <row r="1421" spans="1:44" s="1852" customFormat="1" ht="11.45" customHeight="1">
      <c r="A1421" s="2223"/>
      <c r="B1421" s="2223"/>
      <c r="C1421" s="2223"/>
      <c r="D1421" s="2223"/>
      <c r="E1421" s="2223"/>
      <c r="F1421" s="2223"/>
      <c r="G1421" s="2223"/>
      <c r="H1421" s="2223"/>
      <c r="I1421" s="2223"/>
      <c r="J1421" s="2223"/>
      <c r="K1421" s="2223"/>
      <c r="L1421" s="2223"/>
      <c r="M1421" s="2223"/>
      <c r="N1421" s="2223"/>
      <c r="O1421" s="2223"/>
      <c r="P1421" s="2223"/>
      <c r="Q1421" s="2223"/>
    </row>
    <row r="1422" spans="1:44" s="1852" customFormat="1" ht="3" customHeight="1">
      <c r="B1422" s="2164"/>
      <c r="C1422" s="2228"/>
      <c r="D1422" s="2228"/>
      <c r="E1422" s="2228"/>
      <c r="F1422" s="2228"/>
      <c r="G1422" s="2228"/>
      <c r="H1422" s="2228"/>
      <c r="I1422" s="2228"/>
      <c r="J1422" s="2228"/>
      <c r="K1422" s="2228"/>
      <c r="L1422" s="2228"/>
      <c r="M1422" s="2228"/>
      <c r="N1422" s="2228"/>
      <c r="O1422" s="2228"/>
      <c r="P1422" s="2228"/>
      <c r="Q1422" s="2117"/>
    </row>
    <row r="1423" spans="1:44" s="1852" customFormat="1" ht="14.1" customHeight="1">
      <c r="A1423" s="2123" t="s">
        <v>346</v>
      </c>
      <c r="B1423" s="1818" t="s">
        <v>2517</v>
      </c>
      <c r="C1423" s="1818"/>
      <c r="D1423" s="1818"/>
      <c r="F1423" s="1967" t="s">
        <v>6381</v>
      </c>
      <c r="O1423" s="2224" t="s">
        <v>1782</v>
      </c>
      <c r="P1423" s="1719"/>
      <c r="Q1423" s="1719"/>
    </row>
    <row r="1424" spans="1:44" s="1852" customFormat="1" ht="11.45" customHeight="1">
      <c r="B1424" s="2112" t="s">
        <v>6452</v>
      </c>
      <c r="N1424" s="2051"/>
      <c r="P1424" s="2230" t="str">
        <f>'Part VIII-Threshold Criteria'!P184</f>
        <v>No</v>
      </c>
      <c r="Q1424" s="2164"/>
      <c r="S1424" s="2269"/>
      <c r="T1424" s="2269"/>
      <c r="U1424" s="2269"/>
      <c r="V1424" s="2269"/>
      <c r="W1424" s="2269"/>
      <c r="X1424" s="2269"/>
      <c r="Y1424" s="2269"/>
      <c r="Z1424" s="2269"/>
      <c r="AA1424" s="2269"/>
      <c r="AB1424" s="2269"/>
      <c r="AC1424" s="2269"/>
      <c r="AD1424" s="2269"/>
      <c r="AE1424" s="2269"/>
      <c r="AF1424" s="2269"/>
      <c r="AG1424" s="2269"/>
      <c r="AH1424" s="2269"/>
      <c r="AI1424" s="2269"/>
      <c r="AJ1424" s="2269"/>
      <c r="AK1424" s="2269"/>
      <c r="AL1424" s="2269"/>
      <c r="AM1424" s="2269"/>
      <c r="AN1424" s="2269"/>
      <c r="AO1424" s="2269"/>
      <c r="AP1424" s="2269"/>
      <c r="AQ1424" s="2269"/>
      <c r="AR1424" s="2269"/>
    </row>
    <row r="1425" spans="1:31" s="1852" customFormat="1" ht="12" customHeight="1">
      <c r="A1425" s="2224" t="s">
        <v>1894</v>
      </c>
      <c r="B1425" s="2228" t="s">
        <v>448</v>
      </c>
      <c r="D1425" s="2228"/>
      <c r="E1425" s="2228"/>
      <c r="F1425" s="2228"/>
      <c r="G1425" s="2228"/>
      <c r="H1425" s="2228"/>
      <c r="I1425" s="2228"/>
      <c r="J1425" s="2228"/>
      <c r="K1425" s="2228"/>
      <c r="L1425" s="2228"/>
      <c r="M1425" s="2228"/>
      <c r="O1425" s="2224" t="s">
        <v>1894</v>
      </c>
      <c r="P1425" s="2230" t="str">
        <f>'Part VIII-Threshold Criteria'!P185</f>
        <v>Yes</v>
      </c>
      <c r="Q1425" s="2164"/>
    </row>
    <row r="1426" spans="1:31" s="1852" customFormat="1" ht="12" customHeight="1">
      <c r="A1426" s="2224" t="s">
        <v>1896</v>
      </c>
      <c r="B1426" s="2228" t="s">
        <v>6337</v>
      </c>
      <c r="D1426" s="2228"/>
      <c r="E1426" s="2228"/>
      <c r="F1426" s="2228"/>
      <c r="G1426" s="2228"/>
      <c r="H1426" s="2228"/>
      <c r="I1426" s="2228"/>
      <c r="J1426" s="2228"/>
      <c r="K1426" s="2228"/>
      <c r="L1426" s="2228"/>
      <c r="M1426" s="2228"/>
      <c r="O1426" s="2224" t="s">
        <v>1896</v>
      </c>
      <c r="P1426" s="2230" t="str">
        <f>'Part VIII-Threshold Criteria'!P186</f>
        <v>Yes</v>
      </c>
      <c r="Q1426" s="2164"/>
    </row>
    <row r="1427" spans="1:31" s="1852" customFormat="1" ht="12" customHeight="1">
      <c r="A1427" s="2224" t="s">
        <v>719</v>
      </c>
      <c r="B1427" s="2228" t="s">
        <v>2505</v>
      </c>
      <c r="D1427" s="2228"/>
      <c r="E1427" s="2228"/>
      <c r="F1427" s="2228"/>
      <c r="G1427" s="2228"/>
      <c r="H1427" s="2228"/>
      <c r="I1427" s="2228"/>
      <c r="J1427" s="2223" t="s">
        <v>4011</v>
      </c>
      <c r="L1427" s="2228"/>
      <c r="M1427" s="2228"/>
      <c r="O1427" s="2224" t="s">
        <v>719</v>
      </c>
      <c r="P1427" s="2230" t="str">
        <f>'Part VIII-Threshold Criteria'!P187</f>
        <v>Yes</v>
      </c>
      <c r="Q1427" s="2164"/>
    </row>
    <row r="1428" spans="1:31" s="1852" customFormat="1" ht="12" customHeight="1">
      <c r="B1428" s="2121" t="s">
        <v>1658</v>
      </c>
      <c r="C1428" s="2121" t="s">
        <v>2506</v>
      </c>
      <c r="G1428" s="2228"/>
      <c r="H1428" s="2228"/>
      <c r="J1428" s="2228"/>
      <c r="K1428" s="2228"/>
      <c r="L1428" s="2228"/>
      <c r="M1428" s="2228"/>
      <c r="O1428" s="2270" t="s">
        <v>1658</v>
      </c>
      <c r="P1428" s="2230" t="str">
        <f>'Part VIII-Threshold Criteria'!P188</f>
        <v>Yes</v>
      </c>
      <c r="Q1428" s="2164"/>
    </row>
    <row r="1429" spans="1:31" s="1852" customFormat="1" ht="12" customHeight="1">
      <c r="A1429" s="2223"/>
      <c r="B1429" s="2121" t="s">
        <v>1659</v>
      </c>
      <c r="C1429" s="2121" t="s">
        <v>7148</v>
      </c>
      <c r="G1429" s="2228"/>
      <c r="H1429" s="2228"/>
      <c r="I1429" s="2228"/>
      <c r="J1429" s="2228"/>
      <c r="K1429" s="2228"/>
      <c r="L1429" s="2228"/>
      <c r="M1429" s="2228"/>
      <c r="O1429" s="2270" t="s">
        <v>1659</v>
      </c>
      <c r="P1429" s="2230" t="str">
        <f>'Part VIII-Threshold Criteria'!P189</f>
        <v>Yes</v>
      </c>
      <c r="Q1429" s="2164"/>
    </row>
    <row r="1430" spans="1:31" s="2158" customFormat="1" ht="21.75" customHeight="1">
      <c r="A1430" s="2224"/>
      <c r="B1430" s="2228" t="s">
        <v>1660</v>
      </c>
      <c r="C1430" s="2223" t="s">
        <v>3369</v>
      </c>
      <c r="D1430" s="2223"/>
      <c r="E1430" s="2223"/>
      <c r="F1430" s="2223"/>
      <c r="G1430" s="2223"/>
      <c r="H1430" s="2223"/>
      <c r="I1430" s="2223"/>
      <c r="J1430" s="2223"/>
      <c r="K1430" s="2223"/>
      <c r="L1430" s="2223"/>
      <c r="M1430" s="2223"/>
      <c r="N1430" s="2223"/>
      <c r="O1430" s="2224" t="s">
        <v>1660</v>
      </c>
      <c r="P1430" s="2230" t="str">
        <f>'Part VIII-Threshold Criteria'!P190</f>
        <v>Yes</v>
      </c>
      <c r="Q1430" s="2252"/>
    </row>
    <row r="1431" spans="1:31" s="1852" customFormat="1" ht="12" customHeight="1">
      <c r="A1431" s="2224"/>
      <c r="B1431" s="2121" t="s">
        <v>2261</v>
      </c>
      <c r="C1431" s="2121" t="s">
        <v>2508</v>
      </c>
      <c r="G1431" s="2228"/>
      <c r="H1431" s="2228"/>
      <c r="I1431" s="2228"/>
      <c r="J1431" s="2228"/>
      <c r="K1431" s="2228"/>
      <c r="L1431" s="2228"/>
      <c r="M1431" s="2228"/>
      <c r="O1431" s="2270" t="s">
        <v>2261</v>
      </c>
      <c r="P1431" s="2230" t="str">
        <f>'Part VIII-Threshold Criteria'!P191</f>
        <v>Yes</v>
      </c>
      <c r="Q1431" s="2164"/>
    </row>
    <row r="1432" spans="1:31" s="2158" customFormat="1" ht="21.75" customHeight="1">
      <c r="A1432" s="2224"/>
      <c r="B1432" s="2228" t="s">
        <v>1487</v>
      </c>
      <c r="C1432" s="2223" t="s">
        <v>2509</v>
      </c>
      <c r="D1432" s="2223"/>
      <c r="E1432" s="2223"/>
      <c r="F1432" s="2223"/>
      <c r="G1432" s="2223"/>
      <c r="H1432" s="2223"/>
      <c r="I1432" s="2223"/>
      <c r="J1432" s="2223"/>
      <c r="K1432" s="2223"/>
      <c r="L1432" s="2223"/>
      <c r="M1432" s="2223"/>
      <c r="N1432" s="2223"/>
      <c r="O1432" s="2224" t="s">
        <v>1487</v>
      </c>
      <c r="P1432" s="2230" t="str">
        <f>'Part VIII-Threshold Criteria'!P192</f>
        <v>N/Ap</v>
      </c>
      <c r="Q1432" s="2252"/>
    </row>
    <row r="1433" spans="1:31" s="2158" customFormat="1" ht="21.75" customHeight="1">
      <c r="A1433" s="2224"/>
      <c r="B1433" s="2228" t="s">
        <v>1488</v>
      </c>
      <c r="C1433" s="2223" t="s">
        <v>3447</v>
      </c>
      <c r="D1433" s="2223"/>
      <c r="E1433" s="2223"/>
      <c r="F1433" s="2223"/>
      <c r="G1433" s="2223"/>
      <c r="H1433" s="2223"/>
      <c r="I1433" s="2223"/>
      <c r="J1433" s="2223"/>
      <c r="K1433" s="2223"/>
      <c r="L1433" s="2223"/>
      <c r="M1433" s="2223"/>
      <c r="N1433" s="2223"/>
      <c r="O1433" s="2224" t="s">
        <v>1488</v>
      </c>
      <c r="P1433" s="2230" t="str">
        <f>'Part VIII-Threshold Criteria'!P193</f>
        <v>N/Ap</v>
      </c>
      <c r="Q1433" s="2252"/>
    </row>
    <row r="1434" spans="1:31" s="1852" customFormat="1" ht="21.75" customHeight="1">
      <c r="A1434" s="2224" t="s">
        <v>2022</v>
      </c>
      <c r="B1434" s="2223" t="s">
        <v>2510</v>
      </c>
      <c r="C1434" s="2223"/>
      <c r="D1434" s="2223"/>
      <c r="E1434" s="2223"/>
      <c r="F1434" s="2223"/>
      <c r="G1434" s="2223"/>
      <c r="H1434" s="2223"/>
      <c r="I1434" s="2223"/>
      <c r="J1434" s="2223"/>
      <c r="K1434" s="2223"/>
      <c r="L1434" s="2223"/>
      <c r="M1434" s="2223"/>
      <c r="N1434" s="2223"/>
      <c r="O1434" s="2224" t="s">
        <v>2022</v>
      </c>
      <c r="P1434" s="2230" t="str">
        <f>'Part VIII-Threshold Criteria'!P194</f>
        <v>Yes</v>
      </c>
      <c r="Q1434" s="2252"/>
    </row>
    <row r="1435" spans="1:31" s="1852" customFormat="1" ht="12" customHeight="1">
      <c r="A1435" s="2224" t="s">
        <v>1656</v>
      </c>
      <c r="B1435" s="2228" t="s">
        <v>2274</v>
      </c>
      <c r="D1435" s="2228"/>
      <c r="E1435" s="2228"/>
      <c r="F1435" s="2228"/>
      <c r="G1435" s="2228"/>
      <c r="H1435" s="2228"/>
      <c r="I1435" s="2228"/>
      <c r="J1435" s="2228"/>
      <c r="K1435" s="2228"/>
      <c r="L1435" s="2228"/>
      <c r="M1435" s="2228"/>
      <c r="O1435" s="2224" t="s">
        <v>1656</v>
      </c>
      <c r="P1435" s="2230" t="str">
        <f>'Part VIII-Threshold Criteria'!P195</f>
        <v>Yes</v>
      </c>
      <c r="Q1435" s="2164"/>
    </row>
    <row r="1436" spans="1:31" s="1852" customFormat="1" ht="12" customHeight="1">
      <c r="B1436" s="2170" t="s">
        <v>3373</v>
      </c>
      <c r="D1436" s="2170"/>
      <c r="E1436" s="2170"/>
      <c r="F1436" s="2170"/>
      <c r="G1436" s="2170"/>
      <c r="H1436" s="2121"/>
      <c r="I1436" s="2164"/>
      <c r="J1436" s="2164"/>
      <c r="K1436" s="2164"/>
      <c r="L1436" s="2117"/>
      <c r="M1436" s="2117"/>
      <c r="N1436" s="2117"/>
      <c r="O1436" s="2117"/>
      <c r="P1436" s="2117"/>
      <c r="Q1436" s="2117"/>
    </row>
    <row r="1437" spans="1:31" s="1852" customFormat="1" ht="11.45" customHeight="1">
      <c r="A1437" s="2226" t="str">
        <f>'Part VIII-Threshold Criteria'!A197</f>
        <v>Both parcels that comprise the "proposed site" are zoned B-3 per a letter from the Planning and Zoning Manager for Effingham County. The B-3 zoning district allows up to 12 multifamily units per acre. There are no conditions to the zoning or land use classifications for this site.</v>
      </c>
      <c r="B1437" s="2226"/>
      <c r="C1437" s="2226"/>
      <c r="D1437" s="2226"/>
      <c r="E1437" s="2226"/>
      <c r="F1437" s="2226"/>
      <c r="G1437" s="2226"/>
      <c r="H1437" s="2226"/>
      <c r="I1437" s="2226"/>
      <c r="J1437" s="2226"/>
      <c r="K1437" s="2226"/>
      <c r="L1437" s="2226"/>
      <c r="M1437" s="2226"/>
      <c r="N1437" s="2226"/>
      <c r="O1437" s="2226"/>
      <c r="P1437" s="2226"/>
      <c r="Q1437" s="2226"/>
      <c r="U1437" s="1719"/>
      <c r="V1437" s="1719"/>
      <c r="W1437" s="1719"/>
      <c r="X1437" s="1719"/>
      <c r="Y1437" s="1719"/>
      <c r="Z1437" s="1719"/>
      <c r="AA1437" s="1719"/>
      <c r="AB1437" s="1719"/>
      <c r="AC1437" s="1719"/>
      <c r="AD1437" s="1719"/>
      <c r="AE1437" s="1719"/>
    </row>
    <row r="1438" spans="1:31" s="1852" customFormat="1" ht="12" customHeight="1">
      <c r="B1438" s="2227" t="s">
        <v>1781</v>
      </c>
      <c r="C1438" s="2227"/>
      <c r="D1438" s="2228"/>
      <c r="E1438" s="2228"/>
      <c r="F1438" s="2228"/>
      <c r="G1438" s="2228"/>
      <c r="H1438" s="2228"/>
      <c r="I1438" s="2228"/>
      <c r="J1438" s="2228"/>
      <c r="K1438" s="2228"/>
      <c r="L1438" s="2228"/>
      <c r="M1438" s="2228"/>
      <c r="N1438" s="2228"/>
      <c r="O1438" s="2228"/>
      <c r="P1438" s="2228"/>
      <c r="Q1438" s="2228"/>
    </row>
    <row r="1439" spans="1:31" s="1852" customFormat="1" ht="11.45" customHeight="1">
      <c r="A1439" s="2223"/>
      <c r="B1439" s="2223"/>
      <c r="C1439" s="2223"/>
      <c r="D1439" s="2223"/>
      <c r="E1439" s="2223"/>
      <c r="F1439" s="2223"/>
      <c r="G1439" s="2223"/>
      <c r="H1439" s="2223"/>
      <c r="I1439" s="2223"/>
      <c r="J1439" s="2223"/>
      <c r="K1439" s="2223"/>
      <c r="L1439" s="2223"/>
      <c r="M1439" s="2223"/>
      <c r="N1439" s="2223"/>
      <c r="O1439" s="2223"/>
      <c r="P1439" s="2223"/>
      <c r="Q1439" s="2223"/>
    </row>
    <row r="1440" spans="1:31" s="1852" customFormat="1" ht="3" customHeight="1">
      <c r="A1440" s="2117"/>
      <c r="B1440" s="2164"/>
      <c r="C1440" s="2228"/>
      <c r="D1440" s="2228"/>
      <c r="E1440" s="2228"/>
      <c r="F1440" s="2228"/>
      <c r="G1440" s="2228"/>
      <c r="H1440" s="2228"/>
      <c r="I1440" s="2228"/>
      <c r="J1440" s="2228"/>
      <c r="K1440" s="2228"/>
      <c r="L1440" s="2228"/>
      <c r="M1440" s="2228"/>
      <c r="N1440" s="2228"/>
      <c r="O1440" s="2228"/>
      <c r="P1440" s="2228"/>
      <c r="Q1440" s="2117"/>
    </row>
    <row r="1441" spans="1:44" s="1852" customFormat="1" ht="14.1" customHeight="1">
      <c r="A1441" s="2105" t="s">
        <v>347</v>
      </c>
      <c r="B1441" s="2105" t="s">
        <v>2518</v>
      </c>
      <c r="C1441" s="2105"/>
      <c r="D1441" s="2228"/>
      <c r="E1441" s="2222"/>
      <c r="F1441" s="1967" t="s">
        <v>6381</v>
      </c>
      <c r="G1441" s="2228"/>
      <c r="J1441" s="2223"/>
      <c r="K1441" s="2223"/>
      <c r="L1441" s="2223"/>
      <c r="M1441" s="2223"/>
      <c r="N1441" s="2223"/>
      <c r="O1441" s="2224" t="s">
        <v>1782</v>
      </c>
      <c r="P1441" s="1719"/>
      <c r="Q1441" s="1719"/>
    </row>
    <row r="1442" spans="1:44" s="1852" customFormat="1" ht="12.75" customHeight="1">
      <c r="B1442" s="2112" t="s">
        <v>6452</v>
      </c>
      <c r="N1442" s="2051"/>
      <c r="P1442" s="2230" t="str">
        <f>'Part VIII-Threshold Criteria'!P202</f>
        <v>No</v>
      </c>
      <c r="Q1442" s="2164"/>
      <c r="S1442" s="2269"/>
      <c r="T1442" s="2269"/>
      <c r="U1442" s="2269"/>
      <c r="V1442" s="2269"/>
      <c r="W1442" s="2269"/>
      <c r="X1442" s="2269"/>
      <c r="Y1442" s="2269"/>
      <c r="Z1442" s="2269"/>
      <c r="AA1442" s="2269"/>
      <c r="AB1442" s="2269"/>
      <c r="AC1442" s="2269"/>
      <c r="AD1442" s="2269"/>
      <c r="AE1442" s="2269"/>
      <c r="AF1442" s="2269"/>
      <c r="AG1442" s="2269"/>
      <c r="AH1442" s="2269"/>
      <c r="AI1442" s="2269"/>
      <c r="AJ1442" s="2269"/>
      <c r="AK1442" s="2269"/>
      <c r="AL1442" s="2269"/>
      <c r="AM1442" s="2269"/>
      <c r="AN1442" s="2269"/>
      <c r="AO1442" s="2269"/>
      <c r="AP1442" s="2269"/>
      <c r="AQ1442" s="2269"/>
      <c r="AR1442" s="2269"/>
    </row>
    <row r="1443" spans="1:44" s="1852" customFormat="1" ht="33.75" customHeight="1">
      <c r="B1443" s="435" t="s">
        <v>6338</v>
      </c>
      <c r="C1443" s="435"/>
      <c r="D1443" s="435"/>
      <c r="E1443" s="435"/>
      <c r="F1443" s="435"/>
      <c r="G1443" s="435"/>
      <c r="H1443" s="435"/>
      <c r="I1443" s="435"/>
      <c r="J1443" s="435"/>
      <c r="K1443" s="435"/>
      <c r="L1443" s="435"/>
      <c r="M1443" s="435"/>
      <c r="N1443" s="435"/>
      <c r="O1443" s="435"/>
      <c r="P1443" s="435"/>
      <c r="Q1443" s="435"/>
    </row>
    <row r="1444" spans="1:44" s="1852" customFormat="1" ht="12.75" customHeight="1">
      <c r="A1444" s="2141"/>
      <c r="B1444" s="2223" t="s">
        <v>91</v>
      </c>
      <c r="D1444" s="2223"/>
      <c r="E1444" s="2223"/>
      <c r="F1444" s="2223"/>
      <c r="G1444" s="2223"/>
      <c r="H1444" s="2255" t="s">
        <v>1658</v>
      </c>
      <c r="I1444" s="435" t="s">
        <v>144</v>
      </c>
      <c r="J1444" s="2111" t="str">
        <f>'Part VIII-Threshold Criteria'!J204</f>
        <v>&lt;&lt;Enter Provider Name Here&gt;&gt;</v>
      </c>
      <c r="K1444" s="2111"/>
      <c r="L1444" s="2111"/>
      <c r="M1444" s="2111"/>
      <c r="N1444" s="2111"/>
      <c r="O1444" s="2255" t="s">
        <v>1658</v>
      </c>
      <c r="P1444" s="2230" t="str">
        <f>'Part VIII-Threshold Criteria'!P204</f>
        <v>No</v>
      </c>
      <c r="Q1444" s="2164"/>
    </row>
    <row r="1445" spans="1:44" s="1852" customFormat="1" ht="12.75" customHeight="1">
      <c r="A1445" s="2141"/>
      <c r="B1445" s="2170" t="s">
        <v>3373</v>
      </c>
      <c r="C1445" s="2158"/>
      <c r="D1445" s="2158"/>
      <c r="E1445" s="2158"/>
      <c r="F1445" s="2158"/>
      <c r="H1445" s="2255" t="s">
        <v>1659</v>
      </c>
      <c r="I1445" s="435" t="s">
        <v>1530</v>
      </c>
      <c r="J1445" s="2111" t="str">
        <f>'Part VIII-Threshold Criteria'!J205</f>
        <v>Georgia Power</v>
      </c>
      <c r="K1445" s="2111"/>
      <c r="L1445" s="2111"/>
      <c r="M1445" s="2111"/>
      <c r="N1445" s="2111"/>
      <c r="O1445" s="2255" t="s">
        <v>1659</v>
      </c>
      <c r="P1445" s="2230" t="str">
        <f>'Part VIII-Threshold Criteria'!P205</f>
        <v>Yes</v>
      </c>
      <c r="Q1445" s="2164"/>
    </row>
    <row r="1446" spans="1:44" s="1852" customFormat="1" ht="12.75" customHeight="1">
      <c r="A1446" s="2226" t="str">
        <f>'Part VIII-Threshold Criteria'!A206</f>
        <v xml:space="preserve">A letter stating that Georgia Power has the ability and capacity to serve the development for electricity has been included in the application. Gas will not be used at the property thus an availbility letter was not obtained. </v>
      </c>
      <c r="B1446" s="2226"/>
      <c r="C1446" s="2226"/>
      <c r="D1446" s="2226"/>
      <c r="E1446" s="2226"/>
      <c r="F1446" s="2226"/>
      <c r="G1446" s="2226"/>
      <c r="H1446" s="2226"/>
      <c r="I1446" s="2226"/>
      <c r="J1446" s="2226"/>
      <c r="K1446" s="2226"/>
      <c r="L1446" s="2226"/>
      <c r="M1446" s="2226"/>
      <c r="N1446" s="2226"/>
      <c r="O1446" s="2226"/>
      <c r="P1446" s="2226"/>
      <c r="Q1446" s="2226"/>
      <c r="U1446" s="1719"/>
      <c r="V1446" s="1719"/>
      <c r="W1446" s="1719"/>
      <c r="X1446" s="1719"/>
      <c r="Y1446" s="1719"/>
      <c r="Z1446" s="1719"/>
      <c r="AA1446" s="1719"/>
      <c r="AB1446" s="1719"/>
      <c r="AC1446" s="1719"/>
      <c r="AD1446" s="1719"/>
      <c r="AE1446" s="1719"/>
    </row>
    <row r="1447" spans="1:44" s="1852" customFormat="1" ht="12.75" customHeight="1">
      <c r="B1447" s="2227" t="s">
        <v>1781</v>
      </c>
      <c r="C1447" s="2227"/>
      <c r="D1447" s="2228"/>
      <c r="E1447" s="2228"/>
      <c r="F1447" s="2228"/>
      <c r="G1447" s="2228"/>
      <c r="H1447" s="2228"/>
      <c r="I1447" s="2228"/>
      <c r="J1447" s="2228"/>
      <c r="K1447" s="2228"/>
      <c r="L1447" s="2228"/>
      <c r="M1447" s="2228"/>
      <c r="N1447" s="2228"/>
      <c r="O1447" s="2228"/>
      <c r="P1447" s="2228"/>
      <c r="Q1447" s="2228"/>
    </row>
    <row r="1448" spans="1:44" s="1852" customFormat="1" ht="12.75" customHeight="1">
      <c r="A1448" s="2223"/>
      <c r="B1448" s="2223"/>
      <c r="C1448" s="2223"/>
      <c r="D1448" s="2223"/>
      <c r="E1448" s="2223"/>
      <c r="F1448" s="2223"/>
      <c r="G1448" s="2223"/>
      <c r="H1448" s="2223"/>
      <c r="I1448" s="2223"/>
      <c r="J1448" s="2223"/>
      <c r="K1448" s="2223"/>
      <c r="L1448" s="2223"/>
      <c r="M1448" s="2223"/>
      <c r="N1448" s="2223"/>
      <c r="O1448" s="2223"/>
      <c r="P1448" s="2223"/>
      <c r="Q1448" s="2223"/>
    </row>
    <row r="1449" spans="1:44" s="1852" customFormat="1" ht="4.3499999999999996" customHeight="1">
      <c r="B1449" s="2164"/>
      <c r="C1449" s="2228"/>
      <c r="D1449" s="2228"/>
      <c r="E1449" s="2228"/>
      <c r="F1449" s="2228"/>
      <c r="G1449" s="2228"/>
      <c r="H1449" s="2228"/>
      <c r="I1449" s="2228"/>
      <c r="J1449" s="2228"/>
      <c r="K1449" s="2228"/>
      <c r="L1449" s="2228"/>
      <c r="M1449" s="2228"/>
      <c r="Q1449" s="2117"/>
    </row>
    <row r="1450" spans="1:44" s="1852" customFormat="1" ht="14.1" customHeight="1">
      <c r="A1450" s="2105" t="s">
        <v>348</v>
      </c>
      <c r="B1450" s="1818" t="s">
        <v>2519</v>
      </c>
      <c r="C1450" s="1818"/>
      <c r="D1450" s="435"/>
      <c r="E1450" s="435"/>
      <c r="F1450" s="435"/>
      <c r="G1450" s="2228"/>
      <c r="H1450" s="2228"/>
      <c r="I1450" s="2271" t="s">
        <v>6382</v>
      </c>
      <c r="J1450" s="2228"/>
      <c r="K1450" s="2228"/>
      <c r="L1450" s="2228"/>
      <c r="M1450" s="2228"/>
      <c r="O1450" s="2224" t="s">
        <v>1782</v>
      </c>
      <c r="P1450" s="1719"/>
      <c r="Q1450" s="1719"/>
    </row>
    <row r="1451" spans="1:44" s="1852" customFormat="1" ht="12.75" customHeight="1">
      <c r="B1451" s="2112" t="s">
        <v>6452</v>
      </c>
      <c r="N1451" s="2051"/>
      <c r="P1451" s="2230" t="str">
        <f>'Part VIII-Threshold Criteria'!P211</f>
        <v>No</v>
      </c>
      <c r="Q1451" s="2164"/>
      <c r="S1451" s="2269"/>
      <c r="T1451" s="2269"/>
      <c r="U1451" s="2269"/>
      <c r="V1451" s="2269"/>
      <c r="W1451" s="2269"/>
      <c r="X1451" s="2269"/>
      <c r="Y1451" s="2269"/>
      <c r="Z1451" s="2269"/>
      <c r="AA1451" s="2269"/>
      <c r="AB1451" s="2269"/>
      <c r="AC1451" s="2269"/>
      <c r="AD1451" s="2269"/>
      <c r="AE1451" s="2269"/>
      <c r="AF1451" s="2269"/>
      <c r="AG1451" s="2269"/>
      <c r="AH1451" s="2269"/>
      <c r="AI1451" s="2269"/>
      <c r="AJ1451" s="2269"/>
      <c r="AK1451" s="2269"/>
      <c r="AL1451" s="2269"/>
      <c r="AM1451" s="2269"/>
      <c r="AN1451" s="2269"/>
      <c r="AO1451" s="2269"/>
      <c r="AP1451" s="2269"/>
      <c r="AQ1451" s="2269"/>
      <c r="AR1451" s="2269"/>
    </row>
    <row r="1452" spans="1:44" s="1852" customFormat="1" ht="12.75" customHeight="1">
      <c r="A1452" s="2224" t="s">
        <v>1894</v>
      </c>
      <c r="B1452" s="2223" t="s">
        <v>1764</v>
      </c>
      <c r="C1452" s="2223"/>
      <c r="D1452" s="2223"/>
      <c r="E1452" s="2223"/>
      <c r="F1452" s="2223"/>
      <c r="G1452" s="2223"/>
      <c r="H1452" s="2255" t="s">
        <v>1658</v>
      </c>
      <c r="I1452" s="435" t="s">
        <v>605</v>
      </c>
      <c r="J1452" s="2111" t="str">
        <f>'Part VIII-Threshold Criteria'!J212</f>
        <v>Effingham County Public Water &amp; Sewer Systems</v>
      </c>
      <c r="K1452" s="2111"/>
      <c r="L1452" s="2111"/>
      <c r="M1452" s="2111"/>
      <c r="N1452" s="2111"/>
      <c r="O1452" s="2224" t="s">
        <v>1427</v>
      </c>
      <c r="P1452" s="2230" t="str">
        <f>'Part VIII-Threshold Criteria'!P212</f>
        <v>Yes</v>
      </c>
      <c r="Q1452" s="2164"/>
    </row>
    <row r="1453" spans="1:44" s="1852" customFormat="1" ht="12.75" customHeight="1">
      <c r="A1453" s="1818"/>
      <c r="B1453" s="2223"/>
      <c r="C1453" s="2223"/>
      <c r="D1453" s="2223"/>
      <c r="E1453" s="2223"/>
      <c r="F1453" s="2223"/>
      <c r="G1453" s="2223"/>
      <c r="H1453" s="2255" t="s">
        <v>1659</v>
      </c>
      <c r="I1453" s="435" t="s">
        <v>109</v>
      </c>
      <c r="J1453" s="2111" t="str">
        <f>'Part VIII-Threshold Criteria'!J213</f>
        <v>Effingham County Public Water &amp; Sewer Systems</v>
      </c>
      <c r="K1453" s="2111"/>
      <c r="L1453" s="2111"/>
      <c r="M1453" s="2111"/>
      <c r="N1453" s="2111"/>
      <c r="O1453" s="2224" t="s">
        <v>1659</v>
      </c>
      <c r="P1453" s="2230" t="str">
        <f>'Part VIII-Threshold Criteria'!P213</f>
        <v>Yes</v>
      </c>
      <c r="Q1453" s="2164"/>
    </row>
    <row r="1454" spans="1:44" s="1852" customFormat="1" ht="12.75" customHeight="1">
      <c r="A1454" s="2224" t="s">
        <v>1896</v>
      </c>
      <c r="B1454" s="435" t="s">
        <v>3451</v>
      </c>
      <c r="D1454" s="435"/>
      <c r="E1454" s="435"/>
      <c r="F1454" s="435"/>
      <c r="G1454" s="435"/>
      <c r="H1454" s="435"/>
      <c r="I1454" s="435"/>
      <c r="J1454" s="435"/>
      <c r="K1454" s="1818"/>
      <c r="L1454" s="435"/>
      <c r="M1454" s="435"/>
      <c r="O1454" s="2255" t="s">
        <v>1896</v>
      </c>
      <c r="P1454" s="2230">
        <f>'Part VIII-Threshold Criteria'!P214</f>
        <v>0</v>
      </c>
      <c r="Q1454" s="2164"/>
    </row>
    <row r="1455" spans="1:44" s="1852" customFormat="1" ht="12.75" customHeight="1">
      <c r="A1455" s="2255" t="s">
        <v>719</v>
      </c>
      <c r="B1455" s="435" t="s">
        <v>3452</v>
      </c>
      <c r="D1455" s="435"/>
      <c r="E1455" s="435"/>
      <c r="F1455" s="435"/>
      <c r="G1455" s="435"/>
      <c r="H1455" s="435"/>
      <c r="I1455" s="435"/>
      <c r="J1455" s="435"/>
      <c r="K1455" s="1818"/>
      <c r="L1455" s="435"/>
      <c r="M1455" s="435"/>
      <c r="O1455" s="2255" t="s">
        <v>719</v>
      </c>
      <c r="P1455" s="2230">
        <f>'Part VIII-Threshold Criteria'!P215</f>
        <v>0</v>
      </c>
      <c r="Q1455" s="2164"/>
    </row>
    <row r="1456" spans="1:44" s="1852" customFormat="1" ht="12.75" customHeight="1">
      <c r="B1456" s="2170" t="s">
        <v>3373</v>
      </c>
      <c r="D1456" s="2170"/>
      <c r="E1456" s="2170"/>
      <c r="F1456" s="2170"/>
      <c r="G1456" s="2170"/>
      <c r="H1456" s="2121"/>
      <c r="I1456" s="2164"/>
      <c r="J1456" s="2164"/>
      <c r="K1456" s="2164"/>
      <c r="L1456" s="2117"/>
      <c r="M1456" s="2117"/>
      <c r="N1456" s="2117"/>
      <c r="O1456" s="2117"/>
      <c r="P1456" s="2117"/>
      <c r="Q1456" s="2117"/>
    </row>
    <row r="1457" spans="1:44" s="1852" customFormat="1" ht="12.75" customHeight="1">
      <c r="A1457" s="2226" t="str">
        <f>'Part VIII-Threshold Criteria'!A217</f>
        <v>The County’s current water and sewer facilities are within easement on the referenced project site. The Developer / Owner has the right to extend their service lines to connect to the County system. Thus, water and sewer are both available at the proposed site. B &amp; C are blank as easements are not neccessary and the site does not require annexation to access to water/sewer.</v>
      </c>
      <c r="B1457" s="2226"/>
      <c r="C1457" s="2226"/>
      <c r="D1457" s="2226"/>
      <c r="E1457" s="2226"/>
      <c r="F1457" s="2226"/>
      <c r="G1457" s="2226"/>
      <c r="H1457" s="2226"/>
      <c r="I1457" s="2226"/>
      <c r="J1457" s="2226"/>
      <c r="K1457" s="2226"/>
      <c r="L1457" s="2226"/>
      <c r="M1457" s="2226"/>
      <c r="N1457" s="2226"/>
      <c r="O1457" s="2226"/>
      <c r="P1457" s="2226"/>
      <c r="Q1457" s="2226"/>
      <c r="U1457" s="1719"/>
      <c r="V1457" s="1719"/>
      <c r="W1457" s="1719"/>
      <c r="X1457" s="1719"/>
      <c r="Y1457" s="1719"/>
      <c r="Z1457" s="1719"/>
      <c r="AA1457" s="1719"/>
      <c r="AB1457" s="1719"/>
      <c r="AC1457" s="1719"/>
      <c r="AD1457" s="1719"/>
      <c r="AE1457" s="1719"/>
    </row>
    <row r="1458" spans="1:44" s="1852" customFormat="1" ht="12.75" customHeight="1">
      <c r="B1458" s="2227" t="s">
        <v>1781</v>
      </c>
      <c r="C1458" s="2227"/>
      <c r="D1458" s="2228"/>
      <c r="E1458" s="2228"/>
      <c r="F1458" s="2228"/>
      <c r="G1458" s="2228"/>
      <c r="H1458" s="2228"/>
      <c r="I1458" s="2228"/>
      <c r="J1458" s="2228"/>
      <c r="K1458" s="2228"/>
      <c r="L1458" s="2228"/>
      <c r="M1458" s="2228"/>
      <c r="N1458" s="2228"/>
      <c r="O1458" s="2228"/>
      <c r="P1458" s="2228"/>
      <c r="Q1458" s="2228"/>
    </row>
    <row r="1459" spans="1:44" s="1852" customFormat="1" ht="12.75" customHeight="1">
      <c r="A1459" s="2223"/>
      <c r="B1459" s="2223"/>
      <c r="C1459" s="2223"/>
      <c r="D1459" s="2223"/>
      <c r="E1459" s="2223"/>
      <c r="F1459" s="2223"/>
      <c r="G1459" s="2223"/>
      <c r="H1459" s="2223"/>
      <c r="I1459" s="2223"/>
      <c r="J1459" s="2223"/>
      <c r="K1459" s="2223"/>
      <c r="L1459" s="2223"/>
      <c r="M1459" s="2223"/>
      <c r="N1459" s="2223"/>
      <c r="O1459" s="2223"/>
      <c r="P1459" s="2223"/>
      <c r="Q1459" s="2223"/>
      <c r="S1459" s="2269"/>
      <c r="T1459" s="2269"/>
      <c r="U1459" s="2269"/>
      <c r="V1459" s="2269"/>
      <c r="W1459" s="2269"/>
      <c r="X1459" s="2269"/>
      <c r="Y1459" s="2269"/>
      <c r="Z1459" s="2269"/>
      <c r="AA1459" s="2269"/>
      <c r="AB1459" s="2269"/>
      <c r="AC1459" s="2269"/>
      <c r="AD1459" s="2269"/>
      <c r="AE1459" s="2269"/>
      <c r="AF1459" s="2269"/>
      <c r="AG1459" s="2269"/>
      <c r="AH1459" s="2269"/>
      <c r="AI1459" s="2269"/>
      <c r="AJ1459" s="2269"/>
      <c r="AK1459" s="2269"/>
      <c r="AL1459" s="2269"/>
      <c r="AM1459" s="2269"/>
      <c r="AN1459" s="2269"/>
      <c r="AO1459" s="2269"/>
      <c r="AP1459" s="2269"/>
      <c r="AQ1459" s="2269"/>
      <c r="AR1459" s="2269"/>
    </row>
    <row r="1460" spans="1:44" s="1852" customFormat="1" ht="3" customHeight="1">
      <c r="A1460" s="2117"/>
      <c r="B1460" s="2164"/>
      <c r="C1460" s="2228"/>
      <c r="D1460" s="2228"/>
      <c r="E1460" s="2228"/>
      <c r="F1460" s="2228"/>
      <c r="G1460" s="2228"/>
      <c r="H1460" s="2228"/>
      <c r="I1460" s="2228"/>
      <c r="J1460" s="2228"/>
      <c r="K1460" s="2228"/>
      <c r="L1460" s="2228"/>
      <c r="M1460" s="2228"/>
      <c r="Q1460" s="2117"/>
      <c r="S1460" s="2269"/>
      <c r="T1460" s="2269"/>
      <c r="U1460" s="2269"/>
      <c r="V1460" s="2269"/>
      <c r="W1460" s="2269"/>
      <c r="X1460" s="2269"/>
      <c r="Y1460" s="2269"/>
      <c r="Z1460" s="2269"/>
      <c r="AA1460" s="2269"/>
      <c r="AB1460" s="2269"/>
      <c r="AC1460" s="2269"/>
      <c r="AD1460" s="2269"/>
      <c r="AE1460" s="2269"/>
      <c r="AF1460" s="2269"/>
      <c r="AG1460" s="2269"/>
      <c r="AH1460" s="2269"/>
      <c r="AI1460" s="2269"/>
      <c r="AJ1460" s="2269"/>
      <c r="AK1460" s="2269"/>
      <c r="AL1460" s="2269"/>
      <c r="AM1460" s="2269"/>
      <c r="AN1460" s="2269"/>
      <c r="AO1460" s="2269"/>
      <c r="AP1460" s="2269"/>
      <c r="AQ1460" s="2269"/>
      <c r="AR1460" s="2269"/>
    </row>
    <row r="1461" spans="1:44" s="1852" customFormat="1" ht="14.1" customHeight="1">
      <c r="A1461" s="2105" t="s">
        <v>1648</v>
      </c>
      <c r="B1461" s="2105" t="s">
        <v>2520</v>
      </c>
      <c r="C1461" s="2121"/>
      <c r="D1461" s="2228"/>
      <c r="E1461" s="2228"/>
      <c r="F1461" s="2228"/>
      <c r="G1461" s="2228"/>
      <c r="H1461" s="2228"/>
      <c r="I1461" s="2228"/>
      <c r="J1461" s="2228"/>
      <c r="K1461" s="2228"/>
      <c r="L1461" s="2228"/>
      <c r="M1461" s="2228"/>
      <c r="O1461" s="2224" t="s">
        <v>1782</v>
      </c>
      <c r="P1461" s="1719"/>
      <c r="Q1461" s="1719"/>
      <c r="S1461" s="2269"/>
      <c r="T1461" s="2269"/>
      <c r="U1461" s="2269"/>
      <c r="V1461" s="2269"/>
      <c r="W1461" s="2269"/>
      <c r="X1461" s="2269"/>
      <c r="Y1461" s="2269"/>
      <c r="Z1461" s="2269"/>
      <c r="AA1461" s="2269"/>
      <c r="AB1461" s="2269"/>
      <c r="AC1461" s="2269"/>
      <c r="AD1461" s="2269"/>
      <c r="AE1461" s="2269"/>
      <c r="AF1461" s="2269"/>
      <c r="AG1461" s="2269"/>
      <c r="AH1461" s="2269"/>
      <c r="AI1461" s="2269"/>
      <c r="AJ1461" s="2269"/>
      <c r="AK1461" s="2269"/>
      <c r="AL1461" s="2269"/>
      <c r="AM1461" s="2269"/>
      <c r="AN1461" s="2269"/>
      <c r="AO1461" s="2269"/>
      <c r="AP1461" s="2269"/>
      <c r="AQ1461" s="2269"/>
      <c r="AR1461" s="2269"/>
    </row>
    <row r="1462" spans="1:44" s="1852" customFormat="1" ht="12.75" customHeight="1">
      <c r="B1462" s="2112" t="s">
        <v>1147</v>
      </c>
      <c r="N1462" s="2051"/>
      <c r="P1462" s="2230" t="str">
        <f>'Part VIII-Threshold Criteria'!P222</f>
        <v>No</v>
      </c>
      <c r="Q1462" s="2164"/>
      <c r="S1462" s="2269"/>
      <c r="T1462" s="2269"/>
      <c r="U1462" s="2269"/>
      <c r="V1462" s="2269"/>
      <c r="W1462" s="2269"/>
      <c r="X1462" s="2269"/>
      <c r="Y1462" s="2269"/>
      <c r="Z1462" s="2269"/>
      <c r="AA1462" s="2269"/>
      <c r="AB1462" s="2269"/>
      <c r="AC1462" s="2269"/>
      <c r="AD1462" s="2269"/>
      <c r="AE1462" s="2269"/>
      <c r="AF1462" s="2269"/>
      <c r="AG1462" s="2269"/>
      <c r="AH1462" s="2269"/>
      <c r="AI1462" s="2269"/>
      <c r="AJ1462" s="2269"/>
      <c r="AK1462" s="2269"/>
      <c r="AL1462" s="2269"/>
      <c r="AM1462" s="2269"/>
      <c r="AN1462" s="2269"/>
      <c r="AO1462" s="2269"/>
      <c r="AP1462" s="2269"/>
      <c r="AQ1462" s="2269"/>
      <c r="AR1462" s="2269"/>
    </row>
    <row r="1463" spans="1:44" s="1852" customFormat="1" ht="12.75" customHeight="1">
      <c r="A1463" s="2255" t="s">
        <v>1894</v>
      </c>
      <c r="B1463" s="435" t="s">
        <v>7149</v>
      </c>
      <c r="D1463" s="1818"/>
      <c r="E1463" s="1818"/>
      <c r="F1463" s="1818"/>
      <c r="G1463" s="1818"/>
      <c r="H1463" s="1818"/>
      <c r="I1463" s="1818"/>
      <c r="J1463" s="1818"/>
      <c r="K1463" s="1818"/>
      <c r="L1463" s="1818"/>
      <c r="M1463" s="1818"/>
      <c r="O1463" s="2255" t="s">
        <v>1894</v>
      </c>
      <c r="P1463" s="2230" t="str">
        <f>'Part VIII-Threshold Criteria'!P223</f>
        <v>Agree</v>
      </c>
      <c r="Q1463" s="2164"/>
      <c r="S1463" s="2269"/>
      <c r="T1463" s="2269"/>
      <c r="U1463" s="2269"/>
      <c r="V1463" s="2269"/>
      <c r="W1463" s="2269"/>
      <c r="X1463" s="2269"/>
      <c r="Y1463" s="2269"/>
      <c r="Z1463" s="2269"/>
      <c r="AA1463" s="2269"/>
      <c r="AB1463" s="2269"/>
      <c r="AC1463" s="2269"/>
      <c r="AD1463" s="2269"/>
      <c r="AE1463" s="2269"/>
      <c r="AF1463" s="2269"/>
      <c r="AG1463" s="2269"/>
      <c r="AH1463" s="2269"/>
      <c r="AI1463" s="2269"/>
      <c r="AJ1463" s="2269"/>
      <c r="AK1463" s="2269"/>
      <c r="AL1463" s="2269"/>
      <c r="AM1463" s="2269"/>
      <c r="AN1463" s="2269"/>
      <c r="AO1463" s="2269"/>
      <c r="AP1463" s="2269"/>
      <c r="AQ1463" s="2269"/>
      <c r="AR1463" s="2269"/>
    </row>
    <row r="1464" spans="1:44" s="1852" customFormat="1" ht="12.75" customHeight="1">
      <c r="A1464" s="2255"/>
      <c r="B1464" s="2121" t="s">
        <v>1658</v>
      </c>
      <c r="C1464" s="435" t="s">
        <v>1843</v>
      </c>
      <c r="E1464" s="435"/>
      <c r="F1464" s="435"/>
      <c r="G1464" s="435"/>
      <c r="H1464" s="435"/>
      <c r="I1464" s="1818"/>
      <c r="J1464" s="2255" t="s">
        <v>1427</v>
      </c>
      <c r="K1464" s="2111" t="str">
        <f>'Part VIII-Threshold Criteria'!K224</f>
        <v>Building</v>
      </c>
      <c r="L1464" s="2111"/>
      <c r="Q1464" s="2164"/>
      <c r="S1464" s="2269"/>
      <c r="T1464" s="2269"/>
      <c r="U1464" s="2269"/>
      <c r="V1464" s="2269"/>
      <c r="W1464" s="2269"/>
      <c r="X1464" s="2269"/>
      <c r="Y1464" s="2269"/>
      <c r="Z1464" s="2269"/>
      <c r="AA1464" s="2269"/>
      <c r="AB1464" s="2269"/>
      <c r="AC1464" s="2269"/>
      <c r="AD1464" s="2269"/>
      <c r="AE1464" s="2269"/>
      <c r="AF1464" s="2269"/>
      <c r="AG1464" s="2269"/>
      <c r="AH1464" s="2269"/>
      <c r="AI1464" s="2269"/>
      <c r="AJ1464" s="2269"/>
      <c r="AK1464" s="2269"/>
      <c r="AL1464" s="2269"/>
      <c r="AM1464" s="2269"/>
      <c r="AN1464" s="2269"/>
      <c r="AO1464" s="2269"/>
      <c r="AP1464" s="2269"/>
      <c r="AQ1464" s="2269"/>
      <c r="AR1464" s="2269"/>
    </row>
    <row r="1465" spans="1:44" s="1852" customFormat="1" ht="12.75" customHeight="1">
      <c r="A1465" s="2255"/>
      <c r="B1465" s="2121" t="s">
        <v>1659</v>
      </c>
      <c r="C1465" s="2121" t="s">
        <v>3947</v>
      </c>
      <c r="E1465" s="2121"/>
      <c r="F1465" s="2121"/>
      <c r="G1465" s="2121"/>
      <c r="H1465" s="2121"/>
      <c r="I1465" s="1818"/>
      <c r="J1465" s="2255" t="s">
        <v>1428</v>
      </c>
      <c r="K1465" s="2111" t="str">
        <f>'Part VIII-Threshold Criteria'!K225</f>
        <v>Gazebo</v>
      </c>
      <c r="L1465" s="2111"/>
      <c r="M1465" s="2272" t="str">
        <f>'Part VIII-Threshold Criteria'!M225</f>
        <v>If "Other Pre-Approved", explain here</v>
      </c>
      <c r="N1465" s="2272"/>
      <c r="O1465" s="2272"/>
      <c r="P1465" s="2272"/>
      <c r="Q1465" s="2164"/>
      <c r="S1465" s="2269"/>
      <c r="T1465" s="2269"/>
      <c r="U1465" s="2269"/>
      <c r="V1465" s="2269"/>
      <c r="W1465" s="2269"/>
      <c r="X1465" s="2269"/>
      <c r="Y1465" s="2269"/>
      <c r="Z1465" s="2269"/>
      <c r="AA1465" s="2269"/>
      <c r="AB1465" s="2269"/>
      <c r="AC1465" s="2269"/>
      <c r="AD1465" s="2269"/>
      <c r="AE1465" s="2269"/>
      <c r="AF1465" s="2269"/>
      <c r="AG1465" s="2269"/>
      <c r="AH1465" s="2269"/>
      <c r="AI1465" s="2269"/>
      <c r="AJ1465" s="2269"/>
      <c r="AK1465" s="2269"/>
      <c r="AL1465" s="2269"/>
      <c r="AM1465" s="2269"/>
      <c r="AN1465" s="2269"/>
      <c r="AO1465" s="2269"/>
      <c r="AP1465" s="2269"/>
      <c r="AQ1465" s="2269"/>
      <c r="AR1465" s="2269"/>
    </row>
    <row r="1466" spans="1:44" s="1852" customFormat="1" ht="12.75" customHeight="1">
      <c r="A1466" s="2255"/>
      <c r="B1466" s="2121" t="s">
        <v>1660</v>
      </c>
      <c r="C1466" s="2121" t="s">
        <v>3948</v>
      </c>
      <c r="E1466" s="2121"/>
      <c r="F1466" s="2121"/>
      <c r="G1466" s="2121"/>
      <c r="H1466" s="2121"/>
      <c r="I1466" s="1818"/>
      <c r="J1466" s="2255" t="s">
        <v>1429</v>
      </c>
      <c r="K1466" s="2111" t="str">
        <f>'Part VIII-Threshold Criteria'!K226</f>
        <v>On-site laundry</v>
      </c>
      <c r="L1466" s="2111"/>
      <c r="M1466" s="2111"/>
      <c r="N1466" s="2111"/>
      <c r="Q1466" s="2164"/>
      <c r="R1466" s="1818"/>
      <c r="S1466" s="2269"/>
      <c r="T1466" s="2269"/>
      <c r="U1466" s="2269"/>
      <c r="V1466" s="2269"/>
      <c r="W1466" s="2269"/>
      <c r="X1466" s="2269"/>
      <c r="Y1466" s="2269"/>
      <c r="Z1466" s="2269"/>
      <c r="AA1466" s="2269"/>
      <c r="AB1466" s="2269"/>
      <c r="AC1466" s="2269"/>
      <c r="AD1466" s="2269"/>
      <c r="AE1466" s="2269"/>
      <c r="AF1466" s="2269"/>
      <c r="AG1466" s="2269"/>
      <c r="AH1466" s="2269"/>
      <c r="AI1466" s="2269"/>
      <c r="AJ1466" s="2269"/>
      <c r="AK1466" s="2269"/>
      <c r="AL1466" s="2269"/>
      <c r="AM1466" s="2269"/>
      <c r="AN1466" s="2269"/>
      <c r="AO1466" s="2269"/>
      <c r="AP1466" s="2269"/>
      <c r="AQ1466" s="2269"/>
      <c r="AR1466" s="2269"/>
    </row>
    <row r="1467" spans="1:44" s="1852" customFormat="1" ht="12.75" customHeight="1">
      <c r="A1467" s="2255" t="s">
        <v>1896</v>
      </c>
      <c r="B1467" s="435" t="s">
        <v>7150</v>
      </c>
      <c r="D1467" s="435"/>
      <c r="E1467" s="435"/>
      <c r="F1467" s="435"/>
      <c r="G1467" s="435"/>
      <c r="H1467" s="435"/>
      <c r="I1467" s="435"/>
      <c r="J1467" s="435"/>
      <c r="K1467" s="1818"/>
      <c r="L1467" s="1818"/>
      <c r="M1467" s="1818"/>
      <c r="N1467" s="1818"/>
      <c r="O1467" s="2255" t="s">
        <v>1896</v>
      </c>
      <c r="P1467" s="2230" t="str">
        <f>'Part VIII-Threshold Criteria'!P227</f>
        <v>Agree</v>
      </c>
      <c r="Q1467" s="2164"/>
      <c r="S1467" s="2269"/>
      <c r="T1467" s="2269"/>
      <c r="U1467" s="2269"/>
      <c r="V1467" s="2269"/>
      <c r="W1467" s="2269"/>
      <c r="X1467" s="2269"/>
      <c r="Y1467" s="2269"/>
      <c r="Z1467" s="2269"/>
      <c r="AA1467" s="2269"/>
      <c r="AB1467" s="2269"/>
      <c r="AC1467" s="2269"/>
      <c r="AD1467" s="2269"/>
      <c r="AE1467" s="2269"/>
      <c r="AF1467" s="2269"/>
      <c r="AG1467" s="2269"/>
      <c r="AH1467" s="2269"/>
      <c r="AI1467" s="2269"/>
      <c r="AJ1467" s="2269"/>
      <c r="AK1467" s="2269"/>
      <c r="AL1467" s="2269"/>
      <c r="AM1467" s="2269"/>
      <c r="AN1467" s="2269"/>
      <c r="AO1467" s="2269"/>
      <c r="AP1467" s="2269"/>
      <c r="AQ1467" s="2269"/>
      <c r="AR1467" s="2269"/>
    </row>
    <row r="1468" spans="1:44" s="1852" customFormat="1" ht="12.75" customHeight="1">
      <c r="A1468" s="2255"/>
      <c r="B1468" s="435" t="s">
        <v>7074</v>
      </c>
      <c r="D1468" s="435"/>
      <c r="E1468" s="435"/>
      <c r="F1468" s="435"/>
      <c r="G1468" s="435"/>
      <c r="H1468" s="435"/>
      <c r="I1468" s="435"/>
      <c r="J1468" s="435"/>
      <c r="K1468" s="1818"/>
      <c r="L1468" s="1818"/>
      <c r="M1468" s="1818"/>
      <c r="N1468" s="2255" t="s">
        <v>3274</v>
      </c>
      <c r="O1468" s="2273">
        <f>'Part VI-Revenues &amp; Expenses'!$P$67</f>
        <v>48</v>
      </c>
      <c r="P1468" s="2112" t="s">
        <v>4038</v>
      </c>
      <c r="Q1468" s="2112"/>
      <c r="S1468" s="2269"/>
      <c r="T1468" s="2269"/>
      <c r="U1468" s="2269"/>
      <c r="V1468" s="2269"/>
      <c r="W1468" s="2269"/>
      <c r="X1468" s="2269"/>
      <c r="Y1468" s="2269"/>
      <c r="Z1468" s="2269"/>
      <c r="AA1468" s="2269"/>
      <c r="AB1468" s="2269"/>
      <c r="AC1468" s="2269"/>
      <c r="AD1468" s="2269"/>
      <c r="AE1468" s="2269"/>
      <c r="AF1468" s="2269"/>
      <c r="AG1468" s="2269"/>
      <c r="AH1468" s="2269"/>
      <c r="AI1468" s="2269"/>
      <c r="AJ1468" s="2269"/>
      <c r="AK1468" s="2269"/>
      <c r="AL1468" s="2269"/>
      <c r="AM1468" s="2269"/>
      <c r="AN1468" s="2269"/>
      <c r="AO1468" s="2269"/>
      <c r="AP1468" s="2269"/>
      <c r="AQ1468" s="2269"/>
      <c r="AR1468" s="2269"/>
    </row>
    <row r="1469" spans="1:44" s="1852" customFormat="1" ht="12.75" customHeight="1">
      <c r="A1469" s="2255"/>
      <c r="B1469" s="2121" t="s">
        <v>1658</v>
      </c>
      <c r="C1469" s="435" t="s">
        <v>4039</v>
      </c>
      <c r="D1469" s="435"/>
      <c r="E1469" s="435"/>
      <c r="F1469" s="435"/>
      <c r="H1469" s="2255" t="s">
        <v>4040</v>
      </c>
      <c r="I1469" s="435" t="s">
        <v>7151</v>
      </c>
      <c r="M1469" s="1818"/>
      <c r="N1469" s="1818"/>
      <c r="O1469" s="2044"/>
      <c r="P1469" s="2129" t="s">
        <v>743</v>
      </c>
      <c r="Q1469" s="2129" t="s">
        <v>4037</v>
      </c>
      <c r="S1469" s="2269"/>
      <c r="T1469" s="2269"/>
      <c r="U1469" s="2269"/>
      <c r="V1469" s="2269"/>
      <c r="W1469" s="2269"/>
      <c r="X1469" s="2269"/>
      <c r="Y1469" s="2269"/>
      <c r="Z1469" s="2269"/>
      <c r="AA1469" s="2269"/>
      <c r="AB1469" s="2269"/>
      <c r="AC1469" s="2269"/>
      <c r="AD1469" s="2269"/>
      <c r="AE1469" s="2269"/>
      <c r="AF1469" s="2269"/>
      <c r="AG1469" s="2269"/>
      <c r="AH1469" s="2269"/>
      <c r="AI1469" s="2269"/>
      <c r="AJ1469" s="2269"/>
      <c r="AK1469" s="2269"/>
      <c r="AL1469" s="2269"/>
      <c r="AM1469" s="2269"/>
      <c r="AN1469" s="2269"/>
      <c r="AO1469" s="2269"/>
      <c r="AP1469" s="2269"/>
      <c r="AQ1469" s="2269"/>
      <c r="AR1469" s="2269"/>
    </row>
    <row r="1470" spans="1:44" s="2274" customFormat="1" ht="12.75" customHeight="1">
      <c r="A1470" s="2164"/>
      <c r="B1470" s="2255" t="s">
        <v>2023</v>
      </c>
      <c r="C1470" s="2226" t="str">
        <f>'Part VIII-Threshold Criteria'!C230</f>
        <v xml:space="preserve">Equipped Computer Center and WiFi </v>
      </c>
      <c r="D1470" s="2226"/>
      <c r="E1470" s="2226"/>
      <c r="F1470" s="2226"/>
      <c r="G1470" s="2226"/>
      <c r="H1470" s="2255" t="s">
        <v>2023</v>
      </c>
      <c r="I1470" s="1951" t="str">
        <f>'Part VIII-Threshold Criteria'!I230</f>
        <v xml:space="preserve">  </v>
      </c>
      <c r="J1470" s="1951"/>
      <c r="K1470" s="1951"/>
      <c r="L1470" s="1951"/>
      <c r="M1470" s="1951"/>
      <c r="N1470" s="1951"/>
      <c r="O1470" s="1951"/>
      <c r="P1470" s="2164"/>
      <c r="Q1470" s="2164"/>
      <c r="S1470" s="2275"/>
      <c r="T1470" s="2275"/>
      <c r="U1470" s="2275"/>
      <c r="V1470" s="2275"/>
      <c r="W1470" s="2275"/>
      <c r="X1470" s="2275"/>
      <c r="Y1470" s="2275"/>
      <c r="Z1470" s="2275"/>
      <c r="AA1470" s="2275"/>
      <c r="AB1470" s="2275"/>
      <c r="AC1470" s="2275"/>
      <c r="AD1470" s="2275"/>
      <c r="AE1470" s="2275"/>
      <c r="AF1470" s="2275"/>
      <c r="AG1470" s="2275"/>
      <c r="AH1470" s="2275"/>
      <c r="AI1470" s="2275"/>
      <c r="AJ1470" s="2275"/>
      <c r="AK1470" s="2275"/>
      <c r="AL1470" s="2275"/>
      <c r="AM1470" s="2275"/>
      <c r="AN1470" s="2275"/>
      <c r="AO1470" s="2275"/>
      <c r="AP1470" s="2275"/>
      <c r="AQ1470" s="2275"/>
      <c r="AR1470" s="2275"/>
    </row>
    <row r="1471" spans="1:44" s="2274" customFormat="1" ht="12.75" customHeight="1">
      <c r="A1471" s="2164"/>
      <c r="B1471" s="2255" t="s">
        <v>2024</v>
      </c>
      <c r="C1471" s="2226" t="str">
        <f>'Part VIII-Threshold Criteria'!C231</f>
        <v>Furnished Exercise /Fitness Center</v>
      </c>
      <c r="D1471" s="2226"/>
      <c r="E1471" s="2226"/>
      <c r="F1471" s="2226"/>
      <c r="G1471" s="2226"/>
      <c r="H1471" s="2255" t="s">
        <v>2024</v>
      </c>
      <c r="I1471" s="1951">
        <f>'Part VIII-Threshold Criteria'!I231</f>
        <v>0</v>
      </c>
      <c r="J1471" s="1951"/>
      <c r="K1471" s="1951"/>
      <c r="L1471" s="1951"/>
      <c r="M1471" s="1951"/>
      <c r="N1471" s="1951"/>
      <c r="O1471" s="1951"/>
      <c r="P1471" s="2164"/>
      <c r="Q1471" s="2164"/>
      <c r="S1471" s="2275"/>
      <c r="T1471" s="2275"/>
      <c r="U1471" s="2275"/>
      <c r="V1471" s="2275"/>
      <c r="W1471" s="2275"/>
      <c r="X1471" s="2275"/>
      <c r="Y1471" s="2275"/>
      <c r="Z1471" s="2275"/>
      <c r="AA1471" s="2275"/>
      <c r="AB1471" s="2275"/>
      <c r="AC1471" s="2275"/>
      <c r="AD1471" s="2275"/>
      <c r="AE1471" s="2275"/>
      <c r="AF1471" s="2275"/>
      <c r="AG1471" s="2275"/>
      <c r="AH1471" s="2275"/>
      <c r="AI1471" s="2275"/>
      <c r="AJ1471" s="2275"/>
      <c r="AK1471" s="2275"/>
      <c r="AL1471" s="2275"/>
      <c r="AM1471" s="2275"/>
      <c r="AN1471" s="2275"/>
      <c r="AO1471" s="2275"/>
      <c r="AP1471" s="2275"/>
      <c r="AQ1471" s="2275"/>
      <c r="AR1471" s="2275"/>
    </row>
    <row r="1472" spans="1:44" s="2274" customFormat="1" ht="12.75" customHeight="1">
      <c r="A1472" s="2164"/>
      <c r="B1472" s="2255" t="s">
        <v>1655</v>
      </c>
      <c r="C1472" s="2226" t="str">
        <f>'Part VIII-Threshold Criteria'!C232</f>
        <v>(Select an amenity from options provided here)</v>
      </c>
      <c r="D1472" s="2226"/>
      <c r="E1472" s="2226"/>
      <c r="F1472" s="2226"/>
      <c r="G1472" s="2226"/>
      <c r="H1472" s="2255" t="s">
        <v>1655</v>
      </c>
      <c r="I1472" s="1951" t="str">
        <f>'Part VIII-Threshold Criteria'!I232</f>
        <v xml:space="preserve">  </v>
      </c>
      <c r="J1472" s="1951"/>
      <c r="K1472" s="1951"/>
      <c r="L1472" s="1951"/>
      <c r="M1472" s="1951"/>
      <c r="N1472" s="1951"/>
      <c r="O1472" s="1951"/>
      <c r="P1472" s="2164"/>
      <c r="Q1472" s="2164"/>
      <c r="S1472" s="2275"/>
      <c r="T1472" s="2275"/>
      <c r="U1472" s="2275"/>
      <c r="V1472" s="2275"/>
      <c r="W1472" s="2275"/>
      <c r="X1472" s="2275"/>
      <c r="Y1472" s="2275"/>
      <c r="Z1472" s="2275"/>
      <c r="AA1472" s="2275"/>
      <c r="AB1472" s="2275"/>
      <c r="AC1472" s="2275"/>
      <c r="AD1472" s="2275"/>
      <c r="AE1472" s="2275"/>
      <c r="AF1472" s="2275"/>
      <c r="AG1472" s="2275"/>
      <c r="AH1472" s="2275"/>
      <c r="AI1472" s="2275"/>
      <c r="AJ1472" s="2275"/>
      <c r="AK1472" s="2275"/>
      <c r="AL1472" s="2275"/>
      <c r="AM1472" s="2275"/>
      <c r="AN1472" s="2275"/>
      <c r="AO1472" s="2275"/>
      <c r="AP1472" s="2275"/>
      <c r="AQ1472" s="2275"/>
      <c r="AR1472" s="2275"/>
    </row>
    <row r="1473" spans="1:44" s="2274" customFormat="1" ht="12.75" customHeight="1">
      <c r="A1473" s="2164"/>
      <c r="B1473" s="2255" t="s">
        <v>4048</v>
      </c>
      <c r="C1473" s="2226" t="str">
        <f>'Part VIII-Threshold Criteria'!C233</f>
        <v>(Select an amenity from options provided here)</v>
      </c>
      <c r="D1473" s="2226"/>
      <c r="E1473" s="2226"/>
      <c r="F1473" s="2226"/>
      <c r="G1473" s="2226"/>
      <c r="H1473" s="2255" t="s">
        <v>4048</v>
      </c>
      <c r="I1473" s="1951">
        <f>'Part VIII-Threshold Criteria'!I233</f>
        <v>0</v>
      </c>
      <c r="J1473" s="1951"/>
      <c r="K1473" s="1951"/>
      <c r="L1473" s="1951"/>
      <c r="M1473" s="1951"/>
      <c r="N1473" s="1951"/>
      <c r="O1473" s="1951"/>
      <c r="P1473" s="2164"/>
      <c r="Q1473" s="2164"/>
      <c r="S1473" s="2275"/>
      <c r="T1473" s="2275"/>
      <c r="U1473" s="2275"/>
      <c r="V1473" s="2275"/>
      <c r="W1473" s="2275"/>
      <c r="X1473" s="2275"/>
      <c r="Y1473" s="2275"/>
      <c r="Z1473" s="2275"/>
      <c r="AA1473" s="2275"/>
      <c r="AB1473" s="2275"/>
      <c r="AC1473" s="2275"/>
      <c r="AD1473" s="2275"/>
      <c r="AE1473" s="2275"/>
      <c r="AF1473" s="2275"/>
      <c r="AG1473" s="2275"/>
      <c r="AH1473" s="2275"/>
      <c r="AI1473" s="2275"/>
      <c r="AJ1473" s="2275"/>
      <c r="AK1473" s="2275"/>
      <c r="AL1473" s="2275"/>
      <c r="AM1473" s="2275"/>
      <c r="AN1473" s="2275"/>
      <c r="AO1473" s="2275"/>
      <c r="AP1473" s="2275"/>
      <c r="AQ1473" s="2275"/>
      <c r="AR1473" s="2275"/>
    </row>
    <row r="1474" spans="1:44" s="1852" customFormat="1" ht="12.75" customHeight="1">
      <c r="A1474" s="2255" t="s">
        <v>719</v>
      </c>
      <c r="B1474" s="435" t="s">
        <v>1332</v>
      </c>
      <c r="C1474" s="435"/>
      <c r="E1474" s="435"/>
      <c r="F1474" s="435"/>
      <c r="G1474" s="435"/>
      <c r="H1474" s="435"/>
      <c r="I1474" s="435"/>
      <c r="J1474" s="435"/>
      <c r="K1474" s="1818"/>
      <c r="L1474" s="435"/>
      <c r="M1474" s="435"/>
      <c r="O1474" s="2255" t="s">
        <v>719</v>
      </c>
      <c r="P1474" s="2230" t="str">
        <f>'Part VIII-Threshold Criteria'!P234</f>
        <v>Agree</v>
      </c>
      <c r="Q1474" s="2164"/>
      <c r="S1474" s="2269"/>
      <c r="T1474" s="2269"/>
      <c r="U1474" s="2269"/>
      <c r="V1474" s="2269"/>
      <c r="W1474" s="2269"/>
      <c r="X1474" s="2269"/>
      <c r="Y1474" s="2269"/>
      <c r="Z1474" s="2269"/>
      <c r="AA1474" s="2269"/>
      <c r="AB1474" s="2269"/>
      <c r="AC1474" s="2269"/>
      <c r="AD1474" s="2269"/>
      <c r="AE1474" s="2269"/>
      <c r="AF1474" s="2269"/>
      <c r="AG1474" s="2269"/>
      <c r="AH1474" s="2269"/>
      <c r="AI1474" s="2269"/>
      <c r="AJ1474" s="2269"/>
      <c r="AK1474" s="2269"/>
      <c r="AL1474" s="2269"/>
      <c r="AM1474" s="2269"/>
      <c r="AN1474" s="2269"/>
      <c r="AO1474" s="2269"/>
      <c r="AP1474" s="2269"/>
      <c r="AQ1474" s="2269"/>
      <c r="AR1474" s="2269"/>
    </row>
    <row r="1475" spans="1:44" s="1852" customFormat="1" ht="12.75" customHeight="1">
      <c r="A1475" s="2255"/>
      <c r="B1475" s="2121" t="s">
        <v>1658</v>
      </c>
      <c r="C1475" s="435" t="s">
        <v>3195</v>
      </c>
      <c r="E1475" s="435"/>
      <c r="F1475" s="435"/>
      <c r="L1475" s="1818"/>
      <c r="M1475" s="1818"/>
      <c r="O1475" s="2255" t="s">
        <v>1658</v>
      </c>
      <c r="P1475" s="2230" t="str">
        <f>'Part VIII-Threshold Criteria'!P235</f>
        <v>Yes</v>
      </c>
      <c r="Q1475" s="2164"/>
      <c r="S1475" s="2269"/>
      <c r="T1475" s="2269"/>
      <c r="U1475" s="2269"/>
      <c r="V1475" s="2269"/>
      <c r="W1475" s="2269"/>
      <c r="X1475" s="2269"/>
      <c r="Y1475" s="2269"/>
      <c r="Z1475" s="2269"/>
      <c r="AA1475" s="2269"/>
      <c r="AB1475" s="2269"/>
      <c r="AC1475" s="2269"/>
      <c r="AD1475" s="2269"/>
      <c r="AE1475" s="2269"/>
      <c r="AF1475" s="2269"/>
      <c r="AG1475" s="2269"/>
      <c r="AH1475" s="2269"/>
      <c r="AI1475" s="2269"/>
      <c r="AJ1475" s="2269"/>
      <c r="AK1475" s="2269"/>
      <c r="AL1475" s="2269"/>
      <c r="AM1475" s="2269"/>
      <c r="AN1475" s="2269"/>
      <c r="AO1475" s="2269"/>
      <c r="AP1475" s="2269"/>
      <c r="AQ1475" s="2269"/>
      <c r="AR1475" s="2269"/>
    </row>
    <row r="1476" spans="1:44" s="1852" customFormat="1" ht="12.75" customHeight="1">
      <c r="B1476" s="2121" t="s">
        <v>1659</v>
      </c>
      <c r="C1476" s="2121" t="s">
        <v>2615</v>
      </c>
      <c r="E1476" s="2121"/>
      <c r="F1476" s="2121"/>
      <c r="L1476" s="1818"/>
      <c r="M1476" s="1818"/>
      <c r="O1476" s="2255" t="s">
        <v>1659</v>
      </c>
      <c r="P1476" s="2230" t="str">
        <f>'Part VIII-Threshold Criteria'!P236</f>
        <v>Yes</v>
      </c>
      <c r="Q1476" s="2164"/>
      <c r="S1476" s="2269"/>
      <c r="T1476" s="2269"/>
      <c r="U1476" s="2269"/>
      <c r="V1476" s="2269"/>
      <c r="W1476" s="2269"/>
      <c r="X1476" s="2269"/>
      <c r="Y1476" s="2269"/>
      <c r="Z1476" s="2269"/>
      <c r="AA1476" s="2269"/>
      <c r="AB1476" s="2269"/>
      <c r="AC1476" s="2269"/>
      <c r="AD1476" s="2269"/>
      <c r="AE1476" s="2269"/>
      <c r="AF1476" s="2269"/>
      <c r="AG1476" s="2269"/>
      <c r="AH1476" s="2269"/>
      <c r="AI1476" s="2269"/>
      <c r="AJ1476" s="2269"/>
      <c r="AK1476" s="2269"/>
      <c r="AL1476" s="2269"/>
      <c r="AM1476" s="2269"/>
      <c r="AN1476" s="2269"/>
      <c r="AO1476" s="2269"/>
      <c r="AP1476" s="2269"/>
      <c r="AQ1476" s="2269"/>
      <c r="AR1476" s="2269"/>
    </row>
    <row r="1477" spans="1:44" s="1852" customFormat="1" ht="12.75" customHeight="1">
      <c r="B1477" s="2121" t="s">
        <v>1660</v>
      </c>
      <c r="C1477" s="2121" t="s">
        <v>6339</v>
      </c>
      <c r="E1477" s="2121"/>
      <c r="F1477" s="2121"/>
      <c r="G1477" s="2121"/>
      <c r="H1477" s="2121"/>
      <c r="I1477" s="1818"/>
      <c r="J1477" s="1818"/>
      <c r="K1477" s="1818"/>
      <c r="L1477" s="1818"/>
      <c r="M1477" s="1818"/>
      <c r="O1477" s="2255" t="s">
        <v>1660</v>
      </c>
      <c r="P1477" s="2230" t="str">
        <f>'Part VIII-Threshold Criteria'!P237</f>
        <v>Yes</v>
      </c>
      <c r="Q1477" s="2164"/>
      <c r="S1477" s="2269"/>
      <c r="T1477" s="2269"/>
      <c r="U1477" s="2269"/>
      <c r="V1477" s="2269"/>
      <c r="W1477" s="2269"/>
      <c r="X1477" s="2269"/>
      <c r="Y1477" s="2269"/>
      <c r="Z1477" s="2269"/>
      <c r="AA1477" s="2269"/>
      <c r="AB1477" s="2269"/>
      <c r="AC1477" s="2269"/>
      <c r="AD1477" s="2269"/>
      <c r="AE1477" s="2269"/>
      <c r="AF1477" s="2269"/>
      <c r="AG1477" s="2269"/>
      <c r="AH1477" s="2269"/>
      <c r="AI1477" s="2269"/>
      <c r="AJ1477" s="2269"/>
      <c r="AK1477" s="2269"/>
      <c r="AL1477" s="2269"/>
      <c r="AM1477" s="2269"/>
      <c r="AN1477" s="2269"/>
      <c r="AO1477" s="2269"/>
      <c r="AP1477" s="2269"/>
      <c r="AQ1477" s="2269"/>
      <c r="AR1477" s="2269"/>
    </row>
    <row r="1478" spans="1:44" s="1852" customFormat="1" ht="12.75" customHeight="1">
      <c r="A1478" s="2255"/>
      <c r="B1478" s="2121" t="s">
        <v>2261</v>
      </c>
      <c r="C1478" s="2121" t="s">
        <v>2616</v>
      </c>
      <c r="E1478" s="2121"/>
      <c r="F1478" s="2121"/>
      <c r="G1478" s="2121"/>
      <c r="H1478" s="2121"/>
      <c r="I1478" s="1818"/>
      <c r="J1478" s="1818"/>
      <c r="K1478" s="1818"/>
      <c r="L1478" s="1818"/>
      <c r="M1478" s="1818"/>
      <c r="O1478" s="2255" t="s">
        <v>2261</v>
      </c>
      <c r="P1478" s="2230" t="str">
        <f>'Part VIII-Threshold Criteria'!P238</f>
        <v>Yes</v>
      </c>
      <c r="Q1478" s="2164"/>
      <c r="S1478" s="2269"/>
      <c r="T1478" s="2269"/>
      <c r="U1478" s="2269"/>
      <c r="V1478" s="2269"/>
      <c r="W1478" s="2269"/>
      <c r="X1478" s="2269"/>
      <c r="Y1478" s="2269"/>
      <c r="Z1478" s="2269"/>
      <c r="AA1478" s="2269"/>
      <c r="AB1478" s="2269"/>
      <c r="AC1478" s="2269"/>
      <c r="AD1478" s="2269"/>
      <c r="AE1478" s="2269"/>
      <c r="AF1478" s="2269"/>
      <c r="AG1478" s="2269"/>
      <c r="AH1478" s="2269"/>
      <c r="AI1478" s="2269"/>
      <c r="AJ1478" s="2269"/>
      <c r="AK1478" s="2269"/>
      <c r="AL1478" s="2269"/>
      <c r="AM1478" s="2269"/>
      <c r="AN1478" s="2269"/>
      <c r="AO1478" s="2269"/>
      <c r="AP1478" s="2269"/>
      <c r="AQ1478" s="2269"/>
      <c r="AR1478" s="2269"/>
    </row>
    <row r="1479" spans="1:44" s="1852" customFormat="1" ht="12.75" customHeight="1">
      <c r="A1479" s="2255"/>
      <c r="B1479" s="2121" t="s">
        <v>1487</v>
      </c>
      <c r="C1479" s="2121" t="s">
        <v>2617</v>
      </c>
      <c r="E1479" s="2121"/>
      <c r="F1479" s="2121"/>
      <c r="G1479" s="2121"/>
      <c r="H1479" s="2121"/>
      <c r="I1479" s="1818"/>
      <c r="J1479" s="1818"/>
      <c r="K1479" s="1818"/>
      <c r="L1479" s="1818"/>
      <c r="M1479" s="1818"/>
      <c r="O1479" s="2255" t="s">
        <v>1487</v>
      </c>
      <c r="P1479" s="2230" t="str">
        <f>'Part VIII-Threshold Criteria'!P239</f>
        <v>Yes</v>
      </c>
      <c r="Q1479" s="2164"/>
      <c r="S1479" s="2269"/>
      <c r="T1479" s="2269"/>
      <c r="U1479" s="2269"/>
      <c r="V1479" s="2269"/>
      <c r="W1479" s="2269"/>
      <c r="X1479" s="2269"/>
      <c r="Y1479" s="2269"/>
      <c r="Z1479" s="2269"/>
      <c r="AA1479" s="2269"/>
      <c r="AB1479" s="2269"/>
      <c r="AC1479" s="2269"/>
      <c r="AD1479" s="2269"/>
      <c r="AE1479" s="2269"/>
      <c r="AF1479" s="2269"/>
      <c r="AG1479" s="2269"/>
      <c r="AH1479" s="2269"/>
      <c r="AI1479" s="2269"/>
      <c r="AJ1479" s="2269"/>
      <c r="AK1479" s="2269"/>
      <c r="AL1479" s="2269"/>
      <c r="AM1479" s="2269"/>
      <c r="AN1479" s="2269"/>
      <c r="AO1479" s="2269"/>
      <c r="AP1479" s="2269"/>
      <c r="AQ1479" s="2269"/>
      <c r="AR1479" s="2269"/>
    </row>
    <row r="1480" spans="1:44" s="1852" customFormat="1" ht="23.25" customHeight="1">
      <c r="A1480" s="2255"/>
      <c r="B1480" s="2228" t="s">
        <v>1488</v>
      </c>
      <c r="C1480" s="435" t="s">
        <v>6454</v>
      </c>
      <c r="D1480" s="435"/>
      <c r="E1480" s="435"/>
      <c r="F1480" s="435"/>
      <c r="G1480" s="435"/>
      <c r="H1480" s="435"/>
      <c r="I1480" s="435"/>
      <c r="J1480" s="435"/>
      <c r="K1480" s="435"/>
      <c r="L1480" s="435"/>
      <c r="M1480" s="435"/>
      <c r="N1480" s="435"/>
      <c r="O1480" s="2224" t="s">
        <v>1488</v>
      </c>
      <c r="P1480" s="2230" t="str">
        <f>'Part VIII-Threshold Criteria'!P240</f>
        <v>Yes</v>
      </c>
      <c r="Q1480" s="2252"/>
      <c r="S1480" s="2269"/>
      <c r="T1480" s="2269"/>
      <c r="U1480" s="2269"/>
      <c r="V1480" s="2269"/>
      <c r="W1480" s="2269"/>
      <c r="X1480" s="2269"/>
      <c r="Y1480" s="2269"/>
      <c r="Z1480" s="2269"/>
      <c r="AA1480" s="2269"/>
      <c r="AB1480" s="2269"/>
      <c r="AC1480" s="2269"/>
      <c r="AD1480" s="2269"/>
      <c r="AE1480" s="2269"/>
      <c r="AF1480" s="2269"/>
      <c r="AG1480" s="2269"/>
      <c r="AH1480" s="2269"/>
      <c r="AI1480" s="2269"/>
      <c r="AJ1480" s="2269"/>
      <c r="AK1480" s="2269"/>
      <c r="AL1480" s="2269"/>
      <c r="AM1480" s="2269"/>
      <c r="AN1480" s="2269"/>
      <c r="AO1480" s="2269"/>
      <c r="AP1480" s="2269"/>
      <c r="AQ1480" s="2269"/>
      <c r="AR1480" s="2269"/>
    </row>
    <row r="1481" spans="1:44" s="1852" customFormat="1" ht="12" customHeight="1">
      <c r="A1481" s="2255" t="s">
        <v>2022</v>
      </c>
      <c r="B1481" s="435" t="s">
        <v>6315</v>
      </c>
      <c r="C1481" s="435"/>
      <c r="E1481" s="435"/>
      <c r="F1481" s="435"/>
      <c r="G1481" s="435"/>
      <c r="H1481" s="435"/>
      <c r="I1481" s="435"/>
      <c r="J1481" s="435"/>
      <c r="K1481" s="1818"/>
      <c r="M1481" s="2121" t="str">
        <f>'Part I-Project Information'!$H$77</f>
        <v>Family</v>
      </c>
      <c r="O1481" s="2255" t="s">
        <v>2022</v>
      </c>
      <c r="P1481" s="2230" t="str">
        <f>'Part VIII-Threshold Criteria'!P241</f>
        <v>No</v>
      </c>
      <c r="Q1481" s="2164"/>
      <c r="S1481" s="2269"/>
      <c r="T1481" s="2269"/>
      <c r="U1481" s="2269"/>
      <c r="V1481" s="2269"/>
      <c r="W1481" s="2269"/>
      <c r="X1481" s="2269"/>
      <c r="Y1481" s="2269"/>
      <c r="Z1481" s="2269"/>
      <c r="AA1481" s="2269"/>
      <c r="AB1481" s="2269"/>
      <c r="AC1481" s="2269"/>
      <c r="AD1481" s="2269"/>
      <c r="AE1481" s="2269"/>
      <c r="AF1481" s="2269"/>
      <c r="AG1481" s="2269"/>
      <c r="AH1481" s="2269"/>
      <c r="AI1481" s="2269"/>
      <c r="AJ1481" s="2269"/>
      <c r="AK1481" s="2269"/>
      <c r="AL1481" s="2269"/>
      <c r="AM1481" s="2269"/>
      <c r="AN1481" s="2269"/>
      <c r="AO1481" s="2269"/>
      <c r="AP1481" s="2269"/>
      <c r="AQ1481" s="2269"/>
      <c r="AR1481" s="2269"/>
    </row>
    <row r="1482" spans="1:44" s="1852" customFormat="1" ht="12" customHeight="1">
      <c r="B1482" s="2121" t="s">
        <v>1658</v>
      </c>
      <c r="C1482" s="435" t="s">
        <v>1209</v>
      </c>
      <c r="E1482" s="1818"/>
      <c r="F1482" s="1818"/>
      <c r="G1482" s="435"/>
      <c r="H1482" s="2121"/>
      <c r="I1482" s="1818"/>
      <c r="J1482" s="2121"/>
      <c r="K1482" s="1818"/>
      <c r="L1482" s="2121"/>
      <c r="M1482" s="2121"/>
      <c r="O1482" s="2255" t="s">
        <v>1658</v>
      </c>
      <c r="P1482" s="2230">
        <f>'Part VIII-Threshold Criteria'!P242</f>
        <v>0</v>
      </c>
      <c r="Q1482" s="2164"/>
      <c r="S1482" s="2269"/>
      <c r="T1482" s="2269"/>
      <c r="U1482" s="2269"/>
      <c r="V1482" s="2269"/>
      <c r="W1482" s="2269"/>
      <c r="X1482" s="2269"/>
      <c r="Y1482" s="2269"/>
      <c r="Z1482" s="2269"/>
      <c r="AA1482" s="2269"/>
      <c r="AB1482" s="2269"/>
      <c r="AC1482" s="2269"/>
      <c r="AD1482" s="2269"/>
      <c r="AE1482" s="2269"/>
      <c r="AF1482" s="2269"/>
      <c r="AG1482" s="2269"/>
      <c r="AH1482" s="2269"/>
      <c r="AI1482" s="2269"/>
      <c r="AJ1482" s="2269"/>
      <c r="AK1482" s="2269"/>
      <c r="AL1482" s="2269"/>
      <c r="AM1482" s="2269"/>
      <c r="AN1482" s="2269"/>
      <c r="AO1482" s="2269"/>
      <c r="AP1482" s="2269"/>
      <c r="AQ1482" s="2269"/>
      <c r="AR1482" s="2269"/>
    </row>
    <row r="1483" spans="1:44" s="1852" customFormat="1" ht="12" customHeight="1">
      <c r="B1483" s="2121" t="s">
        <v>1659</v>
      </c>
      <c r="C1483" s="435" t="s">
        <v>3962</v>
      </c>
      <c r="E1483" s="1818"/>
      <c r="F1483" s="1818"/>
      <c r="G1483" s="2121"/>
      <c r="H1483" s="2121"/>
      <c r="I1483" s="1818"/>
      <c r="J1483" s="2121"/>
      <c r="K1483" s="1818"/>
      <c r="L1483" s="2121"/>
      <c r="M1483" s="2121"/>
      <c r="O1483" s="2255" t="s">
        <v>1659</v>
      </c>
      <c r="P1483" s="2230">
        <f>'Part VIII-Threshold Criteria'!P243</f>
        <v>0</v>
      </c>
      <c r="Q1483" s="2164"/>
      <c r="S1483" s="2269"/>
      <c r="T1483" s="2269"/>
      <c r="U1483" s="2269"/>
      <c r="V1483" s="2269"/>
      <c r="W1483" s="2269"/>
      <c r="X1483" s="2269"/>
      <c r="Y1483" s="2269"/>
      <c r="Z1483" s="2269"/>
      <c r="AA1483" s="2269"/>
      <c r="AB1483" s="2269"/>
      <c r="AC1483" s="2269"/>
      <c r="AD1483" s="2269"/>
      <c r="AE1483" s="2269"/>
      <c r="AF1483" s="2269"/>
      <c r="AG1483" s="2269"/>
      <c r="AH1483" s="2269"/>
      <c r="AI1483" s="2269"/>
      <c r="AJ1483" s="2269"/>
      <c r="AK1483" s="2269"/>
      <c r="AL1483" s="2269"/>
      <c r="AM1483" s="2269"/>
      <c r="AN1483" s="2269"/>
      <c r="AO1483" s="2269"/>
      <c r="AP1483" s="2269"/>
      <c r="AQ1483" s="2269"/>
      <c r="AR1483" s="2269"/>
    </row>
    <row r="1484" spans="1:44" s="1852" customFormat="1" ht="11.25" customHeight="1">
      <c r="B1484" s="2170" t="s">
        <v>3373</v>
      </c>
      <c r="D1484" s="2170"/>
      <c r="E1484" s="2170"/>
      <c r="F1484" s="2170"/>
      <c r="G1484" s="2170"/>
      <c r="H1484" s="2121"/>
      <c r="I1484" s="2164"/>
      <c r="J1484" s="2164"/>
      <c r="K1484" s="2164"/>
      <c r="L1484" s="2117"/>
      <c r="M1484" s="2117"/>
      <c r="N1484" s="2117"/>
      <c r="O1484" s="2117"/>
      <c r="P1484" s="2117"/>
      <c r="Q1484" s="2117"/>
      <c r="S1484" s="2269"/>
      <c r="T1484" s="2269"/>
      <c r="U1484" s="2269"/>
      <c r="V1484" s="2269"/>
      <c r="W1484" s="2269"/>
      <c r="X1484" s="2269"/>
      <c r="Y1484" s="2269"/>
      <c r="Z1484" s="2269"/>
      <c r="AA1484" s="2269"/>
      <c r="AB1484" s="2269"/>
      <c r="AC1484" s="2269"/>
      <c r="AD1484" s="2269"/>
      <c r="AE1484" s="2269"/>
      <c r="AF1484" s="2269"/>
      <c r="AG1484" s="2269"/>
      <c r="AH1484" s="2269"/>
      <c r="AI1484" s="2269"/>
      <c r="AJ1484" s="2269"/>
      <c r="AK1484" s="2269"/>
      <c r="AL1484" s="2269"/>
      <c r="AM1484" s="2269"/>
      <c r="AN1484" s="2269"/>
      <c r="AO1484" s="2269"/>
      <c r="AP1484" s="2269"/>
      <c r="AQ1484" s="2269"/>
      <c r="AR1484" s="2269"/>
    </row>
    <row r="1485" spans="1:44" s="1852" customFormat="1" ht="12" customHeight="1">
      <c r="A1485" s="2226" t="str">
        <f>'Part VIII-Threshold Criteria'!A245</f>
        <v>The proposed project is for families and not senior; therefore, Section D above is N/A. The applicant agrees to provide all of the required amenities and will also provide two additional amenities. As evidenced on the site plan, the development will feature a furnished fitness center and an equipped computer center with WiFi.</v>
      </c>
      <c r="B1485" s="2226"/>
      <c r="C1485" s="2226"/>
      <c r="D1485" s="2226"/>
      <c r="E1485" s="2226"/>
      <c r="F1485" s="2226"/>
      <c r="G1485" s="2226"/>
      <c r="H1485" s="2226"/>
      <c r="I1485" s="2226"/>
      <c r="J1485" s="2226"/>
      <c r="K1485" s="2226"/>
      <c r="L1485" s="2226"/>
      <c r="M1485" s="2226"/>
      <c r="N1485" s="2226"/>
      <c r="O1485" s="2226"/>
      <c r="P1485" s="2226"/>
      <c r="Q1485" s="2226"/>
      <c r="R1485" s="1855" t="s">
        <v>1208</v>
      </c>
      <c r="S1485" s="2276"/>
      <c r="T1485" s="2269"/>
      <c r="U1485" s="2183"/>
      <c r="V1485" s="2183"/>
      <c r="W1485" s="2183"/>
      <c r="X1485" s="2183"/>
      <c r="Y1485" s="2183"/>
      <c r="Z1485" s="2183"/>
      <c r="AA1485" s="2183"/>
      <c r="AB1485" s="2183"/>
      <c r="AC1485" s="2183"/>
      <c r="AD1485" s="2183"/>
      <c r="AE1485" s="2183"/>
      <c r="AF1485" s="2269"/>
      <c r="AG1485" s="2269"/>
      <c r="AH1485" s="2269"/>
      <c r="AI1485" s="2269"/>
      <c r="AJ1485" s="2269"/>
      <c r="AK1485" s="2269"/>
      <c r="AL1485" s="2269"/>
      <c r="AM1485" s="2269"/>
      <c r="AN1485" s="2269"/>
      <c r="AO1485" s="2269"/>
      <c r="AP1485" s="2269"/>
      <c r="AQ1485" s="2269"/>
      <c r="AR1485" s="2269"/>
    </row>
    <row r="1486" spans="1:44" s="1852" customFormat="1" ht="11.25" customHeight="1">
      <c r="B1486" s="2227" t="s">
        <v>1781</v>
      </c>
      <c r="C1486" s="2227"/>
      <c r="D1486" s="2228"/>
      <c r="E1486" s="2228"/>
      <c r="F1486" s="2228"/>
      <c r="G1486" s="2228"/>
      <c r="H1486" s="2228"/>
      <c r="I1486" s="2228"/>
      <c r="J1486" s="2228"/>
      <c r="K1486" s="2228"/>
      <c r="L1486" s="2228"/>
      <c r="M1486" s="2228"/>
      <c r="N1486" s="2228"/>
      <c r="O1486" s="2228"/>
      <c r="P1486" s="2228"/>
      <c r="Q1486" s="2228"/>
      <c r="S1486" s="2269"/>
      <c r="T1486" s="2269"/>
      <c r="U1486" s="2269"/>
      <c r="V1486" s="2269"/>
      <c r="W1486" s="2269"/>
      <c r="X1486" s="2269"/>
      <c r="Y1486" s="2269"/>
      <c r="Z1486" s="2269"/>
      <c r="AA1486" s="2269"/>
      <c r="AB1486" s="2269"/>
      <c r="AC1486" s="2269"/>
      <c r="AD1486" s="2269"/>
      <c r="AE1486" s="2269"/>
      <c r="AF1486" s="2269"/>
      <c r="AG1486" s="2269"/>
      <c r="AH1486" s="2269"/>
      <c r="AI1486" s="2269"/>
      <c r="AJ1486" s="2269"/>
      <c r="AK1486" s="2269"/>
      <c r="AL1486" s="2269"/>
      <c r="AM1486" s="2269"/>
      <c r="AN1486" s="2269"/>
      <c r="AO1486" s="2269"/>
      <c r="AP1486" s="2269"/>
      <c r="AQ1486" s="2269"/>
      <c r="AR1486" s="2269"/>
    </row>
    <row r="1487" spans="1:44" s="1852" customFormat="1" ht="12" customHeight="1">
      <c r="A1487" s="2223"/>
      <c r="B1487" s="2223"/>
      <c r="C1487" s="2223"/>
      <c r="D1487" s="2223"/>
      <c r="E1487" s="2223"/>
      <c r="F1487" s="2223"/>
      <c r="G1487" s="2223"/>
      <c r="H1487" s="2223"/>
      <c r="I1487" s="2223"/>
      <c r="J1487" s="2223"/>
      <c r="K1487" s="2223"/>
      <c r="L1487" s="2223"/>
      <c r="M1487" s="2223"/>
      <c r="N1487" s="2223"/>
      <c r="O1487" s="2223"/>
      <c r="P1487" s="2223"/>
      <c r="Q1487" s="2223"/>
      <c r="S1487" s="2269"/>
      <c r="T1487" s="2269"/>
      <c r="U1487" s="2269"/>
      <c r="V1487" s="2269"/>
      <c r="W1487" s="2269"/>
      <c r="X1487" s="2269"/>
      <c r="Y1487" s="2269"/>
      <c r="Z1487" s="2269"/>
      <c r="AA1487" s="2269"/>
      <c r="AB1487" s="2269"/>
      <c r="AC1487" s="2269"/>
      <c r="AD1487" s="2269"/>
      <c r="AE1487" s="2269"/>
      <c r="AF1487" s="2269"/>
      <c r="AG1487" s="2269"/>
      <c r="AH1487" s="2269"/>
      <c r="AI1487" s="2269"/>
      <c r="AJ1487" s="2269"/>
      <c r="AK1487" s="2269"/>
      <c r="AL1487" s="2269"/>
      <c r="AM1487" s="2269"/>
      <c r="AN1487" s="2269"/>
      <c r="AO1487" s="2269"/>
      <c r="AP1487" s="2269"/>
      <c r="AQ1487" s="2269"/>
      <c r="AR1487" s="2269"/>
    </row>
    <row r="1488" spans="1:44" s="1852" customFormat="1" ht="14.1" customHeight="1">
      <c r="A1488" s="2105" t="s">
        <v>2606</v>
      </c>
      <c r="B1488" s="2105" t="s">
        <v>6340</v>
      </c>
      <c r="C1488" s="2121"/>
      <c r="D1488" s="2228"/>
      <c r="E1488" s="2228"/>
      <c r="F1488" s="2228"/>
      <c r="G1488" s="2228"/>
      <c r="H1488" s="2228"/>
      <c r="I1488" s="2228"/>
      <c r="J1488" s="2228"/>
      <c r="K1488" s="2164" t="s">
        <v>431</v>
      </c>
      <c r="L1488" s="2164" t="str">
        <f>'Part I-Project Information'!$N$40</f>
        <v>No</v>
      </c>
      <c r="M1488" s="2228"/>
      <c r="O1488" s="2224" t="s">
        <v>1782</v>
      </c>
      <c r="P1488" s="1719"/>
      <c r="Q1488" s="1719"/>
    </row>
    <row r="1489" spans="1:44" s="1852" customFormat="1" ht="11.25" customHeight="1">
      <c r="A1489" s="2224" t="s">
        <v>1894</v>
      </c>
      <c r="B1489" s="2223" t="s">
        <v>6343</v>
      </c>
    </row>
    <row r="1490" spans="1:44" s="1852" customFormat="1" ht="10.5" customHeight="1">
      <c r="A1490" s="2224"/>
      <c r="B1490" s="435" t="s">
        <v>6345</v>
      </c>
      <c r="C1490" s="1818"/>
      <c r="D1490" s="1818"/>
      <c r="E1490" s="1818"/>
      <c r="F1490" s="1818"/>
      <c r="G1490" s="1818"/>
      <c r="H1490" s="1818"/>
      <c r="I1490" s="1818"/>
      <c r="J1490" s="2044" t="s">
        <v>6344</v>
      </c>
      <c r="K1490" s="435" t="s">
        <v>6345</v>
      </c>
      <c r="L1490" s="1818"/>
      <c r="M1490" s="1818"/>
      <c r="N1490" s="1818"/>
      <c r="O1490" s="1818"/>
      <c r="P1490" s="1818"/>
      <c r="Q1490" s="2044" t="s">
        <v>6344</v>
      </c>
    </row>
    <row r="1491" spans="1:44" s="2158" customFormat="1" ht="12" customHeight="1">
      <c r="B1491" s="1951">
        <f>'Part VIII-Threshold Criteria'!B251</f>
        <v>0</v>
      </c>
      <c r="C1491" s="1951"/>
      <c r="D1491" s="1951"/>
      <c r="E1491" s="1951"/>
      <c r="F1491" s="1951"/>
      <c r="G1491" s="1951"/>
      <c r="H1491" s="1951"/>
      <c r="I1491" s="1951"/>
      <c r="J1491" s="2277">
        <f>-'Part VIII-Threshold Criteria'!J251</f>
        <v>0</v>
      </c>
      <c r="K1491" s="1951">
        <f>-'Part VIII-Threshold Criteria'!K251</f>
        <v>0</v>
      </c>
      <c r="L1491" s="1951"/>
      <c r="M1491" s="1951"/>
      <c r="N1491" s="1951"/>
      <c r="O1491" s="1951"/>
      <c r="P1491" s="1951"/>
      <c r="Q1491" s="2277">
        <f>-'Part VIII-Threshold Criteria'!Q251</f>
        <v>0</v>
      </c>
    </row>
    <row r="1492" spans="1:44" s="2158" customFormat="1" ht="12" customHeight="1">
      <c r="A1492" s="2224"/>
      <c r="B1492" s="1951">
        <f>'Part VIII-Threshold Criteria'!B252</f>
        <v>0</v>
      </c>
      <c r="C1492" s="1951"/>
      <c r="D1492" s="1951"/>
      <c r="E1492" s="1951"/>
      <c r="F1492" s="1951"/>
      <c r="G1492" s="1951"/>
      <c r="H1492" s="1951"/>
      <c r="I1492" s="1951"/>
      <c r="J1492" s="2277">
        <f>-'Part VIII-Threshold Criteria'!J252</f>
        <v>0</v>
      </c>
      <c r="K1492" s="1951">
        <f>-'Part VIII-Threshold Criteria'!K252</f>
        <v>0</v>
      </c>
      <c r="L1492" s="1951"/>
      <c r="M1492" s="1951"/>
      <c r="N1492" s="1951"/>
      <c r="O1492" s="1951"/>
      <c r="P1492" s="1951"/>
      <c r="Q1492" s="2277">
        <f>-'Part VIII-Threshold Criteria'!Q252</f>
        <v>0</v>
      </c>
    </row>
    <row r="1493" spans="1:44" s="2158" customFormat="1" ht="12" customHeight="1">
      <c r="A1493" s="2224"/>
      <c r="B1493" s="1951">
        <f>'Part VIII-Threshold Criteria'!B253</f>
        <v>0</v>
      </c>
      <c r="C1493" s="1951"/>
      <c r="D1493" s="1951"/>
      <c r="E1493" s="1951"/>
      <c r="F1493" s="1951"/>
      <c r="G1493" s="1951"/>
      <c r="H1493" s="1951"/>
      <c r="I1493" s="1951"/>
      <c r="J1493" s="2277">
        <f>-'Part VIII-Threshold Criteria'!J253</f>
        <v>0</v>
      </c>
      <c r="K1493" s="1951">
        <f>-'Part VIII-Threshold Criteria'!K253</f>
        <v>0</v>
      </c>
      <c r="L1493" s="1951"/>
      <c r="M1493" s="1951"/>
      <c r="N1493" s="1951"/>
      <c r="O1493" s="1951"/>
      <c r="P1493" s="1951"/>
      <c r="Q1493" s="2277">
        <f>-'Part VIII-Threshold Criteria'!Q253</f>
        <v>0</v>
      </c>
    </row>
    <row r="1494" spans="1:44" s="2158" customFormat="1" ht="12" customHeight="1">
      <c r="A1494" s="2224"/>
      <c r="B1494" s="1951">
        <f>'Part VIII-Threshold Criteria'!B254</f>
        <v>0</v>
      </c>
      <c r="C1494" s="1951"/>
      <c r="D1494" s="1951"/>
      <c r="E1494" s="1951"/>
      <c r="F1494" s="1951"/>
      <c r="G1494" s="1951"/>
      <c r="H1494" s="1951"/>
      <c r="I1494" s="1951"/>
      <c r="J1494" s="2277">
        <f>-'Part VIII-Threshold Criteria'!J254</f>
        <v>0</v>
      </c>
      <c r="K1494" s="1951">
        <f>-'Part VIII-Threshold Criteria'!K254</f>
        <v>0</v>
      </c>
      <c r="L1494" s="1951"/>
      <c r="M1494" s="1951"/>
      <c r="N1494" s="1951"/>
      <c r="O1494" s="1951"/>
      <c r="P1494" s="1951"/>
      <c r="Q1494" s="2277">
        <f>-'Part VIII-Threshold Criteria'!Q254</f>
        <v>0</v>
      </c>
    </row>
    <row r="1495" spans="1:44" s="2158" customFormat="1" ht="12" customHeight="1">
      <c r="A1495" s="2224"/>
      <c r="B1495" s="1951">
        <f>'Part VIII-Threshold Criteria'!B255</f>
        <v>0</v>
      </c>
      <c r="C1495" s="1951"/>
      <c r="D1495" s="1951"/>
      <c r="E1495" s="1951"/>
      <c r="F1495" s="1951"/>
      <c r="G1495" s="1951"/>
      <c r="H1495" s="1951"/>
      <c r="I1495" s="1951"/>
      <c r="J1495" s="2277">
        <f>-'Part VIII-Threshold Criteria'!J255</f>
        <v>0</v>
      </c>
      <c r="K1495" s="1951">
        <f>-'Part VIII-Threshold Criteria'!K255</f>
        <v>0</v>
      </c>
      <c r="L1495" s="1951"/>
      <c r="M1495" s="1951"/>
      <c r="N1495" s="1951"/>
      <c r="O1495" s="1951"/>
      <c r="P1495" s="1951"/>
      <c r="Q1495" s="2277">
        <f>-'Part VIII-Threshold Criteria'!Q255</f>
        <v>0</v>
      </c>
    </row>
    <row r="1496" spans="1:44" s="2158" customFormat="1" ht="12" customHeight="1">
      <c r="A1496" s="2224"/>
      <c r="B1496" s="1951">
        <f>'Part VIII-Threshold Criteria'!B256</f>
        <v>0</v>
      </c>
      <c r="C1496" s="1951"/>
      <c r="D1496" s="1951"/>
      <c r="E1496" s="1951"/>
      <c r="F1496" s="1951"/>
      <c r="G1496" s="1951"/>
      <c r="H1496" s="1951"/>
      <c r="I1496" s="1951"/>
      <c r="J1496" s="2277">
        <f>-'Part VIII-Threshold Criteria'!J256</f>
        <v>0</v>
      </c>
      <c r="K1496" s="1951">
        <f>-'Part VIII-Threshold Criteria'!K256</f>
        <v>0</v>
      </c>
      <c r="L1496" s="1951"/>
      <c r="M1496" s="1951"/>
      <c r="N1496" s="1951"/>
      <c r="O1496" s="1951"/>
      <c r="P1496" s="1951"/>
      <c r="Q1496" s="2277">
        <f>-'Part VIII-Threshold Criteria'!Q256</f>
        <v>0</v>
      </c>
    </row>
    <row r="1497" spans="1:44" s="2158" customFormat="1" ht="12" customHeight="1">
      <c r="A1497" s="2224"/>
      <c r="B1497" s="1951">
        <f>'Part VIII-Threshold Criteria'!B257</f>
        <v>0</v>
      </c>
      <c r="C1497" s="1951"/>
      <c r="D1497" s="1951"/>
      <c r="E1497" s="1951"/>
      <c r="F1497" s="1951"/>
      <c r="G1497" s="1951"/>
      <c r="H1497" s="1951"/>
      <c r="I1497" s="1951"/>
      <c r="J1497" s="2277">
        <f>-'Part VIII-Threshold Criteria'!J257</f>
        <v>0</v>
      </c>
      <c r="K1497" s="1951">
        <f>-'Part VIII-Threshold Criteria'!K257</f>
        <v>0</v>
      </c>
      <c r="L1497" s="1951"/>
      <c r="M1497" s="1951"/>
      <c r="N1497" s="1951"/>
      <c r="O1497" s="1951"/>
      <c r="P1497" s="1951"/>
      <c r="Q1497" s="2277">
        <f>-'Part VIII-Threshold Criteria'!Q257</f>
        <v>0</v>
      </c>
    </row>
    <row r="1498" spans="1:44" s="2158" customFormat="1" ht="12" customHeight="1">
      <c r="B1498" s="1951">
        <f>'Part VIII-Threshold Criteria'!B258</f>
        <v>0</v>
      </c>
      <c r="C1498" s="1951"/>
      <c r="D1498" s="1951"/>
      <c r="E1498" s="1951"/>
      <c r="F1498" s="1951"/>
      <c r="G1498" s="1951"/>
      <c r="H1498" s="1951"/>
      <c r="I1498" s="1951"/>
      <c r="J1498" s="2277">
        <f>-'Part VIII-Threshold Criteria'!J258</f>
        <v>0</v>
      </c>
      <c r="K1498" s="1951">
        <f>-'Part VIII-Threshold Criteria'!K258</f>
        <v>0</v>
      </c>
      <c r="L1498" s="1951"/>
      <c r="M1498" s="1951"/>
      <c r="N1498" s="1951"/>
      <c r="O1498" s="1951"/>
      <c r="P1498" s="1951"/>
      <c r="Q1498" s="2277">
        <f>-'Part VIII-Threshold Criteria'!Q258</f>
        <v>0</v>
      </c>
    </row>
    <row r="1499" spans="1:44" s="1852" customFormat="1" ht="12" customHeight="1">
      <c r="A1499" s="2224" t="s">
        <v>1896</v>
      </c>
      <c r="B1499" s="435" t="s">
        <v>6346</v>
      </c>
      <c r="D1499" s="435"/>
      <c r="E1499" s="435"/>
      <c r="F1499" s="435"/>
      <c r="G1499" s="435"/>
      <c r="H1499" s="435"/>
      <c r="I1499" s="1818"/>
      <c r="J1499" s="1818"/>
      <c r="K1499" s="435"/>
      <c r="L1499" s="2121"/>
      <c r="O1499" s="2224" t="s">
        <v>1896</v>
      </c>
      <c r="P1499" s="2230">
        <f>'Part VIII-Threshold Criteria'!P259</f>
        <v>0</v>
      </c>
      <c r="Q1499" s="2164"/>
    </row>
    <row r="1500" spans="1:44" s="2158" customFormat="1" ht="23.25" customHeight="1">
      <c r="A1500" s="2224" t="s">
        <v>719</v>
      </c>
      <c r="B1500" s="2223" t="s">
        <v>6342</v>
      </c>
      <c r="C1500" s="2223"/>
      <c r="D1500" s="2223"/>
      <c r="E1500" s="2223"/>
      <c r="F1500" s="2223"/>
      <c r="G1500" s="2223"/>
      <c r="H1500" s="2223"/>
      <c r="I1500" s="2223"/>
      <c r="J1500" s="2223"/>
      <c r="K1500" s="2223"/>
      <c r="L1500" s="2223"/>
      <c r="M1500" s="2223"/>
      <c r="N1500" s="2223"/>
      <c r="O1500" s="2224" t="s">
        <v>719</v>
      </c>
      <c r="P1500" s="2230">
        <f>'Part VIII-Threshold Criteria'!P260</f>
        <v>0</v>
      </c>
      <c r="Q1500" s="2252"/>
      <c r="S1500" s="2043"/>
      <c r="T1500" s="2043"/>
      <c r="U1500" s="2043"/>
      <c r="V1500" s="2043"/>
      <c r="W1500" s="2043"/>
      <c r="X1500" s="2043"/>
      <c r="Y1500" s="2043"/>
      <c r="Z1500" s="2043"/>
      <c r="AA1500" s="2043"/>
      <c r="AB1500" s="2043"/>
      <c r="AC1500" s="2043"/>
      <c r="AD1500" s="2043"/>
      <c r="AE1500" s="2043"/>
      <c r="AF1500" s="2043"/>
      <c r="AG1500" s="2043"/>
      <c r="AH1500" s="2043"/>
      <c r="AI1500" s="2043"/>
      <c r="AJ1500" s="2043"/>
      <c r="AK1500" s="2043"/>
      <c r="AL1500" s="2043"/>
      <c r="AM1500" s="2043"/>
      <c r="AN1500" s="2043"/>
      <c r="AO1500" s="2043"/>
      <c r="AP1500" s="2043"/>
      <c r="AQ1500" s="2043"/>
      <c r="AR1500" s="2043"/>
    </row>
    <row r="1501" spans="1:44" s="2158" customFormat="1" ht="12" customHeight="1">
      <c r="A1501" s="2255" t="s">
        <v>2022</v>
      </c>
      <c r="B1501" s="2223" t="s">
        <v>6341</v>
      </c>
      <c r="D1501" s="2223"/>
      <c r="E1501" s="2223"/>
      <c r="F1501" s="2223"/>
      <c r="G1501" s="2223"/>
      <c r="H1501" s="2223"/>
      <c r="I1501" s="2223"/>
      <c r="J1501" s="2223"/>
      <c r="K1501" s="2223"/>
      <c r="L1501" s="2223"/>
      <c r="M1501" s="2223"/>
      <c r="O1501" s="2255" t="s">
        <v>2022</v>
      </c>
      <c r="P1501" s="2230">
        <f>'Part VIII-Threshold Criteria'!P261</f>
        <v>0</v>
      </c>
      <c r="Q1501" s="2252"/>
      <c r="S1501" s="2043"/>
      <c r="T1501" s="2043"/>
      <c r="U1501" s="2043"/>
      <c r="V1501" s="2043"/>
      <c r="W1501" s="2043"/>
      <c r="X1501" s="2043"/>
      <c r="Y1501" s="2043"/>
      <c r="Z1501" s="2043"/>
      <c r="AA1501" s="2043"/>
      <c r="AB1501" s="2043"/>
      <c r="AC1501" s="2043"/>
      <c r="AD1501" s="2043"/>
      <c r="AE1501" s="2043"/>
      <c r="AF1501" s="2043"/>
      <c r="AG1501" s="2043"/>
      <c r="AH1501" s="2043"/>
      <c r="AI1501" s="2043"/>
      <c r="AJ1501" s="2043"/>
      <c r="AK1501" s="2043"/>
      <c r="AL1501" s="2043"/>
      <c r="AM1501" s="2043"/>
      <c r="AN1501" s="2043"/>
      <c r="AO1501" s="2043"/>
      <c r="AP1501" s="2043"/>
      <c r="AQ1501" s="2043"/>
      <c r="AR1501" s="2043"/>
    </row>
    <row r="1502" spans="1:44" s="1852" customFormat="1" ht="11.25" customHeight="1">
      <c r="B1502" s="2170" t="s">
        <v>3373</v>
      </c>
      <c r="D1502" s="2170"/>
      <c r="E1502" s="2170"/>
      <c r="F1502" s="2170"/>
      <c r="G1502" s="2170"/>
      <c r="H1502" s="2121"/>
      <c r="I1502" s="2164"/>
      <c r="J1502" s="2164"/>
      <c r="K1502" s="2164"/>
      <c r="L1502" s="2117"/>
      <c r="M1502" s="2117"/>
      <c r="N1502" s="2117"/>
      <c r="O1502" s="2117"/>
      <c r="P1502" s="2117"/>
      <c r="Q1502" s="2117"/>
      <c r="S1502" s="2269"/>
      <c r="T1502" s="2269"/>
      <c r="U1502" s="2269"/>
      <c r="V1502" s="2269"/>
      <c r="W1502" s="2269"/>
      <c r="X1502" s="2269"/>
      <c r="Y1502" s="2269"/>
      <c r="Z1502" s="2269"/>
      <c r="AA1502" s="2269"/>
      <c r="AB1502" s="2269"/>
      <c r="AC1502" s="2269"/>
      <c r="AD1502" s="2269"/>
      <c r="AE1502" s="2269"/>
      <c r="AF1502" s="2269"/>
      <c r="AG1502" s="2269"/>
      <c r="AH1502" s="2269"/>
      <c r="AI1502" s="2269"/>
      <c r="AJ1502" s="2269"/>
      <c r="AK1502" s="2269"/>
      <c r="AL1502" s="2269"/>
      <c r="AM1502" s="2269"/>
      <c r="AN1502" s="2269"/>
      <c r="AO1502" s="2269"/>
      <c r="AP1502" s="2269"/>
      <c r="AQ1502" s="2269"/>
      <c r="AR1502" s="2269"/>
    </row>
    <row r="1503" spans="1:44" s="1852" customFormat="1" ht="12" customHeight="1">
      <c r="A1503" s="2226" t="str">
        <f>'Part VIII-Threshold Criteria'!A263</f>
        <v>The applicant is not within a QCT; therefore, we are not proposing to construct a community service facility.</v>
      </c>
      <c r="B1503" s="2226"/>
      <c r="C1503" s="2226"/>
      <c r="D1503" s="2226"/>
      <c r="E1503" s="2226"/>
      <c r="F1503" s="2226"/>
      <c r="G1503" s="2226"/>
      <c r="H1503" s="2226"/>
      <c r="I1503" s="2226"/>
      <c r="J1503" s="2226"/>
      <c r="K1503" s="2226"/>
      <c r="L1503" s="2226"/>
      <c r="M1503" s="2226"/>
      <c r="N1503" s="2226"/>
      <c r="O1503" s="2226"/>
      <c r="P1503" s="2226"/>
      <c r="Q1503" s="2226"/>
      <c r="R1503" s="1855" t="s">
        <v>1208</v>
      </c>
      <c r="S1503" s="2276"/>
      <c r="T1503" s="2269"/>
      <c r="U1503" s="2183"/>
      <c r="V1503" s="2183"/>
      <c r="W1503" s="2183"/>
      <c r="X1503" s="2183"/>
      <c r="Y1503" s="2183"/>
      <c r="Z1503" s="2183"/>
      <c r="AA1503" s="2183"/>
      <c r="AB1503" s="2183"/>
      <c r="AC1503" s="2183"/>
      <c r="AD1503" s="2183"/>
      <c r="AE1503" s="2183"/>
      <c r="AF1503" s="2269"/>
      <c r="AG1503" s="2269"/>
      <c r="AH1503" s="2269"/>
      <c r="AI1503" s="2269"/>
      <c r="AJ1503" s="2269"/>
      <c r="AK1503" s="2269"/>
      <c r="AL1503" s="2269"/>
      <c r="AM1503" s="2269"/>
      <c r="AN1503" s="2269"/>
      <c r="AO1503" s="2269"/>
      <c r="AP1503" s="2269"/>
      <c r="AQ1503" s="2269"/>
      <c r="AR1503" s="2269"/>
    </row>
    <row r="1504" spans="1:44" s="1852" customFormat="1" ht="11.25" customHeight="1">
      <c r="B1504" s="2227" t="s">
        <v>1781</v>
      </c>
      <c r="C1504" s="2227"/>
      <c r="D1504" s="2228"/>
      <c r="E1504" s="2228"/>
      <c r="F1504" s="2228"/>
      <c r="G1504" s="2228"/>
      <c r="H1504" s="2228"/>
      <c r="I1504" s="2228"/>
      <c r="J1504" s="2228"/>
      <c r="K1504" s="2228"/>
      <c r="L1504" s="2228"/>
      <c r="M1504" s="2228"/>
      <c r="N1504" s="2228"/>
      <c r="O1504" s="2228"/>
      <c r="P1504" s="2228"/>
      <c r="Q1504" s="2228"/>
      <c r="S1504" s="2269"/>
      <c r="T1504" s="2269"/>
      <c r="U1504" s="2269"/>
      <c r="V1504" s="2269"/>
      <c r="W1504" s="2269"/>
      <c r="X1504" s="2269"/>
      <c r="Y1504" s="2269"/>
      <c r="Z1504" s="2269"/>
      <c r="AA1504" s="2269"/>
      <c r="AB1504" s="2269"/>
      <c r="AC1504" s="2269"/>
      <c r="AD1504" s="2269"/>
      <c r="AE1504" s="2269"/>
      <c r="AF1504" s="2269"/>
      <c r="AG1504" s="2269"/>
      <c r="AH1504" s="2269"/>
      <c r="AI1504" s="2269"/>
      <c r="AJ1504" s="2269"/>
      <c r="AK1504" s="2269"/>
      <c r="AL1504" s="2269"/>
      <c r="AM1504" s="2269"/>
      <c r="AN1504" s="2269"/>
      <c r="AO1504" s="2269"/>
      <c r="AP1504" s="2269"/>
      <c r="AQ1504" s="2269"/>
      <c r="AR1504" s="2269"/>
    </row>
    <row r="1505" spans="1:44" s="1852" customFormat="1" ht="12" customHeight="1">
      <c r="A1505" s="2223"/>
      <c r="B1505" s="2223"/>
      <c r="C1505" s="2223"/>
      <c r="D1505" s="2223"/>
      <c r="E1505" s="2223"/>
      <c r="F1505" s="2223"/>
      <c r="G1505" s="2223"/>
      <c r="H1505" s="2223"/>
      <c r="I1505" s="2223"/>
      <c r="J1505" s="2223"/>
      <c r="K1505" s="2223"/>
      <c r="L1505" s="2223"/>
      <c r="M1505" s="2223"/>
      <c r="N1505" s="2223"/>
      <c r="O1505" s="2223"/>
      <c r="P1505" s="2223"/>
      <c r="Q1505" s="2223"/>
      <c r="S1505" s="2269"/>
      <c r="T1505" s="2269"/>
      <c r="U1505" s="2269"/>
      <c r="V1505" s="2269"/>
      <c r="W1505" s="2269"/>
      <c r="X1505" s="2269"/>
      <c r="Y1505" s="2269"/>
      <c r="Z1505" s="2269"/>
      <c r="AA1505" s="2269"/>
      <c r="AB1505" s="2269"/>
      <c r="AC1505" s="2269"/>
      <c r="AD1505" s="2269"/>
      <c r="AE1505" s="2269"/>
      <c r="AF1505" s="2269"/>
      <c r="AG1505" s="2269"/>
      <c r="AH1505" s="2269"/>
      <c r="AI1505" s="2269"/>
      <c r="AJ1505" s="2269"/>
      <c r="AK1505" s="2269"/>
      <c r="AL1505" s="2269"/>
      <c r="AM1505" s="2269"/>
      <c r="AN1505" s="2269"/>
      <c r="AO1505" s="2269"/>
      <c r="AP1505" s="2269"/>
      <c r="AQ1505" s="2269"/>
      <c r="AR1505" s="2269"/>
    </row>
    <row r="1506" spans="1:44" s="1852" customFormat="1" ht="3" customHeight="1">
      <c r="A1506" s="2117"/>
      <c r="B1506" s="2164"/>
      <c r="C1506" s="2228"/>
      <c r="D1506" s="2228"/>
      <c r="E1506" s="2228"/>
      <c r="F1506" s="2228"/>
      <c r="G1506" s="2228"/>
      <c r="H1506" s="2228"/>
      <c r="I1506" s="2228"/>
      <c r="J1506" s="2228"/>
      <c r="K1506" s="2228"/>
      <c r="L1506" s="2228"/>
      <c r="M1506" s="2228"/>
      <c r="Q1506" s="2117"/>
      <c r="S1506" s="2269"/>
      <c r="T1506" s="2269"/>
      <c r="U1506" s="2269"/>
      <c r="V1506" s="2269"/>
      <c r="W1506" s="2269"/>
      <c r="X1506" s="2269"/>
      <c r="Y1506" s="2269"/>
      <c r="Z1506" s="2269"/>
      <c r="AA1506" s="2269"/>
      <c r="AB1506" s="2269"/>
      <c r="AC1506" s="2269"/>
      <c r="AD1506" s="2269"/>
      <c r="AE1506" s="2269"/>
      <c r="AF1506" s="2269"/>
      <c r="AG1506" s="2269"/>
      <c r="AH1506" s="2269"/>
      <c r="AI1506" s="2269"/>
      <c r="AJ1506" s="2269"/>
      <c r="AK1506" s="2269"/>
      <c r="AL1506" s="2269"/>
      <c r="AM1506" s="2269"/>
      <c r="AN1506" s="2269"/>
      <c r="AO1506" s="2269"/>
      <c r="AP1506" s="2269"/>
      <c r="AQ1506" s="2269"/>
      <c r="AR1506" s="2269"/>
    </row>
    <row r="1507" spans="1:44" s="1852" customFormat="1" ht="14.1" customHeight="1">
      <c r="A1507" s="2105" t="s">
        <v>2150</v>
      </c>
      <c r="B1507" s="1818" t="s">
        <v>4154</v>
      </c>
      <c r="C1507" s="1818"/>
      <c r="D1507" s="435"/>
      <c r="E1507" s="435"/>
      <c r="F1507" s="435"/>
      <c r="G1507" s="435"/>
      <c r="H1507" s="2228"/>
      <c r="I1507" s="2228"/>
      <c r="J1507" s="2228"/>
      <c r="K1507" s="2228"/>
      <c r="L1507" s="2198"/>
      <c r="M1507" s="2278"/>
      <c r="O1507" s="2224" t="s">
        <v>1782</v>
      </c>
      <c r="P1507" s="1719"/>
      <c r="Q1507" s="1719"/>
      <c r="S1507" s="2269"/>
      <c r="T1507" s="2269"/>
      <c r="U1507" s="2269"/>
      <c r="V1507" s="2269"/>
      <c r="W1507" s="2269"/>
      <c r="X1507" s="2269"/>
      <c r="Y1507" s="2269"/>
      <c r="Z1507" s="2269"/>
      <c r="AA1507" s="2269"/>
      <c r="AB1507" s="2269"/>
      <c r="AC1507" s="2269"/>
      <c r="AD1507" s="2269"/>
      <c r="AE1507" s="2269"/>
      <c r="AF1507" s="2269"/>
      <c r="AG1507" s="2269"/>
      <c r="AH1507" s="2269"/>
      <c r="AI1507" s="2269"/>
      <c r="AJ1507" s="2269"/>
      <c r="AK1507" s="2269"/>
      <c r="AL1507" s="2269"/>
      <c r="AM1507" s="2269"/>
      <c r="AN1507" s="2269"/>
      <c r="AO1507" s="2269"/>
      <c r="AP1507" s="2269"/>
      <c r="AQ1507" s="2269"/>
      <c r="AR1507" s="2269"/>
    </row>
    <row r="1508" spans="1:44" s="1852" customFormat="1" ht="12" customHeight="1">
      <c r="B1508" s="2112" t="s">
        <v>6455</v>
      </c>
      <c r="N1508" s="2051"/>
      <c r="P1508" s="2230">
        <f>'Part VIII-Threshold Criteria'!P268</f>
        <v>0</v>
      </c>
      <c r="Q1508" s="2164"/>
      <c r="S1508" s="2269"/>
      <c r="T1508" s="2269"/>
      <c r="U1508" s="2269"/>
      <c r="V1508" s="2269"/>
      <c r="W1508" s="2269"/>
      <c r="X1508" s="2269"/>
      <c r="Y1508" s="2269"/>
      <c r="Z1508" s="2269"/>
      <c r="AA1508" s="2269"/>
      <c r="AB1508" s="2269"/>
      <c r="AC1508" s="2269"/>
      <c r="AD1508" s="2269"/>
      <c r="AE1508" s="2269"/>
      <c r="AF1508" s="2269"/>
      <c r="AG1508" s="2269"/>
      <c r="AH1508" s="2269"/>
      <c r="AI1508" s="2269"/>
      <c r="AJ1508" s="2269"/>
      <c r="AK1508" s="2269"/>
      <c r="AL1508" s="2269"/>
      <c r="AM1508" s="2269"/>
      <c r="AN1508" s="2269"/>
      <c r="AO1508" s="2269"/>
      <c r="AP1508" s="2269"/>
      <c r="AQ1508" s="2269"/>
      <c r="AR1508" s="2269"/>
    </row>
    <row r="1509" spans="1:44" s="1852" customFormat="1" ht="11.45" customHeight="1">
      <c r="A1509" s="2255" t="s">
        <v>1894</v>
      </c>
      <c r="B1509" s="435" t="s">
        <v>1220</v>
      </c>
      <c r="D1509" s="1818"/>
      <c r="E1509" s="435"/>
      <c r="F1509" s="435"/>
      <c r="J1509" s="2255" t="s">
        <v>1894</v>
      </c>
      <c r="K1509" s="2111">
        <f>'Part VIII-Threshold Criteria'!K269</f>
        <v>0</v>
      </c>
      <c r="L1509" s="2111"/>
      <c r="M1509" s="2111"/>
      <c r="N1509" s="2111"/>
      <c r="O1509" s="2111"/>
      <c r="P1509" s="435" t="s">
        <v>1691</v>
      </c>
      <c r="Q1509" s="435"/>
      <c r="S1509" s="2269"/>
      <c r="T1509" s="2269"/>
      <c r="U1509" s="2269"/>
      <c r="V1509" s="2269"/>
      <c r="W1509" s="2269"/>
      <c r="X1509" s="2269"/>
      <c r="Y1509" s="2269"/>
      <c r="Z1509" s="2269"/>
      <c r="AA1509" s="2269"/>
      <c r="AB1509" s="2269"/>
      <c r="AC1509" s="2269"/>
      <c r="AD1509" s="2269"/>
      <c r="AE1509" s="2269"/>
      <c r="AF1509" s="2269"/>
      <c r="AG1509" s="2269"/>
      <c r="AH1509" s="2269"/>
      <c r="AI1509" s="2269"/>
      <c r="AJ1509" s="2269"/>
      <c r="AK1509" s="2269"/>
      <c r="AL1509" s="2269"/>
      <c r="AM1509" s="2269"/>
      <c r="AN1509" s="2269"/>
      <c r="AO1509" s="2269"/>
      <c r="AP1509" s="2269"/>
      <c r="AQ1509" s="2269"/>
      <c r="AR1509" s="2269"/>
    </row>
    <row r="1510" spans="1:44" s="1852" customFormat="1" ht="34.5" customHeight="1">
      <c r="B1510" s="2223" t="s">
        <v>6456</v>
      </c>
      <c r="C1510" s="2223"/>
      <c r="D1510" s="2223"/>
      <c r="E1510" s="2223"/>
      <c r="F1510" s="2223"/>
      <c r="G1510" s="2223"/>
      <c r="H1510" s="2223"/>
      <c r="I1510" s="2223"/>
      <c r="J1510" s="2223"/>
      <c r="K1510" s="2223"/>
      <c r="L1510" s="2223"/>
      <c r="M1510" s="2223"/>
      <c r="N1510" s="2223"/>
      <c r="O1510" s="2223"/>
      <c r="P1510" s="2230">
        <f>'Part VIII-Threshold Criteria'!P270</f>
        <v>0</v>
      </c>
      <c r="Q1510" s="2252"/>
      <c r="S1510" s="2269"/>
      <c r="T1510" s="2269"/>
      <c r="U1510" s="2269"/>
      <c r="V1510" s="2269"/>
      <c r="W1510" s="2269"/>
      <c r="X1510" s="2269"/>
      <c r="Y1510" s="2269"/>
      <c r="Z1510" s="2269"/>
      <c r="AA1510" s="2269"/>
      <c r="AB1510" s="2269"/>
      <c r="AC1510" s="2269"/>
      <c r="AD1510" s="2269"/>
      <c r="AE1510" s="2269"/>
      <c r="AF1510" s="2269"/>
      <c r="AG1510" s="2269"/>
      <c r="AH1510" s="2269"/>
      <c r="AI1510" s="2269"/>
      <c r="AJ1510" s="2269"/>
      <c r="AK1510" s="2269"/>
      <c r="AL1510" s="2269"/>
      <c r="AM1510" s="2269"/>
      <c r="AN1510" s="2269"/>
      <c r="AO1510" s="2269"/>
      <c r="AP1510" s="2269"/>
      <c r="AQ1510" s="2269"/>
      <c r="AR1510" s="2269"/>
    </row>
    <row r="1511" spans="1:44" s="1852" customFormat="1" ht="12" customHeight="1">
      <c r="A1511" s="2255" t="s">
        <v>1896</v>
      </c>
      <c r="B1511" s="435" t="s">
        <v>2618</v>
      </c>
      <c r="D1511" s="435"/>
      <c r="E1511" s="435"/>
      <c r="F1511" s="435"/>
      <c r="J1511" s="2255" t="s">
        <v>1896</v>
      </c>
      <c r="K1511" s="2279">
        <f>'Part VIII-Threshold Criteria'!K271</f>
        <v>0</v>
      </c>
      <c r="L1511" s="2279"/>
      <c r="M1511" s="2279"/>
      <c r="N1511" s="2279"/>
      <c r="O1511" s="2279"/>
      <c r="P1511" s="2280"/>
      <c r="Q1511" s="2280"/>
      <c r="S1511" s="2269"/>
      <c r="T1511" s="2269"/>
      <c r="U1511" s="2269"/>
      <c r="V1511" s="2269"/>
      <c r="W1511" s="2269"/>
      <c r="X1511" s="2269"/>
      <c r="Y1511" s="2269"/>
      <c r="Z1511" s="2269"/>
      <c r="AA1511" s="2269"/>
      <c r="AB1511" s="2269"/>
      <c r="AC1511" s="2269"/>
      <c r="AD1511" s="2269"/>
      <c r="AE1511" s="2269"/>
      <c r="AF1511" s="2269"/>
      <c r="AG1511" s="2269"/>
      <c r="AH1511" s="2269"/>
      <c r="AI1511" s="2269"/>
      <c r="AJ1511" s="2269"/>
      <c r="AK1511" s="2269"/>
      <c r="AL1511" s="2269"/>
      <c r="AM1511" s="2269"/>
      <c r="AN1511" s="2269"/>
      <c r="AO1511" s="2269"/>
      <c r="AP1511" s="2269"/>
      <c r="AQ1511" s="2269"/>
      <c r="AR1511" s="2269"/>
    </row>
    <row r="1512" spans="1:44" s="1852" customFormat="1" ht="12" customHeight="1">
      <c r="A1512" s="2255"/>
      <c r="B1512" s="2228" t="s">
        <v>1658</v>
      </c>
      <c r="C1512" s="435" t="s">
        <v>1857</v>
      </c>
      <c r="D1512" s="435"/>
      <c r="E1512" s="435"/>
      <c r="F1512" s="435"/>
      <c r="J1512" s="2255" t="s">
        <v>1658</v>
      </c>
      <c r="K1512" s="2111">
        <f>'Part VIII-Threshold Criteria'!K272</f>
        <v>0</v>
      </c>
      <c r="L1512" s="2111"/>
      <c r="M1512" s="2111"/>
      <c r="N1512" s="2111"/>
      <c r="O1512" s="2111"/>
      <c r="P1512" s="435"/>
      <c r="Q1512" s="435"/>
      <c r="S1512" s="2269"/>
      <c r="T1512" s="2269"/>
      <c r="U1512" s="2269"/>
      <c r="V1512" s="2269"/>
      <c r="W1512" s="2269"/>
      <c r="X1512" s="2269"/>
      <c r="Y1512" s="2269"/>
      <c r="Z1512" s="2269"/>
      <c r="AA1512" s="2269"/>
      <c r="AB1512" s="2269"/>
      <c r="AC1512" s="2269"/>
      <c r="AD1512" s="2269"/>
      <c r="AE1512" s="2269"/>
      <c r="AF1512" s="2269"/>
      <c r="AG1512" s="2269"/>
      <c r="AH1512" s="2269"/>
      <c r="AI1512" s="2269"/>
      <c r="AJ1512" s="2269"/>
      <c r="AK1512" s="2269"/>
      <c r="AL1512" s="2269"/>
      <c r="AM1512" s="2269"/>
      <c r="AN1512" s="2269"/>
      <c r="AO1512" s="2269"/>
      <c r="AP1512" s="2269"/>
      <c r="AQ1512" s="2269"/>
      <c r="AR1512" s="2269"/>
    </row>
    <row r="1513" spans="1:44" s="1852" customFormat="1" ht="12" customHeight="1">
      <c r="A1513" s="2255"/>
      <c r="B1513" s="2228" t="s">
        <v>1659</v>
      </c>
      <c r="C1513" s="435" t="s">
        <v>6457</v>
      </c>
      <c r="D1513" s="435"/>
      <c r="E1513" s="435"/>
      <c r="F1513" s="435"/>
      <c r="G1513" s="435"/>
      <c r="H1513" s="435"/>
      <c r="I1513" s="1818"/>
      <c r="J1513" s="1818"/>
      <c r="M1513" s="435"/>
      <c r="N1513" s="2281"/>
      <c r="O1513" s="2255" t="s">
        <v>1659</v>
      </c>
      <c r="P1513" s="2230">
        <f>'Part VIII-Threshold Criteria'!P273</f>
        <v>0</v>
      </c>
      <c r="Q1513" s="2164"/>
      <c r="S1513" s="2269"/>
      <c r="T1513" s="2269"/>
      <c r="U1513" s="2269"/>
      <c r="V1513" s="2269"/>
      <c r="W1513" s="2269"/>
      <c r="X1513" s="2269"/>
      <c r="Y1513" s="2269"/>
      <c r="Z1513" s="2269"/>
      <c r="AA1513" s="2269"/>
      <c r="AB1513" s="2269"/>
      <c r="AC1513" s="2269"/>
      <c r="AD1513" s="2269"/>
      <c r="AE1513" s="2269"/>
      <c r="AF1513" s="2269"/>
      <c r="AG1513" s="2269"/>
      <c r="AH1513" s="2269"/>
      <c r="AI1513" s="2269"/>
      <c r="AJ1513" s="2269"/>
      <c r="AK1513" s="2269"/>
      <c r="AL1513" s="2269"/>
      <c r="AM1513" s="2269"/>
      <c r="AN1513" s="2269"/>
      <c r="AO1513" s="2269"/>
      <c r="AP1513" s="2269"/>
      <c r="AQ1513" s="2269"/>
      <c r="AR1513" s="2269"/>
    </row>
    <row r="1514" spans="1:44" s="1852" customFormat="1" ht="34.5" customHeight="1">
      <c r="A1514" s="2255"/>
      <c r="B1514" s="2228" t="s">
        <v>1660</v>
      </c>
      <c r="C1514" s="2223" t="s">
        <v>6467</v>
      </c>
      <c r="D1514" s="2223"/>
      <c r="E1514" s="2223"/>
      <c r="F1514" s="2223"/>
      <c r="G1514" s="2223"/>
      <c r="H1514" s="2223"/>
      <c r="I1514" s="2223"/>
      <c r="J1514" s="2223"/>
      <c r="K1514" s="2223"/>
      <c r="L1514" s="2223"/>
      <c r="M1514" s="2223"/>
      <c r="N1514" s="2223"/>
      <c r="O1514" s="2224" t="s">
        <v>1660</v>
      </c>
      <c r="P1514" s="2230">
        <f>'Part VIII-Threshold Criteria'!P274</f>
        <v>0</v>
      </c>
      <c r="Q1514" s="2252"/>
      <c r="S1514" s="2269"/>
      <c r="T1514" s="2269"/>
      <c r="U1514" s="2269"/>
      <c r="V1514" s="2269"/>
      <c r="W1514" s="2269"/>
      <c r="X1514" s="2269"/>
      <c r="Y1514" s="2269"/>
      <c r="Z1514" s="2269"/>
      <c r="AA1514" s="2269"/>
      <c r="AB1514" s="2269"/>
      <c r="AC1514" s="2269"/>
      <c r="AD1514" s="2269"/>
      <c r="AE1514" s="2269"/>
      <c r="AF1514" s="2269"/>
      <c r="AG1514" s="2269"/>
      <c r="AH1514" s="2269"/>
      <c r="AI1514" s="2269"/>
      <c r="AJ1514" s="2269"/>
      <c r="AK1514" s="2269"/>
      <c r="AL1514" s="2269"/>
      <c r="AM1514" s="2269"/>
      <c r="AN1514" s="2269"/>
      <c r="AO1514" s="2269"/>
      <c r="AP1514" s="2269"/>
      <c r="AQ1514" s="2269"/>
      <c r="AR1514" s="2269"/>
    </row>
    <row r="1515" spans="1:44" s="1852" customFormat="1" ht="24" customHeight="1">
      <c r="A1515" s="2255"/>
      <c r="B1515" s="2228" t="s">
        <v>2261</v>
      </c>
      <c r="C1515" s="2223" t="s">
        <v>6468</v>
      </c>
      <c r="D1515" s="2223"/>
      <c r="E1515" s="2223"/>
      <c r="F1515" s="2223"/>
      <c r="G1515" s="2223"/>
      <c r="H1515" s="2223"/>
      <c r="I1515" s="2223"/>
      <c r="J1515" s="2223"/>
      <c r="K1515" s="2223"/>
      <c r="L1515" s="2223"/>
      <c r="M1515" s="2223"/>
      <c r="N1515" s="2223"/>
      <c r="O1515" s="2224" t="s">
        <v>2261</v>
      </c>
      <c r="P1515" s="2230">
        <f>'Part VIII-Threshold Criteria'!P275</f>
        <v>0</v>
      </c>
      <c r="Q1515" s="2252"/>
      <c r="S1515" s="2269"/>
      <c r="T1515" s="2269"/>
      <c r="U1515" s="2269"/>
      <c r="V1515" s="2269"/>
      <c r="W1515" s="2269"/>
      <c r="X1515" s="2269"/>
      <c r="Y1515" s="2269"/>
      <c r="Z1515" s="2269"/>
      <c r="AA1515" s="2269"/>
      <c r="AB1515" s="2269"/>
      <c r="AC1515" s="2269"/>
      <c r="AD1515" s="2269"/>
      <c r="AE1515" s="2269"/>
      <c r="AF1515" s="2269"/>
      <c r="AG1515" s="2269"/>
      <c r="AH1515" s="2269"/>
      <c r="AI1515" s="2269"/>
      <c r="AJ1515" s="2269"/>
      <c r="AK1515" s="2269"/>
      <c r="AL1515" s="2269"/>
      <c r="AM1515" s="2269"/>
      <c r="AN1515" s="2269"/>
      <c r="AO1515" s="2269"/>
      <c r="AP1515" s="2269"/>
      <c r="AQ1515" s="2269"/>
      <c r="AR1515" s="2269"/>
    </row>
    <row r="1516" spans="1:44" s="1852" customFormat="1" ht="12" customHeight="1">
      <c r="A1516" s="2255" t="s">
        <v>719</v>
      </c>
      <c r="B1516" s="435" t="s">
        <v>3453</v>
      </c>
      <c r="D1516" s="435"/>
      <c r="E1516" s="435"/>
      <c r="F1516" s="435"/>
      <c r="G1516" s="435"/>
      <c r="H1516" s="435"/>
      <c r="I1516" s="1818"/>
      <c r="J1516" s="1818"/>
      <c r="K1516" s="1818"/>
      <c r="M1516" s="435"/>
      <c r="N1516" s="2281"/>
      <c r="P1516" s="2230">
        <f>'Part VIII-Threshold Criteria'!P276</f>
        <v>0</v>
      </c>
      <c r="Q1516" s="2164"/>
      <c r="S1516" s="2269"/>
      <c r="T1516" s="2269"/>
      <c r="U1516" s="2269"/>
      <c r="V1516" s="2269"/>
      <c r="W1516" s="2269"/>
      <c r="X1516" s="2269"/>
      <c r="Y1516" s="2269"/>
      <c r="Z1516" s="2269"/>
      <c r="AA1516" s="2269"/>
      <c r="AB1516" s="2269"/>
      <c r="AC1516" s="2269"/>
      <c r="AD1516" s="2269"/>
      <c r="AE1516" s="2269"/>
      <c r="AF1516" s="2269"/>
      <c r="AG1516" s="2269"/>
      <c r="AH1516" s="2269"/>
      <c r="AI1516" s="2269"/>
      <c r="AJ1516" s="2269"/>
      <c r="AK1516" s="2269"/>
      <c r="AL1516" s="2269"/>
      <c r="AM1516" s="2269"/>
      <c r="AN1516" s="2269"/>
      <c r="AO1516" s="2269"/>
      <c r="AP1516" s="2269"/>
      <c r="AQ1516" s="2269"/>
      <c r="AR1516" s="2269"/>
    </row>
    <row r="1517" spans="1:44" s="1852" customFormat="1" ht="12" customHeight="1">
      <c r="A1517" s="2255"/>
      <c r="B1517" s="2223" t="s">
        <v>3378</v>
      </c>
      <c r="C1517" s="2223"/>
      <c r="D1517" s="2223"/>
      <c r="E1517" s="2223"/>
      <c r="F1517" s="2223"/>
      <c r="G1517" s="2223"/>
      <c r="H1517" s="2112" t="s">
        <v>3534</v>
      </c>
      <c r="K1517" s="1818"/>
      <c r="M1517" s="435"/>
      <c r="N1517" s="2281"/>
      <c r="O1517" s="2255" t="s">
        <v>1658</v>
      </c>
      <c r="P1517" s="2230">
        <f>'Part VIII-Threshold Criteria'!P277</f>
        <v>0</v>
      </c>
      <c r="Q1517" s="2164"/>
      <c r="S1517" s="2269"/>
      <c r="T1517" s="2269"/>
      <c r="U1517" s="2269"/>
      <c r="V1517" s="2269"/>
      <c r="W1517" s="2269"/>
      <c r="X1517" s="2269"/>
      <c r="Y1517" s="2269"/>
      <c r="Z1517" s="2269"/>
      <c r="AA1517" s="2269"/>
      <c r="AB1517" s="2269"/>
      <c r="AC1517" s="2269"/>
      <c r="AD1517" s="2269"/>
      <c r="AE1517" s="2269"/>
      <c r="AF1517" s="2269"/>
      <c r="AG1517" s="2269"/>
      <c r="AH1517" s="2269"/>
      <c r="AI1517" s="2269"/>
      <c r="AJ1517" s="2269"/>
      <c r="AK1517" s="2269"/>
      <c r="AL1517" s="2269"/>
      <c r="AM1517" s="2269"/>
      <c r="AN1517" s="2269"/>
      <c r="AO1517" s="2269"/>
      <c r="AP1517" s="2269"/>
      <c r="AQ1517" s="2269"/>
      <c r="AR1517" s="2269"/>
    </row>
    <row r="1518" spans="1:44" s="1852" customFormat="1" ht="12" customHeight="1">
      <c r="A1518" s="2255"/>
      <c r="B1518" s="2223"/>
      <c r="C1518" s="2223"/>
      <c r="D1518" s="2223"/>
      <c r="E1518" s="2223"/>
      <c r="F1518" s="2223"/>
      <c r="G1518" s="2223"/>
      <c r="H1518" s="2112" t="s">
        <v>3535</v>
      </c>
      <c r="K1518" s="1818"/>
      <c r="M1518" s="435"/>
      <c r="N1518" s="2281"/>
      <c r="O1518" s="2255" t="s">
        <v>1659</v>
      </c>
      <c r="P1518" s="2230">
        <f>'Part VIII-Threshold Criteria'!P278</f>
        <v>0</v>
      </c>
      <c r="Q1518" s="2164"/>
      <c r="S1518" s="2269"/>
      <c r="T1518" s="2269"/>
      <c r="U1518" s="2269"/>
      <c r="V1518" s="2269"/>
      <c r="W1518" s="2269"/>
      <c r="X1518" s="2269"/>
      <c r="Y1518" s="2269"/>
      <c r="Z1518" s="2269"/>
      <c r="AA1518" s="2269"/>
      <c r="AB1518" s="2269"/>
      <c r="AC1518" s="2269"/>
      <c r="AD1518" s="2269"/>
      <c r="AE1518" s="2269"/>
      <c r="AF1518" s="2269"/>
      <c r="AG1518" s="2269"/>
      <c r="AH1518" s="2269"/>
      <c r="AI1518" s="2269"/>
      <c r="AJ1518" s="2269"/>
      <c r="AK1518" s="2269"/>
      <c r="AL1518" s="2269"/>
      <c r="AM1518" s="2269"/>
      <c r="AN1518" s="2269"/>
      <c r="AO1518" s="2269"/>
      <c r="AP1518" s="2269"/>
      <c r="AQ1518" s="2269"/>
      <c r="AR1518" s="2269"/>
    </row>
    <row r="1519" spans="1:44" s="1852" customFormat="1" ht="12" customHeight="1">
      <c r="A1519" s="2255"/>
      <c r="B1519" s="435"/>
      <c r="D1519" s="435"/>
      <c r="E1519" s="435"/>
      <c r="F1519" s="435"/>
      <c r="G1519" s="435"/>
      <c r="H1519" s="2112" t="s">
        <v>3536</v>
      </c>
      <c r="K1519" s="1818"/>
      <c r="M1519" s="435"/>
      <c r="N1519" s="2281"/>
      <c r="O1519" s="2255" t="s">
        <v>1660</v>
      </c>
      <c r="P1519" s="2230">
        <f>'Part VIII-Threshold Criteria'!P279</f>
        <v>0</v>
      </c>
      <c r="Q1519" s="2164"/>
      <c r="S1519" s="2269"/>
      <c r="T1519" s="2269"/>
      <c r="U1519" s="2269"/>
      <c r="V1519" s="2269"/>
      <c r="W1519" s="2269"/>
      <c r="X1519" s="2269"/>
      <c r="Y1519" s="2269"/>
      <c r="Z1519" s="2269"/>
      <c r="AA1519" s="2269"/>
      <c r="AB1519" s="2269"/>
      <c r="AC1519" s="2269"/>
      <c r="AD1519" s="2269"/>
      <c r="AE1519" s="2269"/>
      <c r="AF1519" s="2269"/>
      <c r="AG1519" s="2269"/>
      <c r="AH1519" s="2269"/>
      <c r="AI1519" s="2269"/>
      <c r="AJ1519" s="2269"/>
      <c r="AK1519" s="2269"/>
      <c r="AL1519" s="2269"/>
      <c r="AM1519" s="2269"/>
      <c r="AN1519" s="2269"/>
      <c r="AO1519" s="2269"/>
      <c r="AP1519" s="2269"/>
      <c r="AQ1519" s="2269"/>
      <c r="AR1519" s="2269"/>
    </row>
    <row r="1520" spans="1:44" s="1852" customFormat="1" ht="12" customHeight="1">
      <c r="A1520" s="2255"/>
      <c r="B1520" s="435"/>
      <c r="D1520" s="435"/>
      <c r="E1520" s="435"/>
      <c r="F1520" s="435"/>
      <c r="G1520" s="435"/>
      <c r="H1520" s="2112" t="s">
        <v>3537</v>
      </c>
      <c r="K1520" s="1818"/>
      <c r="M1520" s="435"/>
      <c r="N1520" s="2281"/>
      <c r="O1520" s="2255" t="s">
        <v>2261</v>
      </c>
      <c r="P1520" s="2230">
        <f>'Part VIII-Threshold Criteria'!P280</f>
        <v>0</v>
      </c>
      <c r="Q1520" s="2164"/>
      <c r="S1520" s="2269"/>
      <c r="T1520" s="2269"/>
      <c r="U1520" s="2269"/>
      <c r="V1520" s="2269"/>
      <c r="W1520" s="2269"/>
      <c r="X1520" s="2269"/>
      <c r="Y1520" s="2269"/>
      <c r="Z1520" s="2269"/>
      <c r="AA1520" s="2269"/>
      <c r="AB1520" s="2269"/>
      <c r="AC1520" s="2269"/>
      <c r="AD1520" s="2269"/>
      <c r="AE1520" s="2269"/>
      <c r="AF1520" s="2269"/>
      <c r="AG1520" s="2269"/>
      <c r="AH1520" s="2269"/>
      <c r="AI1520" s="2269"/>
      <c r="AJ1520" s="2269"/>
      <c r="AK1520" s="2269"/>
      <c r="AL1520" s="2269"/>
      <c r="AM1520" s="2269"/>
      <c r="AN1520" s="2269"/>
      <c r="AO1520" s="2269"/>
      <c r="AP1520" s="2269"/>
      <c r="AQ1520" s="2269"/>
      <c r="AR1520" s="2269"/>
    </row>
    <row r="1521" spans="1:44" s="1852" customFormat="1" ht="23.25" customHeight="1">
      <c r="B1521" s="2223" t="s">
        <v>6826</v>
      </c>
      <c r="C1521" s="2223" t="s">
        <v>7152</v>
      </c>
      <c r="D1521" s="2223"/>
      <c r="E1521" s="2223"/>
      <c r="F1521" s="2223"/>
      <c r="G1521" s="2223"/>
      <c r="H1521" s="2223"/>
      <c r="I1521" s="2223"/>
      <c r="J1521" s="2223"/>
      <c r="K1521" s="2223"/>
      <c r="L1521" s="2223"/>
      <c r="M1521" s="2223"/>
      <c r="N1521" s="2223"/>
      <c r="O1521" s="2224" t="s">
        <v>1487</v>
      </c>
      <c r="P1521" s="2230">
        <f>'Part VIII-Threshold Criteria'!P281</f>
        <v>0</v>
      </c>
      <c r="Q1521" s="2252"/>
      <c r="S1521" s="2269"/>
      <c r="T1521" s="2269"/>
      <c r="U1521" s="2269"/>
      <c r="V1521" s="2269"/>
      <c r="W1521" s="2269"/>
      <c r="X1521" s="2269"/>
      <c r="Y1521" s="2269"/>
      <c r="Z1521" s="2269"/>
      <c r="AA1521" s="2269"/>
      <c r="AB1521" s="2269"/>
      <c r="AC1521" s="2269"/>
      <c r="AD1521" s="2269"/>
      <c r="AE1521" s="2269"/>
      <c r="AF1521" s="2269"/>
      <c r="AG1521" s="2269"/>
      <c r="AH1521" s="2269"/>
      <c r="AI1521" s="2269"/>
      <c r="AJ1521" s="2269"/>
      <c r="AK1521" s="2269"/>
      <c r="AL1521" s="2269"/>
      <c r="AM1521" s="2269"/>
      <c r="AN1521" s="2269"/>
      <c r="AO1521" s="2269"/>
      <c r="AP1521" s="2269"/>
      <c r="AQ1521" s="2269"/>
      <c r="AR1521" s="2269"/>
    </row>
    <row r="1522" spans="1:44" s="1852" customFormat="1" ht="12" customHeight="1">
      <c r="B1522" s="2170" t="s">
        <v>3373</v>
      </c>
      <c r="D1522" s="2170"/>
      <c r="E1522" s="2170"/>
      <c r="F1522" s="2170"/>
      <c r="G1522" s="2170"/>
      <c r="H1522" s="2121"/>
      <c r="I1522" s="2164"/>
      <c r="J1522" s="2164"/>
      <c r="K1522" s="2164"/>
      <c r="L1522" s="2117"/>
      <c r="M1522" s="2117"/>
      <c r="N1522" s="2117"/>
      <c r="O1522" s="2117"/>
      <c r="P1522" s="2117"/>
      <c r="Q1522" s="2117"/>
      <c r="S1522" s="2269"/>
      <c r="T1522" s="2269"/>
      <c r="U1522" s="2269"/>
      <c r="V1522" s="2269"/>
      <c r="W1522" s="2269"/>
      <c r="X1522" s="2269"/>
      <c r="Y1522" s="2269"/>
      <c r="Z1522" s="2269"/>
      <c r="AA1522" s="2269"/>
      <c r="AB1522" s="2269"/>
      <c r="AC1522" s="2269"/>
      <c r="AD1522" s="2269"/>
      <c r="AE1522" s="2269"/>
      <c r="AF1522" s="2269"/>
      <c r="AG1522" s="2269"/>
      <c r="AH1522" s="2269"/>
      <c r="AI1522" s="2269"/>
      <c r="AJ1522" s="2269"/>
      <c r="AK1522" s="2269"/>
      <c r="AL1522" s="2269"/>
      <c r="AM1522" s="2269"/>
      <c r="AN1522" s="2269"/>
      <c r="AO1522" s="2269"/>
      <c r="AP1522" s="2269"/>
      <c r="AQ1522" s="2269"/>
      <c r="AR1522" s="2269"/>
    </row>
    <row r="1523" spans="1:44" s="1852" customFormat="1" ht="12" customHeight="1">
      <c r="A1523" s="2226" t="str">
        <f>'Part VIII-Threshold Criteria'!A283</f>
        <v>This is a New Construction project; therefore, this section for Rehabilitation does not apply.</v>
      </c>
      <c r="B1523" s="2226"/>
      <c r="C1523" s="2226"/>
      <c r="D1523" s="2226"/>
      <c r="E1523" s="2226"/>
      <c r="F1523" s="2226"/>
      <c r="G1523" s="2226"/>
      <c r="H1523" s="2226"/>
      <c r="I1523" s="2226"/>
      <c r="J1523" s="2226"/>
      <c r="K1523" s="2226"/>
      <c r="L1523" s="2226"/>
      <c r="M1523" s="2226"/>
      <c r="N1523" s="2226"/>
      <c r="O1523" s="2226"/>
      <c r="P1523" s="2226"/>
      <c r="Q1523" s="2226"/>
      <c r="R1523" s="1855" t="s">
        <v>1208</v>
      </c>
      <c r="S1523" s="2276"/>
      <c r="T1523" s="2269"/>
      <c r="U1523" s="2183"/>
      <c r="V1523" s="2183"/>
      <c r="W1523" s="2183"/>
      <c r="X1523" s="2183"/>
      <c r="Y1523" s="2183"/>
      <c r="Z1523" s="2183"/>
      <c r="AA1523" s="2183"/>
      <c r="AB1523" s="2183"/>
      <c r="AC1523" s="2183"/>
      <c r="AD1523" s="2183"/>
      <c r="AE1523" s="2183"/>
      <c r="AF1523" s="2269"/>
      <c r="AG1523" s="2269"/>
      <c r="AH1523" s="2269"/>
      <c r="AI1523" s="2269"/>
      <c r="AJ1523" s="2269"/>
      <c r="AK1523" s="2269"/>
      <c r="AL1523" s="2269"/>
      <c r="AM1523" s="2269"/>
      <c r="AN1523" s="2269"/>
      <c r="AO1523" s="2269"/>
      <c r="AP1523" s="2269"/>
      <c r="AQ1523" s="2269"/>
      <c r="AR1523" s="2269"/>
    </row>
    <row r="1524" spans="1:44" s="1852" customFormat="1" ht="12" customHeight="1">
      <c r="B1524" s="2227" t="s">
        <v>1781</v>
      </c>
      <c r="C1524" s="2227"/>
      <c r="D1524" s="2228"/>
      <c r="E1524" s="2228"/>
      <c r="F1524" s="2228"/>
      <c r="G1524" s="2228"/>
      <c r="H1524" s="2228"/>
      <c r="I1524" s="2228"/>
      <c r="J1524" s="2228"/>
      <c r="K1524" s="2228"/>
      <c r="L1524" s="2228"/>
      <c r="M1524" s="2228"/>
      <c r="N1524" s="2228"/>
      <c r="O1524" s="2228"/>
      <c r="P1524" s="2228"/>
      <c r="Q1524" s="2228"/>
      <c r="S1524" s="2269"/>
      <c r="T1524" s="2269"/>
      <c r="U1524" s="2269"/>
      <c r="V1524" s="2269"/>
      <c r="W1524" s="2269"/>
      <c r="X1524" s="2269"/>
      <c r="Y1524" s="2269"/>
      <c r="Z1524" s="2269"/>
      <c r="AA1524" s="2269"/>
      <c r="AB1524" s="2269"/>
      <c r="AC1524" s="2269"/>
      <c r="AD1524" s="2269"/>
      <c r="AE1524" s="2269"/>
      <c r="AF1524" s="2269"/>
      <c r="AG1524" s="2269"/>
      <c r="AH1524" s="2269"/>
      <c r="AI1524" s="2269"/>
      <c r="AJ1524" s="2269"/>
      <c r="AK1524" s="2269"/>
      <c r="AL1524" s="2269"/>
      <c r="AM1524" s="2269"/>
      <c r="AN1524" s="2269"/>
      <c r="AO1524" s="2269"/>
      <c r="AP1524" s="2269"/>
      <c r="AQ1524" s="2269"/>
      <c r="AR1524" s="2269"/>
    </row>
    <row r="1525" spans="1:44" s="1852" customFormat="1" ht="12" customHeight="1">
      <c r="A1525" s="2223"/>
      <c r="B1525" s="2223"/>
      <c r="C1525" s="2223"/>
      <c r="D1525" s="2223"/>
      <c r="E1525" s="2223"/>
      <c r="F1525" s="2223"/>
      <c r="G1525" s="2223"/>
      <c r="H1525" s="2223"/>
      <c r="I1525" s="2223"/>
      <c r="J1525" s="2223"/>
      <c r="K1525" s="2223"/>
      <c r="L1525" s="2223"/>
      <c r="M1525" s="2223"/>
      <c r="N1525" s="2223"/>
      <c r="O1525" s="2223"/>
      <c r="P1525" s="2223"/>
      <c r="Q1525" s="2223"/>
      <c r="S1525" s="2269"/>
      <c r="T1525" s="2269"/>
      <c r="U1525" s="2269"/>
      <c r="V1525" s="2269"/>
      <c r="W1525" s="2269"/>
      <c r="X1525" s="2269"/>
      <c r="Y1525" s="2269"/>
      <c r="Z1525" s="2269"/>
      <c r="AA1525" s="2269"/>
      <c r="AB1525" s="2269"/>
      <c r="AC1525" s="2269"/>
      <c r="AD1525" s="2269"/>
      <c r="AE1525" s="2269"/>
      <c r="AF1525" s="2269"/>
      <c r="AG1525" s="2269"/>
      <c r="AH1525" s="2269"/>
      <c r="AI1525" s="2269"/>
      <c r="AJ1525" s="2269"/>
      <c r="AK1525" s="2269"/>
      <c r="AL1525" s="2269"/>
      <c r="AM1525" s="2269"/>
      <c r="AN1525" s="2269"/>
      <c r="AO1525" s="2269"/>
      <c r="AP1525" s="2269"/>
      <c r="AQ1525" s="2269"/>
      <c r="AR1525" s="2269"/>
    </row>
    <row r="1526" spans="1:44" s="1852" customFormat="1" ht="3" customHeight="1">
      <c r="A1526" s="2117"/>
      <c r="B1526" s="2164"/>
      <c r="C1526" s="2228"/>
      <c r="D1526" s="2228"/>
      <c r="E1526" s="2228"/>
      <c r="F1526" s="2228"/>
      <c r="G1526" s="2228"/>
      <c r="H1526" s="2228"/>
      <c r="I1526" s="2228"/>
      <c r="J1526" s="2228"/>
      <c r="K1526" s="2228"/>
      <c r="L1526" s="2228"/>
      <c r="M1526" s="2228"/>
      <c r="Q1526" s="2117"/>
      <c r="S1526" s="2269"/>
      <c r="T1526" s="2269"/>
      <c r="U1526" s="2269"/>
      <c r="V1526" s="2269"/>
      <c r="W1526" s="2269"/>
      <c r="X1526" s="2269"/>
      <c r="Y1526" s="2269"/>
      <c r="Z1526" s="2269"/>
      <c r="AA1526" s="2269"/>
      <c r="AB1526" s="2269"/>
      <c r="AC1526" s="2269"/>
      <c r="AD1526" s="2269"/>
      <c r="AE1526" s="2269"/>
      <c r="AF1526" s="2269"/>
      <c r="AG1526" s="2269"/>
      <c r="AH1526" s="2269"/>
      <c r="AI1526" s="2269"/>
      <c r="AJ1526" s="2269"/>
      <c r="AK1526" s="2269"/>
      <c r="AL1526" s="2269"/>
      <c r="AM1526" s="2269"/>
      <c r="AN1526" s="2269"/>
      <c r="AO1526" s="2269"/>
      <c r="AP1526" s="2269"/>
      <c r="AQ1526" s="2269"/>
      <c r="AR1526" s="2269"/>
    </row>
    <row r="1527" spans="1:44" s="1852" customFormat="1" ht="14.1" customHeight="1">
      <c r="A1527" s="2105" t="s">
        <v>3522</v>
      </c>
      <c r="B1527" s="1818" t="s">
        <v>2521</v>
      </c>
      <c r="C1527" s="1818"/>
      <c r="D1527" s="435"/>
      <c r="E1527" s="435"/>
      <c r="F1527" s="435"/>
      <c r="G1527" s="435"/>
      <c r="H1527" s="2228"/>
      <c r="I1527" s="2228"/>
      <c r="J1527" s="2228"/>
      <c r="K1527" s="2228"/>
      <c r="L1527" s="2228"/>
      <c r="M1527" s="2228"/>
      <c r="O1527" s="2224" t="s">
        <v>1782</v>
      </c>
      <c r="P1527" s="1719"/>
      <c r="Q1527" s="1719"/>
      <c r="S1527" s="2269"/>
      <c r="T1527" s="2269"/>
      <c r="U1527" s="2269"/>
      <c r="V1527" s="2269"/>
      <c r="W1527" s="2269"/>
      <c r="X1527" s="2269"/>
      <c r="Y1527" s="2269"/>
      <c r="Z1527" s="2269"/>
      <c r="AA1527" s="2269"/>
      <c r="AB1527" s="2269"/>
      <c r="AC1527" s="2269"/>
      <c r="AD1527" s="2269"/>
      <c r="AE1527" s="2269"/>
      <c r="AF1527" s="2269"/>
      <c r="AG1527" s="2269"/>
      <c r="AH1527" s="2269"/>
      <c r="AI1527" s="2269"/>
      <c r="AJ1527" s="2269"/>
      <c r="AK1527" s="2269"/>
      <c r="AL1527" s="2269"/>
      <c r="AM1527" s="2269"/>
      <c r="AN1527" s="2269"/>
      <c r="AO1527" s="2269"/>
      <c r="AP1527" s="2269"/>
      <c r="AQ1527" s="2269"/>
      <c r="AR1527" s="2269"/>
    </row>
    <row r="1528" spans="1:44" s="2158" customFormat="1" ht="21.75" customHeight="1">
      <c r="A1528" s="2224" t="s">
        <v>1894</v>
      </c>
      <c r="B1528" s="2228" t="s">
        <v>1658</v>
      </c>
      <c r="C1528" s="2223" t="s">
        <v>4236</v>
      </c>
      <c r="D1528" s="2223"/>
      <c r="E1528" s="2223"/>
      <c r="F1528" s="2223"/>
      <c r="G1528" s="2223"/>
      <c r="H1528" s="2223"/>
      <c r="I1528" s="2223"/>
      <c r="J1528" s="2223"/>
      <c r="K1528" s="2223"/>
      <c r="L1528" s="2223"/>
      <c r="M1528" s="2223"/>
      <c r="N1528" s="2223"/>
      <c r="O1528" s="2224" t="s">
        <v>1427</v>
      </c>
      <c r="P1528" s="2264" t="str">
        <f>'Part VIII-Threshold Criteria'!P288</f>
        <v>Yes</v>
      </c>
      <c r="Q1528" s="2252"/>
      <c r="S1528" s="2043"/>
      <c r="T1528" s="2043"/>
      <c r="U1528" s="2043"/>
      <c r="V1528" s="2043"/>
      <c r="W1528" s="2043"/>
      <c r="X1528" s="2043"/>
      <c r="Y1528" s="2043"/>
      <c r="Z1528" s="2043"/>
      <c r="AA1528" s="2043"/>
      <c r="AB1528" s="2043"/>
      <c r="AC1528" s="2043"/>
      <c r="AD1528" s="2043"/>
      <c r="AE1528" s="2043"/>
      <c r="AF1528" s="2043"/>
      <c r="AG1528" s="2043"/>
      <c r="AH1528" s="2043"/>
      <c r="AI1528" s="2043"/>
      <c r="AJ1528" s="2043"/>
      <c r="AK1528" s="2043"/>
      <c r="AL1528" s="2043"/>
      <c r="AM1528" s="2043"/>
      <c r="AN1528" s="2043"/>
      <c r="AO1528" s="2043"/>
      <c r="AP1528" s="2043"/>
      <c r="AQ1528" s="2043"/>
      <c r="AR1528" s="2043"/>
    </row>
    <row r="1529" spans="1:44" s="1852" customFormat="1" ht="11.45" customHeight="1">
      <c r="A1529" s="2255"/>
      <c r="B1529" s="2228" t="s">
        <v>1659</v>
      </c>
      <c r="C1529" s="435" t="s">
        <v>3375</v>
      </c>
      <c r="D1529" s="435"/>
      <c r="E1529" s="435"/>
      <c r="F1529" s="435"/>
      <c r="G1529" s="435"/>
      <c r="H1529" s="435"/>
      <c r="I1529" s="435"/>
      <c r="J1529" s="435"/>
      <c r="K1529" s="435"/>
      <c r="L1529" s="435"/>
      <c r="M1529" s="435"/>
      <c r="O1529" s="2224" t="s">
        <v>1659</v>
      </c>
      <c r="P1529" s="2230" t="str">
        <f>'Part VIII-Threshold Criteria'!P289</f>
        <v>Yes</v>
      </c>
      <c r="Q1529" s="2164"/>
      <c r="S1529" s="2269"/>
      <c r="T1529" s="2269"/>
      <c r="U1529" s="2269"/>
      <c r="V1529" s="2269"/>
      <c r="W1529" s="2269"/>
      <c r="X1529" s="2269"/>
      <c r="Y1529" s="2269"/>
      <c r="Z1529" s="2269"/>
      <c r="AA1529" s="2269"/>
      <c r="AB1529" s="2269"/>
      <c r="AC1529" s="2269"/>
      <c r="AD1529" s="2269"/>
      <c r="AE1529" s="2269"/>
      <c r="AF1529" s="2269"/>
      <c r="AG1529" s="2269"/>
      <c r="AH1529" s="2269"/>
      <c r="AI1529" s="2269"/>
      <c r="AJ1529" s="2269"/>
      <c r="AK1529" s="2269"/>
      <c r="AL1529" s="2269"/>
      <c r="AM1529" s="2269"/>
      <c r="AN1529" s="2269"/>
      <c r="AO1529" s="2269"/>
      <c r="AP1529" s="2269"/>
      <c r="AQ1529" s="2269"/>
      <c r="AR1529" s="2269"/>
    </row>
    <row r="1530" spans="1:44" s="1852" customFormat="1" ht="11.45" customHeight="1">
      <c r="A1530" s="2255" t="s">
        <v>1896</v>
      </c>
      <c r="B1530" s="435" t="s">
        <v>3376</v>
      </c>
      <c r="D1530" s="435"/>
      <c r="E1530" s="435"/>
      <c r="F1530" s="435"/>
      <c r="G1530" s="435"/>
      <c r="H1530" s="435"/>
      <c r="I1530" s="435"/>
      <c r="J1530" s="435"/>
      <c r="K1530" s="435"/>
      <c r="L1530" s="435"/>
      <c r="M1530" s="435"/>
      <c r="O1530" s="2255" t="s">
        <v>1896</v>
      </c>
      <c r="P1530" s="2230" t="str">
        <f>'Part VIII-Threshold Criteria'!P290</f>
        <v>Yes</v>
      </c>
      <c r="Q1530" s="2164"/>
      <c r="S1530" s="2269"/>
      <c r="T1530" s="2269"/>
      <c r="U1530" s="2269"/>
      <c r="V1530" s="2269"/>
      <c r="W1530" s="2269"/>
      <c r="X1530" s="2269"/>
      <c r="Y1530" s="2269"/>
      <c r="Z1530" s="2269"/>
      <c r="AA1530" s="2269"/>
      <c r="AB1530" s="2269"/>
      <c r="AC1530" s="2269"/>
      <c r="AD1530" s="2269"/>
      <c r="AE1530" s="2269"/>
      <c r="AF1530" s="2269"/>
      <c r="AG1530" s="2269"/>
      <c r="AH1530" s="2269"/>
      <c r="AI1530" s="2269"/>
      <c r="AJ1530" s="2269"/>
      <c r="AK1530" s="2269"/>
      <c r="AL1530" s="2269"/>
      <c r="AM1530" s="2269"/>
      <c r="AN1530" s="2269"/>
      <c r="AO1530" s="2269"/>
      <c r="AP1530" s="2269"/>
      <c r="AQ1530" s="2269"/>
      <c r="AR1530" s="2269"/>
    </row>
    <row r="1531" spans="1:44" s="2158" customFormat="1" ht="23.25" customHeight="1">
      <c r="A1531" s="2224" t="s">
        <v>719</v>
      </c>
      <c r="B1531" s="2228" t="s">
        <v>1658</v>
      </c>
      <c r="C1531" s="2223" t="s">
        <v>4263</v>
      </c>
      <c r="D1531" s="2223"/>
      <c r="E1531" s="2223"/>
      <c r="F1531" s="2223"/>
      <c r="G1531" s="2223"/>
      <c r="H1531" s="2223"/>
      <c r="I1531" s="2223"/>
      <c r="J1531" s="2223"/>
      <c r="K1531" s="2223"/>
      <c r="L1531" s="2223"/>
      <c r="M1531" s="2223"/>
      <c r="N1531" s="2223"/>
      <c r="O1531" s="2224" t="s">
        <v>4264</v>
      </c>
      <c r="P1531" s="2264" t="str">
        <f>'Part VIII-Threshold Criteria'!P291</f>
        <v>Yes</v>
      </c>
      <c r="Q1531" s="2252"/>
      <c r="S1531" s="2043"/>
      <c r="T1531" s="2043"/>
      <c r="U1531" s="2043"/>
      <c r="V1531" s="2043"/>
      <c r="W1531" s="2043"/>
      <c r="X1531" s="2043"/>
      <c r="Y1531" s="2043"/>
      <c r="Z1531" s="2043"/>
      <c r="AA1531" s="2043"/>
      <c r="AB1531" s="2043"/>
      <c r="AC1531" s="2043"/>
      <c r="AD1531" s="2043"/>
      <c r="AE1531" s="2043"/>
      <c r="AF1531" s="2043"/>
      <c r="AG1531" s="2043"/>
      <c r="AH1531" s="2043"/>
      <c r="AI1531" s="2043"/>
      <c r="AJ1531" s="2043"/>
      <c r="AK1531" s="2043"/>
      <c r="AL1531" s="2043"/>
      <c r="AM1531" s="2043"/>
      <c r="AN1531" s="2043"/>
      <c r="AO1531" s="2043"/>
      <c r="AP1531" s="2043"/>
      <c r="AQ1531" s="2043"/>
      <c r="AR1531" s="2043"/>
    </row>
    <row r="1532" spans="1:44" s="1852" customFormat="1" ht="11.45" customHeight="1">
      <c r="A1532" s="2255"/>
      <c r="B1532" s="2228" t="s">
        <v>1659</v>
      </c>
      <c r="C1532" s="435" t="s">
        <v>3377</v>
      </c>
      <c r="D1532" s="435"/>
      <c r="E1532" s="435"/>
      <c r="F1532" s="435"/>
      <c r="G1532" s="435"/>
      <c r="H1532" s="435"/>
      <c r="I1532" s="435"/>
      <c r="J1532" s="435"/>
      <c r="K1532" s="435"/>
      <c r="L1532" s="435"/>
      <c r="M1532" s="435"/>
      <c r="O1532" s="2224" t="s">
        <v>1659</v>
      </c>
      <c r="P1532" s="2230" t="str">
        <f>'Part VIII-Threshold Criteria'!P292</f>
        <v>Yes</v>
      </c>
      <c r="Q1532" s="2164"/>
      <c r="S1532" s="2269"/>
      <c r="T1532" s="2269"/>
      <c r="U1532" s="2269"/>
      <c r="V1532" s="2269"/>
      <c r="W1532" s="2269"/>
      <c r="X1532" s="2269"/>
      <c r="Y1532" s="2269"/>
      <c r="Z1532" s="2269"/>
      <c r="AA1532" s="2269"/>
      <c r="AB1532" s="2269"/>
      <c r="AC1532" s="2269"/>
      <c r="AD1532" s="2269"/>
      <c r="AE1532" s="2269"/>
      <c r="AF1532" s="2269"/>
      <c r="AG1532" s="2269"/>
      <c r="AH1532" s="2269"/>
      <c r="AI1532" s="2269"/>
      <c r="AJ1532" s="2269"/>
      <c r="AK1532" s="2269"/>
      <c r="AL1532" s="2269"/>
      <c r="AM1532" s="2269"/>
      <c r="AN1532" s="2269"/>
      <c r="AO1532" s="2269"/>
      <c r="AP1532" s="2269"/>
      <c r="AQ1532" s="2269"/>
      <c r="AR1532" s="2269"/>
    </row>
    <row r="1533" spans="1:44" s="1852" customFormat="1" ht="22.5" customHeight="1">
      <c r="A1533" s="2224" t="s">
        <v>2022</v>
      </c>
      <c r="B1533" s="2223" t="s">
        <v>6347</v>
      </c>
      <c r="C1533" s="2223"/>
      <c r="D1533" s="2223"/>
      <c r="E1533" s="2223"/>
      <c r="F1533" s="2223"/>
      <c r="G1533" s="2223"/>
      <c r="H1533" s="2223"/>
      <c r="I1533" s="2223"/>
      <c r="J1533" s="2223"/>
      <c r="K1533" s="2223"/>
      <c r="L1533" s="2223"/>
      <c r="M1533" s="2223"/>
      <c r="N1533" s="2223"/>
      <c r="O1533" s="2224" t="s">
        <v>2022</v>
      </c>
      <c r="P1533" s="2264" t="str">
        <f>'Part VIII-Threshold Criteria'!P293</f>
        <v>Yes</v>
      </c>
      <c r="Q1533" s="2252"/>
      <c r="S1533" s="2269"/>
      <c r="T1533" s="2269"/>
      <c r="U1533" s="2269"/>
      <c r="V1533" s="2269"/>
      <c r="W1533" s="2269"/>
      <c r="X1533" s="2269"/>
      <c r="Y1533" s="2269"/>
      <c r="Z1533" s="2269"/>
      <c r="AA1533" s="2269"/>
      <c r="AB1533" s="2269"/>
      <c r="AC1533" s="2269"/>
      <c r="AD1533" s="2269"/>
      <c r="AE1533" s="2269"/>
      <c r="AF1533" s="2269"/>
      <c r="AG1533" s="2269"/>
      <c r="AH1533" s="2269"/>
      <c r="AI1533" s="2269"/>
      <c r="AJ1533" s="2269"/>
      <c r="AK1533" s="2269"/>
      <c r="AL1533" s="2269"/>
      <c r="AM1533" s="2269"/>
      <c r="AN1533" s="2269"/>
      <c r="AO1533" s="2269"/>
      <c r="AP1533" s="2269"/>
      <c r="AQ1533" s="2269"/>
      <c r="AR1533" s="2269"/>
    </row>
    <row r="1534" spans="1:44" s="1852" customFormat="1" ht="11.25" customHeight="1">
      <c r="B1534" s="2170" t="s">
        <v>3373</v>
      </c>
      <c r="D1534" s="2170"/>
      <c r="E1534" s="2170"/>
      <c r="F1534" s="2170"/>
      <c r="G1534" s="2170"/>
      <c r="H1534" s="2121"/>
      <c r="I1534" s="2164"/>
      <c r="J1534" s="2164"/>
      <c r="K1534" s="2164"/>
      <c r="L1534" s="2117"/>
      <c r="M1534" s="2117"/>
      <c r="N1534" s="2117"/>
      <c r="O1534" s="2117"/>
      <c r="P1534" s="2117"/>
      <c r="Q1534" s="2117"/>
      <c r="S1534" s="2269"/>
      <c r="T1534" s="2269"/>
      <c r="U1534" s="2269"/>
      <c r="V1534" s="2269"/>
      <c r="W1534" s="2269"/>
      <c r="X1534" s="2269"/>
      <c r="Y1534" s="2269"/>
      <c r="Z1534" s="2269"/>
      <c r="AA1534" s="2269"/>
      <c r="AB1534" s="2269"/>
      <c r="AC1534" s="2269"/>
      <c r="AD1534" s="2269"/>
      <c r="AE1534" s="2269"/>
      <c r="AF1534" s="2269"/>
      <c r="AG1534" s="2269"/>
      <c r="AH1534" s="2269"/>
      <c r="AI1534" s="2269"/>
      <c r="AJ1534" s="2269"/>
      <c r="AK1534" s="2269"/>
      <c r="AL1534" s="2269"/>
      <c r="AM1534" s="2269"/>
      <c r="AN1534" s="2269"/>
      <c r="AO1534" s="2269"/>
      <c r="AP1534" s="2269"/>
      <c r="AQ1534" s="2269"/>
      <c r="AR1534" s="2269"/>
    </row>
    <row r="1535" spans="1:44" s="1852" customFormat="1" ht="13.35" customHeight="1">
      <c r="A1535" s="2226" t="str">
        <f>'Part VIII-Threshold Criteria'!A295</f>
        <v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535" s="2226"/>
      <c r="C1535" s="2226"/>
      <c r="D1535" s="2226"/>
      <c r="E1535" s="2226"/>
      <c r="F1535" s="2226"/>
      <c r="G1535" s="2226"/>
      <c r="H1535" s="2226"/>
      <c r="I1535" s="2226"/>
      <c r="J1535" s="2226"/>
      <c r="K1535" s="2226"/>
      <c r="L1535" s="2226"/>
      <c r="M1535" s="2226"/>
      <c r="N1535" s="2226"/>
      <c r="O1535" s="2226"/>
      <c r="P1535" s="2226"/>
      <c r="Q1535" s="2226"/>
      <c r="R1535" s="1855" t="s">
        <v>1208</v>
      </c>
      <c r="S1535" s="2276"/>
      <c r="T1535" s="2269"/>
      <c r="U1535" s="2183"/>
      <c r="V1535" s="2183"/>
      <c r="W1535" s="2183"/>
      <c r="X1535" s="2183"/>
      <c r="Y1535" s="2183"/>
      <c r="Z1535" s="2183"/>
      <c r="AA1535" s="2183"/>
      <c r="AB1535" s="2183"/>
      <c r="AC1535" s="2183"/>
      <c r="AD1535" s="2183"/>
      <c r="AE1535" s="2183"/>
      <c r="AF1535" s="2269"/>
      <c r="AG1535" s="2269"/>
      <c r="AH1535" s="2269"/>
      <c r="AI1535" s="2269"/>
      <c r="AJ1535" s="2269"/>
      <c r="AK1535" s="2269"/>
      <c r="AL1535" s="2269"/>
      <c r="AM1535" s="2269"/>
      <c r="AN1535" s="2269"/>
      <c r="AO1535" s="2269"/>
      <c r="AP1535" s="2269"/>
      <c r="AQ1535" s="2269"/>
      <c r="AR1535" s="2269"/>
    </row>
    <row r="1536" spans="1:44" s="1852" customFormat="1" ht="11.25" customHeight="1">
      <c r="B1536" s="2227" t="s">
        <v>1781</v>
      </c>
      <c r="C1536" s="2227"/>
      <c r="D1536" s="2228"/>
      <c r="E1536" s="2228"/>
      <c r="F1536" s="2228"/>
      <c r="G1536" s="2228"/>
      <c r="H1536" s="2228"/>
      <c r="I1536" s="2228"/>
      <c r="J1536" s="2228"/>
      <c r="K1536" s="2228"/>
      <c r="L1536" s="2228"/>
      <c r="M1536" s="2228"/>
      <c r="N1536" s="2228"/>
      <c r="O1536" s="2228"/>
      <c r="P1536" s="2228"/>
      <c r="Q1536" s="2228"/>
      <c r="S1536" s="2269"/>
      <c r="T1536" s="2269"/>
      <c r="U1536" s="2269"/>
      <c r="V1536" s="2269"/>
      <c r="W1536" s="2269"/>
      <c r="X1536" s="2269"/>
      <c r="Y1536" s="2269"/>
      <c r="Z1536" s="2269"/>
      <c r="AA1536" s="2269"/>
      <c r="AB1536" s="2269"/>
      <c r="AC1536" s="2269"/>
      <c r="AD1536" s="2269"/>
      <c r="AE1536" s="2269"/>
      <c r="AF1536" s="2269"/>
      <c r="AG1536" s="2269"/>
      <c r="AH1536" s="2269"/>
      <c r="AI1536" s="2269"/>
      <c r="AJ1536" s="2269"/>
      <c r="AK1536" s="2269"/>
      <c r="AL1536" s="2269"/>
      <c r="AM1536" s="2269"/>
      <c r="AN1536" s="2269"/>
      <c r="AO1536" s="2269"/>
      <c r="AP1536" s="2269"/>
      <c r="AQ1536" s="2269"/>
      <c r="AR1536" s="2269"/>
    </row>
    <row r="1537" spans="1:44" s="1852" customFormat="1" ht="13.35" customHeight="1">
      <c r="A1537" s="2223"/>
      <c r="B1537" s="2223"/>
      <c r="C1537" s="2223"/>
      <c r="D1537" s="2223"/>
      <c r="E1537" s="2223"/>
      <c r="F1537" s="2223"/>
      <c r="G1537" s="2223"/>
      <c r="H1537" s="2223"/>
      <c r="I1537" s="2223"/>
      <c r="J1537" s="2223"/>
      <c r="K1537" s="2223"/>
      <c r="L1537" s="2223"/>
      <c r="M1537" s="2223"/>
      <c r="N1537" s="2223"/>
      <c r="O1537" s="2223"/>
      <c r="P1537" s="2223"/>
      <c r="Q1537" s="2223"/>
      <c r="S1537" s="2269"/>
      <c r="T1537" s="2269"/>
      <c r="U1537" s="2269"/>
      <c r="V1537" s="2269"/>
      <c r="W1537" s="2269"/>
      <c r="X1537" s="2269"/>
      <c r="Y1537" s="2269"/>
      <c r="Z1537" s="2269"/>
      <c r="AA1537" s="2269"/>
      <c r="AB1537" s="2269"/>
      <c r="AC1537" s="2269"/>
      <c r="AD1537" s="2269"/>
      <c r="AE1537" s="2269"/>
      <c r="AF1537" s="2269"/>
      <c r="AG1537" s="2269"/>
      <c r="AH1537" s="2269"/>
      <c r="AI1537" s="2269"/>
      <c r="AJ1537" s="2269"/>
      <c r="AK1537" s="2269"/>
      <c r="AL1537" s="2269"/>
      <c r="AM1537" s="2269"/>
      <c r="AN1537" s="2269"/>
      <c r="AO1537" s="2269"/>
      <c r="AP1537" s="2269"/>
      <c r="AQ1537" s="2269"/>
      <c r="AR1537" s="2269"/>
    </row>
    <row r="1538" spans="1:44" s="1852" customFormat="1" ht="3" customHeight="1">
      <c r="S1538" s="2269"/>
      <c r="T1538" s="2269"/>
      <c r="U1538" s="2269"/>
      <c r="V1538" s="2269"/>
      <c r="W1538" s="2269"/>
      <c r="X1538" s="2269"/>
      <c r="Y1538" s="2269"/>
      <c r="Z1538" s="2269"/>
      <c r="AA1538" s="2269"/>
      <c r="AB1538" s="2269"/>
      <c r="AC1538" s="2269"/>
      <c r="AD1538" s="2269"/>
      <c r="AE1538" s="2269"/>
      <c r="AF1538" s="2269"/>
      <c r="AG1538" s="2269"/>
      <c r="AH1538" s="2269"/>
      <c r="AI1538" s="2269"/>
      <c r="AJ1538" s="2269"/>
      <c r="AK1538" s="2269"/>
      <c r="AL1538" s="2269"/>
      <c r="AM1538" s="2269"/>
      <c r="AN1538" s="2269"/>
      <c r="AO1538" s="2269"/>
      <c r="AP1538" s="2269"/>
      <c r="AQ1538" s="2269"/>
      <c r="AR1538" s="2269"/>
    </row>
    <row r="1539" spans="1:44" s="1852" customFormat="1" ht="14.1" customHeight="1">
      <c r="A1539" s="2105" t="s">
        <v>3523</v>
      </c>
      <c r="B1539" s="2105" t="s">
        <v>2522</v>
      </c>
      <c r="C1539" s="2105"/>
      <c r="D1539" s="2228"/>
      <c r="E1539" s="2228"/>
      <c r="F1539" s="2228"/>
      <c r="G1539" s="2228"/>
      <c r="H1539" s="2228"/>
      <c r="I1539" s="2228"/>
      <c r="J1539" s="2228"/>
      <c r="K1539" s="2228"/>
      <c r="L1539" s="2228"/>
      <c r="M1539" s="2228"/>
      <c r="O1539" s="2224" t="s">
        <v>1782</v>
      </c>
      <c r="P1539" s="1719"/>
      <c r="Q1539" s="1719"/>
      <c r="S1539" s="2269"/>
      <c r="T1539" s="2269"/>
      <c r="U1539" s="2269"/>
      <c r="V1539" s="2269"/>
      <c r="W1539" s="2269"/>
      <c r="X1539" s="2269"/>
      <c r="Y1539" s="2269"/>
      <c r="Z1539" s="2269"/>
      <c r="AA1539" s="2269"/>
      <c r="AB1539" s="2269"/>
      <c r="AC1539" s="2269"/>
      <c r="AD1539" s="2269"/>
      <c r="AE1539" s="2269"/>
      <c r="AF1539" s="2269"/>
      <c r="AG1539" s="2269"/>
      <c r="AH1539" s="2269"/>
      <c r="AI1539" s="2269"/>
      <c r="AJ1539" s="2269"/>
      <c r="AK1539" s="2269"/>
      <c r="AL1539" s="2269"/>
      <c r="AM1539" s="2269"/>
      <c r="AN1539" s="2269"/>
      <c r="AO1539" s="2269"/>
      <c r="AP1539" s="2269"/>
      <c r="AQ1539" s="2269"/>
      <c r="AR1539" s="2269"/>
    </row>
    <row r="1540" spans="1:44" s="1852" customFormat="1" ht="11.45" customHeight="1">
      <c r="B1540" s="2112" t="s">
        <v>6455</v>
      </c>
      <c r="N1540" s="2051"/>
      <c r="P1540" s="2230" t="str">
        <f>'Part VIII-Threshold Criteria'!P300</f>
        <v>No</v>
      </c>
      <c r="Q1540" s="2164"/>
      <c r="S1540" s="2269"/>
      <c r="T1540" s="2269"/>
      <c r="U1540" s="2269"/>
      <c r="V1540" s="2269"/>
      <c r="W1540" s="2269"/>
      <c r="X1540" s="2269"/>
      <c r="Y1540" s="2269"/>
      <c r="Z1540" s="2269"/>
      <c r="AA1540" s="2269"/>
      <c r="AB1540" s="2269"/>
      <c r="AC1540" s="2269"/>
      <c r="AD1540" s="2269"/>
      <c r="AE1540" s="2269"/>
      <c r="AF1540" s="2269"/>
      <c r="AG1540" s="2269"/>
      <c r="AH1540" s="2269"/>
      <c r="AI1540" s="2269"/>
      <c r="AJ1540" s="2269"/>
      <c r="AK1540" s="2269"/>
      <c r="AL1540" s="2269"/>
      <c r="AM1540" s="2269"/>
      <c r="AN1540" s="2269"/>
      <c r="AO1540" s="2269"/>
      <c r="AP1540" s="2269"/>
      <c r="AQ1540" s="2269"/>
      <c r="AR1540" s="2269"/>
    </row>
    <row r="1541" spans="1:44" s="1818" customFormat="1" ht="11.45" customHeight="1">
      <c r="A1541" s="2255" t="s">
        <v>1894</v>
      </c>
      <c r="B1541" s="1719" t="s">
        <v>6459</v>
      </c>
      <c r="O1541" s="2224" t="s">
        <v>1894</v>
      </c>
      <c r="R1541" s="2282"/>
      <c r="S1541" s="1976"/>
      <c r="T1541" s="1976"/>
      <c r="U1541" s="1976"/>
      <c r="V1541" s="1976"/>
      <c r="W1541" s="1976"/>
      <c r="X1541" s="1976"/>
      <c r="Y1541" s="1976"/>
      <c r="Z1541" s="1976"/>
      <c r="AA1541" s="1976"/>
      <c r="AB1541" s="1976"/>
      <c r="AC1541" s="1976"/>
      <c r="AD1541" s="1976"/>
      <c r="AE1541" s="1976"/>
      <c r="AF1541" s="1976"/>
      <c r="AG1541" s="1976"/>
      <c r="AH1541" s="1976"/>
      <c r="AI1541" s="1976"/>
      <c r="AJ1541" s="1976"/>
      <c r="AK1541" s="1976"/>
      <c r="AL1541" s="1976"/>
      <c r="AM1541" s="1976"/>
      <c r="AN1541" s="1976"/>
      <c r="AO1541" s="1976"/>
      <c r="AP1541" s="1976"/>
      <c r="AQ1541" s="1976"/>
      <c r="AR1541" s="1976"/>
    </row>
    <row r="1542" spans="1:44" s="2158" customFormat="1" ht="33" customHeight="1">
      <c r="B1542" s="2223" t="s">
        <v>1658</v>
      </c>
      <c r="C1542" s="2223" t="s">
        <v>4029</v>
      </c>
      <c r="D1542" s="2223"/>
      <c r="E1542" s="2223"/>
      <c r="F1542" s="2223"/>
      <c r="G1542" s="2223"/>
      <c r="H1542" s="2223"/>
      <c r="I1542" s="2223"/>
      <c r="J1542" s="2223"/>
      <c r="K1542" s="2223"/>
      <c r="L1542" s="2223"/>
      <c r="M1542" s="2223"/>
      <c r="N1542" s="2223"/>
      <c r="O1542" s="2224" t="s">
        <v>1658</v>
      </c>
      <c r="P1542" s="2264" t="str">
        <f>'Part VIII-Threshold Criteria'!P302</f>
        <v>Agree</v>
      </c>
      <c r="Q1542" s="2252"/>
      <c r="S1542" s="2043"/>
      <c r="T1542" s="2043"/>
      <c r="U1542" s="2043"/>
      <c r="V1542" s="2043"/>
      <c r="W1542" s="2043"/>
      <c r="X1542" s="2043"/>
      <c r="Y1542" s="2043"/>
      <c r="Z1542" s="2043"/>
      <c r="AA1542" s="2043"/>
      <c r="AB1542" s="2043"/>
      <c r="AC1542" s="2043"/>
      <c r="AD1542" s="2043"/>
      <c r="AE1542" s="2043"/>
      <c r="AF1542" s="2043"/>
      <c r="AG1542" s="2043"/>
      <c r="AH1542" s="2043"/>
      <c r="AI1542" s="2043"/>
      <c r="AJ1542" s="2043"/>
      <c r="AK1542" s="2043"/>
      <c r="AL1542" s="2043"/>
      <c r="AM1542" s="2043"/>
      <c r="AN1542" s="2043"/>
      <c r="AO1542" s="2043"/>
      <c r="AP1542" s="2043"/>
      <c r="AQ1542" s="2043"/>
      <c r="AR1542" s="2043"/>
    </row>
    <row r="1543" spans="1:44" s="2158" customFormat="1" ht="21.75" customHeight="1">
      <c r="A1543" s="2224"/>
      <c r="B1543" s="2223" t="s">
        <v>1659</v>
      </c>
      <c r="C1543" s="2223" t="s">
        <v>2619</v>
      </c>
      <c r="D1543" s="2223"/>
      <c r="E1543" s="2223"/>
      <c r="F1543" s="2223"/>
      <c r="G1543" s="2223"/>
      <c r="H1543" s="2223"/>
      <c r="I1543" s="2223"/>
      <c r="J1543" s="2223"/>
      <c r="K1543" s="2223"/>
      <c r="L1543" s="2223"/>
      <c r="M1543" s="2223"/>
      <c r="N1543" s="2223"/>
      <c r="O1543" s="2224" t="s">
        <v>1659</v>
      </c>
      <c r="P1543" s="2264" t="str">
        <f>'Part VIII-Threshold Criteria'!P303</f>
        <v>Agree</v>
      </c>
      <c r="Q1543" s="2252"/>
      <c r="S1543" s="2043"/>
      <c r="T1543" s="2043"/>
      <c r="U1543" s="2043"/>
      <c r="V1543" s="2043"/>
      <c r="W1543" s="2043"/>
      <c r="X1543" s="2043"/>
      <c r="Y1543" s="2043"/>
      <c r="Z1543" s="2043"/>
      <c r="AA1543" s="2043"/>
      <c r="AB1543" s="2043"/>
      <c r="AC1543" s="2043"/>
      <c r="AD1543" s="2043"/>
      <c r="AE1543" s="2043"/>
      <c r="AF1543" s="2043"/>
      <c r="AG1543" s="2043"/>
      <c r="AH1543" s="2043"/>
      <c r="AI1543" s="2043"/>
      <c r="AJ1543" s="2043"/>
      <c r="AK1543" s="2043"/>
      <c r="AL1543" s="2043"/>
      <c r="AM1543" s="2043"/>
      <c r="AN1543" s="2043"/>
      <c r="AO1543" s="2043"/>
      <c r="AP1543" s="2043"/>
      <c r="AQ1543" s="2043"/>
      <c r="AR1543" s="2043"/>
    </row>
    <row r="1544" spans="1:44" s="1852" customFormat="1" ht="12.75" customHeight="1">
      <c r="A1544" s="2141" t="s">
        <v>1896</v>
      </c>
      <c r="B1544" s="1719" t="s">
        <v>299</v>
      </c>
      <c r="D1544" s="1818"/>
      <c r="E1544" s="1818"/>
      <c r="J1544" s="2255" t="s">
        <v>1896</v>
      </c>
      <c r="K1544" s="1869" t="str">
        <f>'Part VIII-Threshold Criteria'!K304</f>
        <v>Earth Craft House Multifamily</v>
      </c>
      <c r="L1544" s="1869"/>
      <c r="M1544" s="1869"/>
      <c r="N1544" s="1869"/>
      <c r="O1544" s="1869"/>
      <c r="P1544" s="1869"/>
      <c r="Q1544" s="2252"/>
      <c r="X1544" s="2269"/>
      <c r="Y1544" s="2269"/>
      <c r="Z1544" s="2269"/>
      <c r="AA1544" s="2269"/>
      <c r="AB1544" s="2269"/>
      <c r="AC1544" s="2269"/>
      <c r="AD1544" s="2269"/>
      <c r="AE1544" s="2269"/>
      <c r="AF1544" s="2269"/>
      <c r="AG1544" s="2269"/>
      <c r="AH1544" s="2269"/>
      <c r="AI1544" s="2269"/>
      <c r="AJ1544" s="2269"/>
      <c r="AK1544" s="2269"/>
      <c r="AL1544" s="2269"/>
      <c r="AM1544" s="2269"/>
      <c r="AN1544" s="2269"/>
      <c r="AO1544" s="2269"/>
      <c r="AP1544" s="2269"/>
      <c r="AQ1544" s="2269"/>
      <c r="AR1544" s="2269"/>
    </row>
    <row r="1545" spans="1:44" s="1818" customFormat="1" ht="11.45" customHeight="1">
      <c r="A1545" s="2141" t="s">
        <v>719</v>
      </c>
      <c r="B1545" s="1719" t="s">
        <v>6458</v>
      </c>
      <c r="R1545" s="2282"/>
      <c r="S1545" s="1976"/>
      <c r="T1545" s="1976"/>
      <c r="U1545" s="1976"/>
      <c r="V1545" s="1976"/>
      <c r="W1545" s="1976"/>
      <c r="X1545" s="1976"/>
      <c r="Y1545" s="1976"/>
      <c r="Z1545" s="1976"/>
      <c r="AA1545" s="1976"/>
      <c r="AB1545" s="1976"/>
      <c r="AC1545" s="1976"/>
      <c r="AD1545" s="1976"/>
      <c r="AE1545" s="1976"/>
      <c r="AF1545" s="1976"/>
      <c r="AG1545" s="1976"/>
      <c r="AH1545" s="1976"/>
      <c r="AI1545" s="1976"/>
      <c r="AJ1545" s="1976"/>
      <c r="AK1545" s="1976"/>
      <c r="AL1545" s="1976"/>
      <c r="AM1545" s="1976"/>
      <c r="AN1545" s="1976"/>
      <c r="AO1545" s="1976"/>
      <c r="AP1545" s="1976"/>
      <c r="AQ1545" s="1976"/>
      <c r="AR1545" s="1976"/>
    </row>
    <row r="1546" spans="1:44" s="1852" customFormat="1" ht="11.45" customHeight="1">
      <c r="A1546" s="2141"/>
      <c r="B1546" s="435" t="s">
        <v>6460</v>
      </c>
      <c r="D1546" s="1818"/>
      <c r="E1546" s="1818"/>
      <c r="N1546" s="2283" t="s">
        <v>6461</v>
      </c>
      <c r="O1546" s="2255" t="s">
        <v>719</v>
      </c>
      <c r="P1546" s="2264" t="str">
        <f>'Part VIII-Threshold Criteria'!P306</f>
        <v>Agree</v>
      </c>
      <c r="Q1546" s="2252"/>
      <c r="R1546" s="2255"/>
      <c r="S1546" s="2269"/>
      <c r="T1546" s="2269"/>
      <c r="U1546" s="2269"/>
      <c r="V1546" s="2269"/>
      <c r="W1546" s="2269"/>
      <c r="X1546" s="2269"/>
      <c r="Y1546" s="2269"/>
      <c r="Z1546" s="2269"/>
      <c r="AA1546" s="2269"/>
      <c r="AB1546" s="2269"/>
      <c r="AC1546" s="2269"/>
      <c r="AD1546" s="2269"/>
      <c r="AE1546" s="2269"/>
      <c r="AF1546" s="2269"/>
      <c r="AG1546" s="2269"/>
      <c r="AH1546" s="2269"/>
      <c r="AI1546" s="2269"/>
      <c r="AJ1546" s="2269"/>
      <c r="AK1546" s="2269"/>
      <c r="AL1546" s="2269"/>
      <c r="AM1546" s="2269"/>
      <c r="AN1546" s="2269"/>
      <c r="AO1546" s="2269"/>
      <c r="AP1546" s="2269"/>
      <c r="AQ1546" s="2269"/>
      <c r="AR1546" s="2269"/>
    </row>
    <row r="1547" spans="1:44" s="2284" customFormat="1" ht="11.45" customHeight="1">
      <c r="A1547" s="1818"/>
      <c r="B1547" s="2170" t="s">
        <v>3373</v>
      </c>
      <c r="C1547" s="1818"/>
      <c r="D1547" s="1719"/>
      <c r="E1547" s="1719"/>
      <c r="F1547" s="1719"/>
      <c r="G1547" s="1719"/>
      <c r="K1547" s="435"/>
      <c r="M1547" s="2108"/>
      <c r="N1547" s="2108"/>
      <c r="O1547" s="2192"/>
      <c r="P1547" s="2108"/>
      <c r="S1547" s="2285"/>
      <c r="T1547" s="2285"/>
      <c r="U1547" s="2285"/>
      <c r="V1547" s="2285"/>
      <c r="W1547" s="2285"/>
      <c r="X1547" s="2285"/>
      <c r="Y1547" s="2285"/>
      <c r="Z1547" s="2285"/>
      <c r="AA1547" s="2285"/>
      <c r="AB1547" s="2285"/>
      <c r="AC1547" s="2285"/>
      <c r="AD1547" s="2285"/>
      <c r="AE1547" s="2285"/>
      <c r="AF1547" s="2285"/>
      <c r="AG1547" s="2285"/>
      <c r="AH1547" s="2285"/>
      <c r="AI1547" s="2285"/>
      <c r="AJ1547" s="2285"/>
      <c r="AK1547" s="2285"/>
      <c r="AL1547" s="2285"/>
      <c r="AM1547" s="2285"/>
      <c r="AN1547" s="2285"/>
      <c r="AO1547" s="2285"/>
      <c r="AP1547" s="2285"/>
      <c r="AQ1547" s="2285"/>
      <c r="AR1547" s="2285"/>
    </row>
    <row r="1548" spans="1:44" s="2274" customFormat="1" ht="21.75" customHeight="1">
      <c r="A1548" s="2226" t="str">
        <f>'Part VIII-Threshold Criteria'!A308</f>
        <v>This development will participate in the EarthCraft Sustainable Building Program, a draft scoring sheet including the expected score has been included along with a copy of multiple Certificates of Participation in a previous Green Building for Affordable Housing Training Course.</v>
      </c>
      <c r="B1548" s="2226"/>
      <c r="C1548" s="2226"/>
      <c r="D1548" s="2226"/>
      <c r="E1548" s="2226"/>
      <c r="F1548" s="2226"/>
      <c r="G1548" s="2226"/>
      <c r="H1548" s="2226"/>
      <c r="I1548" s="2226"/>
      <c r="J1548" s="2226"/>
      <c r="K1548" s="2226"/>
      <c r="L1548" s="2226"/>
      <c r="M1548" s="2226"/>
      <c r="N1548" s="2226"/>
      <c r="O1548" s="2226"/>
      <c r="P1548" s="2226"/>
      <c r="Q1548" s="2226"/>
      <c r="R1548" s="1855" t="s">
        <v>1208</v>
      </c>
      <c r="S1548" s="2275"/>
      <c r="T1548" s="2275"/>
      <c r="U1548" s="2275"/>
      <c r="V1548" s="2275"/>
      <c r="W1548" s="2275"/>
      <c r="X1548" s="2275"/>
      <c r="Y1548" s="2275"/>
      <c r="Z1548" s="2275"/>
      <c r="AA1548" s="2275"/>
      <c r="AB1548" s="2275"/>
      <c r="AC1548" s="2275"/>
      <c r="AD1548" s="2275"/>
      <c r="AE1548" s="2275"/>
      <c r="AF1548" s="2275"/>
      <c r="AG1548" s="2275"/>
      <c r="AH1548" s="2275"/>
      <c r="AI1548" s="2275"/>
      <c r="AJ1548" s="2275"/>
      <c r="AK1548" s="2275"/>
      <c r="AL1548" s="2275"/>
      <c r="AM1548" s="2275"/>
      <c r="AN1548" s="2275"/>
      <c r="AO1548" s="2275"/>
      <c r="AP1548" s="2275"/>
      <c r="AQ1548" s="2275"/>
      <c r="AR1548" s="2275"/>
    </row>
    <row r="1549" spans="1:44" s="2274" customFormat="1" ht="11.25" customHeight="1">
      <c r="A1549" s="1852"/>
      <c r="B1549" s="2227" t="s">
        <v>1781</v>
      </c>
      <c r="C1549" s="2227"/>
      <c r="D1549" s="2228"/>
      <c r="E1549" s="2228"/>
      <c r="F1549" s="2228"/>
      <c r="G1549" s="2228"/>
      <c r="H1549" s="2228"/>
      <c r="I1549" s="2228"/>
      <c r="J1549" s="2228"/>
      <c r="K1549" s="2228"/>
      <c r="L1549" s="2228"/>
      <c r="M1549" s="2228"/>
      <c r="N1549" s="2228"/>
      <c r="O1549" s="2228"/>
      <c r="P1549" s="2228"/>
      <c r="Q1549" s="2228"/>
      <c r="R1549" s="1852"/>
      <c r="S1549" s="2275"/>
      <c r="T1549" s="2275"/>
      <c r="U1549" s="2275"/>
      <c r="V1549" s="2275"/>
      <c r="W1549" s="2275"/>
      <c r="X1549" s="2275"/>
      <c r="Y1549" s="2275"/>
      <c r="Z1549" s="2275"/>
      <c r="AA1549" s="2275"/>
      <c r="AB1549" s="2275"/>
      <c r="AC1549" s="2275"/>
      <c r="AD1549" s="2275"/>
      <c r="AE1549" s="2275"/>
      <c r="AF1549" s="2275"/>
      <c r="AG1549" s="2275"/>
      <c r="AH1549" s="2275"/>
      <c r="AI1549" s="2275"/>
      <c r="AJ1549" s="2275"/>
      <c r="AK1549" s="2275"/>
      <c r="AL1549" s="2275"/>
      <c r="AM1549" s="2275"/>
      <c r="AN1549" s="2275"/>
      <c r="AO1549" s="2275"/>
      <c r="AP1549" s="2275"/>
      <c r="AQ1549" s="2275"/>
      <c r="AR1549" s="2275"/>
    </row>
    <row r="1550" spans="1:44" s="2274" customFormat="1" ht="11.25" customHeight="1">
      <c r="A1550" s="2223"/>
      <c r="B1550" s="2223"/>
      <c r="C1550" s="2223"/>
      <c r="D1550" s="2223"/>
      <c r="E1550" s="2223"/>
      <c r="F1550" s="2223"/>
      <c r="G1550" s="2223"/>
      <c r="H1550" s="2223"/>
      <c r="I1550" s="2223"/>
      <c r="J1550" s="2223"/>
      <c r="K1550" s="2223"/>
      <c r="L1550" s="2223"/>
      <c r="M1550" s="2223"/>
      <c r="N1550" s="2223"/>
      <c r="O1550" s="2223"/>
      <c r="P1550" s="2223"/>
      <c r="Q1550" s="2223"/>
      <c r="R1550" s="1852"/>
      <c r="S1550" s="2275"/>
      <c r="T1550" s="2275"/>
      <c r="U1550" s="2275"/>
      <c r="V1550" s="2275"/>
      <c r="W1550" s="2275"/>
      <c r="X1550" s="2275"/>
      <c r="Y1550" s="2275"/>
      <c r="Z1550" s="2275"/>
      <c r="AA1550" s="2275"/>
      <c r="AB1550" s="2275"/>
      <c r="AC1550" s="2275"/>
      <c r="AD1550" s="2275"/>
      <c r="AE1550" s="2275"/>
      <c r="AF1550" s="2275"/>
      <c r="AG1550" s="2275"/>
      <c r="AH1550" s="2275"/>
      <c r="AI1550" s="2275"/>
      <c r="AJ1550" s="2275"/>
      <c r="AK1550" s="2275"/>
      <c r="AL1550" s="2275"/>
      <c r="AM1550" s="2275"/>
      <c r="AN1550" s="2275"/>
      <c r="AO1550" s="2275"/>
      <c r="AP1550" s="2275"/>
      <c r="AQ1550" s="2275"/>
      <c r="AR1550" s="2275"/>
    </row>
    <row r="1551" spans="1:44" s="2274" customFormat="1" ht="3" customHeight="1">
      <c r="A1551" s="1818"/>
      <c r="D1551" s="435"/>
      <c r="E1551" s="435"/>
      <c r="F1551" s="2108"/>
      <c r="G1551" s="2108"/>
      <c r="H1551" s="2108"/>
      <c r="I1551" s="2108"/>
      <c r="J1551" s="2121"/>
      <c r="K1551" s="2121"/>
      <c r="L1551" s="2121"/>
      <c r="M1551" s="2164"/>
      <c r="N1551" s="2108"/>
      <c r="O1551" s="2051"/>
      <c r="P1551" s="2192"/>
      <c r="S1551" s="2275"/>
      <c r="T1551" s="2275"/>
      <c r="U1551" s="2275"/>
      <c r="V1551" s="2275"/>
      <c r="W1551" s="2275"/>
      <c r="X1551" s="2275"/>
      <c r="Y1551" s="2275"/>
      <c r="Z1551" s="2275"/>
      <c r="AA1551" s="2275"/>
      <c r="AB1551" s="2275"/>
      <c r="AC1551" s="2275"/>
      <c r="AD1551" s="2275"/>
      <c r="AE1551" s="2275"/>
      <c r="AF1551" s="2275"/>
      <c r="AG1551" s="2275"/>
      <c r="AH1551" s="2275"/>
      <c r="AI1551" s="2275"/>
      <c r="AJ1551" s="2275"/>
      <c r="AK1551" s="2275"/>
      <c r="AL1551" s="2275"/>
      <c r="AM1551" s="2275"/>
      <c r="AN1551" s="2275"/>
      <c r="AO1551" s="2275"/>
      <c r="AP1551" s="2275"/>
      <c r="AQ1551" s="2275"/>
      <c r="AR1551" s="2275"/>
    </row>
    <row r="1552" spans="1:44" s="1852" customFormat="1" ht="14.1" customHeight="1">
      <c r="A1552" s="2105" t="s">
        <v>3521</v>
      </c>
      <c r="B1552" s="2105" t="s">
        <v>2523</v>
      </c>
      <c r="C1552" s="2222"/>
      <c r="D1552" s="2228"/>
      <c r="E1552" s="2228"/>
      <c r="F1552" s="2228"/>
      <c r="G1552" s="2228"/>
      <c r="H1552" s="2228"/>
      <c r="I1552" s="2228"/>
      <c r="J1552" s="2228"/>
      <c r="K1552" s="2228"/>
      <c r="L1552" s="2228"/>
      <c r="M1552" s="2228"/>
      <c r="O1552" s="2224" t="s">
        <v>1782</v>
      </c>
      <c r="P1552" s="1719"/>
      <c r="Q1552" s="1719"/>
      <c r="S1552" s="2269"/>
      <c r="T1552" s="2269"/>
      <c r="U1552" s="2269"/>
      <c r="V1552" s="2269"/>
      <c r="W1552" s="2269"/>
      <c r="X1552" s="2269"/>
      <c r="Y1552" s="2269"/>
      <c r="Z1552" s="2269"/>
      <c r="AA1552" s="2269"/>
      <c r="AB1552" s="2269"/>
      <c r="AC1552" s="2269"/>
      <c r="AD1552" s="2269"/>
      <c r="AE1552" s="2269"/>
      <c r="AF1552" s="2269"/>
      <c r="AG1552" s="2269"/>
      <c r="AH1552" s="2269"/>
      <c r="AI1552" s="2269"/>
      <c r="AJ1552" s="2269"/>
      <c r="AK1552" s="2269"/>
      <c r="AL1552" s="2269"/>
      <c r="AM1552" s="2269"/>
      <c r="AN1552" s="2269"/>
      <c r="AO1552" s="2269"/>
      <c r="AP1552" s="2269"/>
      <c r="AQ1552" s="2269"/>
      <c r="AR1552" s="2269"/>
    </row>
    <row r="1553" spans="1:44" s="1852" customFormat="1" ht="11.45" customHeight="1">
      <c r="B1553" s="2112" t="s">
        <v>6455</v>
      </c>
      <c r="N1553" s="2051"/>
      <c r="P1553" s="2230" t="str">
        <f>'Part VIII-Threshold Criteria'!P313</f>
        <v>No</v>
      </c>
      <c r="Q1553" s="2164"/>
      <c r="S1553" s="2269"/>
      <c r="T1553" s="2269"/>
      <c r="U1553" s="2269"/>
      <c r="V1553" s="2269"/>
      <c r="W1553" s="2269"/>
      <c r="X1553" s="2269"/>
      <c r="Y1553" s="2269"/>
      <c r="Z1553" s="2269"/>
      <c r="AA1553" s="2269"/>
      <c r="AB1553" s="2269"/>
      <c r="AC1553" s="2269"/>
      <c r="AD1553" s="2269"/>
      <c r="AE1553" s="2269"/>
      <c r="AF1553" s="2269"/>
      <c r="AG1553" s="2269"/>
      <c r="AH1553" s="2269"/>
      <c r="AI1553" s="2269"/>
      <c r="AJ1553" s="2269"/>
      <c r="AK1553" s="2269"/>
      <c r="AL1553" s="2269"/>
      <c r="AM1553" s="2269"/>
      <c r="AN1553" s="2269"/>
      <c r="AO1553" s="2269"/>
      <c r="AP1553" s="2269"/>
      <c r="AQ1553" s="2269"/>
      <c r="AR1553" s="2269"/>
    </row>
    <row r="1554" spans="1:44" s="1852" customFormat="1" ht="12.75" customHeight="1">
      <c r="A1554" s="2141" t="s">
        <v>1894</v>
      </c>
      <c r="B1554" s="2115" t="s">
        <v>7075</v>
      </c>
      <c r="S1554" s="2269"/>
      <c r="T1554" s="2269"/>
      <c r="U1554" s="2269"/>
      <c r="V1554" s="2269"/>
      <c r="W1554" s="2269"/>
      <c r="X1554" s="2269"/>
      <c r="Y1554" s="2269"/>
      <c r="Z1554" s="2269"/>
      <c r="AA1554" s="2269"/>
      <c r="AB1554" s="2269"/>
      <c r="AC1554" s="2269"/>
      <c r="AD1554" s="2269"/>
      <c r="AE1554" s="2269"/>
      <c r="AF1554" s="2269"/>
      <c r="AG1554" s="2269"/>
      <c r="AH1554" s="2269"/>
      <c r="AI1554" s="2269"/>
      <c r="AJ1554" s="2269"/>
      <c r="AK1554" s="2269"/>
      <c r="AL1554" s="2269"/>
      <c r="AM1554" s="2269"/>
      <c r="AN1554" s="2269"/>
      <c r="AO1554" s="2269"/>
      <c r="AP1554" s="2269"/>
      <c r="AQ1554" s="2269"/>
      <c r="AR1554" s="2269"/>
    </row>
    <row r="1555" spans="1:44" s="1852" customFormat="1" ht="44.25" customHeight="1">
      <c r="A1555" s="2224"/>
      <c r="B1555" s="2228" t="s">
        <v>1658</v>
      </c>
      <c r="C1555" s="2223" t="s">
        <v>3454</v>
      </c>
      <c r="D1555" s="2223"/>
      <c r="E1555" s="2223"/>
      <c r="F1555" s="2223"/>
      <c r="G1555" s="2223"/>
      <c r="H1555" s="2223"/>
      <c r="I1555" s="2223"/>
      <c r="J1555" s="2223"/>
      <c r="K1555" s="2223"/>
      <c r="L1555" s="2223"/>
      <c r="M1555" s="2223"/>
      <c r="N1555" s="2223"/>
      <c r="O1555" s="2224" t="s">
        <v>2569</v>
      </c>
      <c r="P1555" s="2264" t="str">
        <f>'Part VIII-Threshold Criteria'!P315</f>
        <v>Yes</v>
      </c>
      <c r="Q1555" s="2252"/>
      <c r="S1555" s="2269"/>
      <c r="T1555" s="2269"/>
      <c r="U1555" s="2269"/>
      <c r="V1555" s="2269"/>
      <c r="W1555" s="2269"/>
      <c r="X1555" s="2269"/>
      <c r="Y1555" s="2269"/>
      <c r="Z1555" s="2269"/>
      <c r="AA1555" s="2269"/>
      <c r="AB1555" s="2269"/>
      <c r="AC1555" s="2269"/>
      <c r="AD1555" s="2269"/>
      <c r="AE1555" s="2269"/>
      <c r="AF1555" s="2269"/>
      <c r="AG1555" s="2269"/>
      <c r="AH1555" s="2269"/>
      <c r="AI1555" s="2269"/>
      <c r="AJ1555" s="2269"/>
      <c r="AK1555" s="2269"/>
      <c r="AL1555" s="2269"/>
      <c r="AM1555" s="2269"/>
      <c r="AN1555" s="2269"/>
      <c r="AO1555" s="2269"/>
      <c r="AP1555" s="2269"/>
      <c r="AQ1555" s="2269"/>
      <c r="AR1555" s="2269"/>
    </row>
    <row r="1556" spans="1:44" s="2158" customFormat="1" ht="12" customHeight="1">
      <c r="A1556" s="2224"/>
      <c r="B1556" s="2228" t="s">
        <v>1659</v>
      </c>
      <c r="C1556" s="2223" t="s">
        <v>4262</v>
      </c>
      <c r="D1556" s="2223"/>
      <c r="E1556" s="2223"/>
      <c r="F1556" s="2223"/>
      <c r="G1556" s="2223"/>
      <c r="H1556" s="2223"/>
      <c r="I1556" s="2223"/>
      <c r="J1556" s="2223"/>
      <c r="K1556" s="2223"/>
      <c r="L1556" s="2223"/>
      <c r="M1556" s="2223"/>
      <c r="N1556" s="2223"/>
      <c r="O1556" s="2224" t="s">
        <v>1659</v>
      </c>
      <c r="P1556" s="2264" t="str">
        <f>'Part VIII-Threshold Criteria'!P316</f>
        <v>Yes</v>
      </c>
      <c r="Q1556" s="2252"/>
      <c r="S1556" s="2043"/>
      <c r="T1556" s="2043"/>
      <c r="U1556" s="2043"/>
      <c r="V1556" s="2043"/>
      <c r="W1556" s="2043"/>
      <c r="X1556" s="2043"/>
      <c r="Y1556" s="2043"/>
      <c r="Z1556" s="2043"/>
      <c r="AA1556" s="2043"/>
      <c r="AB1556" s="2043"/>
      <c r="AC1556" s="2043"/>
      <c r="AD1556" s="2043"/>
      <c r="AE1556" s="2043"/>
      <c r="AF1556" s="2043"/>
      <c r="AG1556" s="2043"/>
      <c r="AH1556" s="2043"/>
      <c r="AI1556" s="2043"/>
      <c r="AJ1556" s="2043"/>
      <c r="AK1556" s="2043"/>
      <c r="AL1556" s="2043"/>
      <c r="AM1556" s="2043"/>
      <c r="AN1556" s="2043"/>
      <c r="AO1556" s="2043"/>
      <c r="AP1556" s="2043"/>
      <c r="AQ1556" s="2043"/>
      <c r="AR1556" s="2043"/>
    </row>
    <row r="1557" spans="1:44" s="2158" customFormat="1" ht="21.75" customHeight="1">
      <c r="A1557" s="2224"/>
      <c r="B1557" s="2228" t="s">
        <v>1660</v>
      </c>
      <c r="C1557" s="2223" t="s">
        <v>6462</v>
      </c>
      <c r="D1557" s="2223"/>
      <c r="E1557" s="2223"/>
      <c r="F1557" s="2223"/>
      <c r="G1557" s="2223"/>
      <c r="H1557" s="2223"/>
      <c r="I1557" s="2223"/>
      <c r="J1557" s="2223"/>
      <c r="K1557" s="2223"/>
      <c r="L1557" s="2223"/>
      <c r="M1557" s="2223"/>
      <c r="N1557" s="2223"/>
      <c r="O1557" s="2224" t="s">
        <v>1660</v>
      </c>
      <c r="P1557" s="2264" t="str">
        <f>'Part VIII-Threshold Criteria'!P317</f>
        <v>Yes</v>
      </c>
      <c r="Q1557" s="2252"/>
      <c r="S1557" s="2043"/>
      <c r="T1557" s="2043"/>
      <c r="U1557" s="2043"/>
      <c r="V1557" s="2043"/>
      <c r="W1557" s="2043"/>
      <c r="X1557" s="2043"/>
      <c r="Y1557" s="2043"/>
      <c r="Z1557" s="2043"/>
      <c r="AA1557" s="2043"/>
      <c r="AB1557" s="2043"/>
      <c r="AC1557" s="2043"/>
      <c r="AD1557" s="2043"/>
      <c r="AE1557" s="2043"/>
      <c r="AF1557" s="2043"/>
      <c r="AG1557" s="2043"/>
      <c r="AH1557" s="2043"/>
      <c r="AI1557" s="2043"/>
      <c r="AJ1557" s="2043"/>
      <c r="AK1557" s="2043"/>
      <c r="AL1557" s="2043"/>
      <c r="AM1557" s="2043"/>
      <c r="AN1557" s="2043"/>
      <c r="AO1557" s="2043"/>
      <c r="AP1557" s="2043"/>
      <c r="AQ1557" s="2043"/>
      <c r="AR1557" s="2043"/>
    </row>
    <row r="1558" spans="1:44" s="1818" customFormat="1" ht="12.75" customHeight="1">
      <c r="A1558" s="2141" t="s">
        <v>1896</v>
      </c>
      <c r="B1558" s="2115" t="s">
        <v>3434</v>
      </c>
      <c r="D1558" s="2286"/>
      <c r="E1558" s="2286"/>
      <c r="F1558" s="2286"/>
      <c r="G1558" s="2286"/>
      <c r="H1558" s="2286"/>
      <c r="I1558" s="2286"/>
      <c r="J1558" s="2286"/>
      <c r="K1558" s="2286"/>
      <c r="L1558" s="2286"/>
      <c r="M1558" s="2286"/>
      <c r="N1558" s="2286"/>
      <c r="O1558" s="2255"/>
      <c r="P1558" s="2255"/>
      <c r="Q1558" s="2255"/>
      <c r="S1558" s="1976"/>
      <c r="T1558" s="1976"/>
      <c r="U1558" s="1976"/>
      <c r="V1558" s="1976"/>
      <c r="W1558" s="1976"/>
      <c r="X1558" s="1976"/>
      <c r="Y1558" s="1976"/>
      <c r="Z1558" s="1976"/>
      <c r="AA1558" s="1976"/>
      <c r="AB1558" s="1976"/>
      <c r="AC1558" s="1976"/>
      <c r="AD1558" s="1976"/>
      <c r="AE1558" s="1976"/>
      <c r="AF1558" s="1976"/>
      <c r="AG1558" s="1976"/>
      <c r="AH1558" s="1976"/>
      <c r="AI1558" s="1976"/>
      <c r="AJ1558" s="1976"/>
      <c r="AK1558" s="1976"/>
      <c r="AL1558" s="1976"/>
      <c r="AM1558" s="1976"/>
      <c r="AN1558" s="1976"/>
      <c r="AO1558" s="1976"/>
      <c r="AP1558" s="1976"/>
      <c r="AQ1558" s="1976"/>
      <c r="AR1558" s="1976"/>
    </row>
    <row r="1559" spans="1:44" s="1818" customFormat="1" ht="11.25" customHeight="1">
      <c r="A1559" s="2187"/>
      <c r="B1559" s="2228" t="s">
        <v>1658</v>
      </c>
      <c r="C1559" s="435" t="s">
        <v>2023</v>
      </c>
      <c r="D1559" s="2223" t="s">
        <v>7076</v>
      </c>
      <c r="E1559" s="2223"/>
      <c r="F1559" s="2223"/>
      <c r="G1559" s="2223"/>
      <c r="H1559" s="2223"/>
      <c r="I1559" s="2223"/>
      <c r="J1559" s="2112" t="s">
        <v>3401</v>
      </c>
      <c r="K1559" s="2112"/>
      <c r="L1559" s="2112"/>
      <c r="M1559" s="2287" t="s">
        <v>3380</v>
      </c>
      <c r="N1559" s="2287"/>
      <c r="S1559" s="1976"/>
      <c r="T1559" s="1976"/>
      <c r="U1559" s="1976"/>
      <c r="V1559" s="1976"/>
      <c r="W1559" s="1976"/>
      <c r="X1559" s="1976"/>
      <c r="Y1559" s="1976"/>
      <c r="Z1559" s="1976"/>
      <c r="AA1559" s="1976"/>
      <c r="AB1559" s="1976"/>
      <c r="AC1559" s="1976"/>
      <c r="AD1559" s="1976"/>
      <c r="AE1559" s="1976"/>
      <c r="AF1559" s="1976"/>
      <c r="AG1559" s="1976"/>
      <c r="AH1559" s="1976"/>
      <c r="AI1559" s="1976"/>
      <c r="AJ1559" s="1976"/>
      <c r="AK1559" s="1976"/>
      <c r="AL1559" s="1976"/>
      <c r="AM1559" s="1976"/>
      <c r="AN1559" s="1976"/>
      <c r="AO1559" s="1976"/>
      <c r="AP1559" s="1976"/>
      <c r="AQ1559" s="1976"/>
      <c r="AR1559" s="1976"/>
    </row>
    <row r="1560" spans="1:44" s="1856" customFormat="1" ht="10.5" customHeight="1">
      <c r="A1560" s="1860"/>
      <c r="B1560" s="1858"/>
      <c r="D1560" s="2223"/>
      <c r="E1560" s="2223"/>
      <c r="F1560" s="2223"/>
      <c r="G1560" s="2223"/>
      <c r="H1560" s="2223"/>
      <c r="I1560" s="1857"/>
      <c r="J1560" s="2112"/>
      <c r="K1560" s="2112"/>
      <c r="L1560" s="2112"/>
      <c r="M1560" s="435" t="s">
        <v>3381</v>
      </c>
      <c r="N1560" s="2164" t="s">
        <v>3400</v>
      </c>
      <c r="P1560" s="1880"/>
      <c r="S1560" s="1863"/>
      <c r="T1560" s="1863"/>
      <c r="U1560" s="1863"/>
      <c r="V1560" s="1863"/>
      <c r="W1560" s="1863"/>
      <c r="X1560" s="1863"/>
      <c r="Y1560" s="1863"/>
      <c r="Z1560" s="1863"/>
      <c r="AA1560" s="1863"/>
      <c r="AB1560" s="1863"/>
      <c r="AC1560" s="1863"/>
      <c r="AD1560" s="1863"/>
      <c r="AE1560" s="1863"/>
      <c r="AF1560" s="1863"/>
      <c r="AG1560" s="1863"/>
      <c r="AH1560" s="1863"/>
      <c r="AI1560" s="1863"/>
      <c r="AJ1560" s="1863"/>
      <c r="AK1560" s="1863"/>
      <c r="AL1560" s="1863"/>
      <c r="AM1560" s="1863"/>
      <c r="AN1560" s="1863"/>
      <c r="AO1560" s="1863"/>
      <c r="AP1560" s="1863"/>
      <c r="AQ1560" s="1863"/>
      <c r="AR1560" s="1863"/>
    </row>
    <row r="1561" spans="1:44" s="1856" customFormat="1" ht="13.35" customHeight="1">
      <c r="A1561" s="1860"/>
      <c r="B1561" s="1858"/>
      <c r="D1561" s="2223"/>
      <c r="E1561" s="2223"/>
      <c r="F1561" s="2223"/>
      <c r="G1561" s="2223"/>
      <c r="H1561" s="2223"/>
      <c r="I1561" s="435" t="s">
        <v>3539</v>
      </c>
      <c r="K1561" s="2288">
        <f>'Part VIII-Threshold Criteria'!K321</f>
        <v>3</v>
      </c>
      <c r="L1561" s="1858" t="str">
        <f>IF(K1561&lt;M1561,"Check!!!","")</f>
        <v/>
      </c>
      <c r="M1561" s="2254">
        <f>ROUNDUP('Part VI-Revenues &amp; Expenses'!$P$67*'Part VIII-Threshold Criteria'!N1511,0)</f>
        <v>0</v>
      </c>
      <c r="N1561" s="2289">
        <f>'DCA Underwriting Assumptions'!$Q$155</f>
        <v>0.05</v>
      </c>
      <c r="O1561" s="2255" t="s">
        <v>3289</v>
      </c>
      <c r="P1561" s="2230" t="str">
        <f>'Part VIII-Threshold Criteria'!P321</f>
        <v>Yes</v>
      </c>
      <c r="Q1561" s="2164"/>
      <c r="S1561" s="1863"/>
      <c r="T1561" s="1863"/>
      <c r="U1561" s="1863"/>
      <c r="V1561" s="2111"/>
      <c r="W1561" s="1863"/>
      <c r="X1561" s="2111"/>
      <c r="Y1561" s="1863"/>
      <c r="Z1561" s="1888" t="str">
        <f>IF(AA1561="","",IF(AA1561&lt;AC1561,"Check!!!",""))</f>
        <v/>
      </c>
      <c r="AA1561" s="1888" t="str">
        <f t="shared" ref="AA1561:AG1561" si="378">IF(AB1561="","",IF(AB1561&lt;AD1561,"Check!!!",""))</f>
        <v/>
      </c>
      <c r="AB1561" s="1888" t="str">
        <f t="shared" si="378"/>
        <v/>
      </c>
      <c r="AC1561" s="1888" t="str">
        <f t="shared" si="378"/>
        <v/>
      </c>
      <c r="AD1561" s="1888" t="str">
        <f t="shared" si="378"/>
        <v/>
      </c>
      <c r="AE1561" s="1888" t="str">
        <f t="shared" si="378"/>
        <v/>
      </c>
      <c r="AF1561" s="1888" t="str">
        <f t="shared" si="378"/>
        <v/>
      </c>
      <c r="AG1561" s="1888" t="str">
        <f t="shared" si="378"/>
        <v/>
      </c>
      <c r="AH1561" s="1863"/>
      <c r="AI1561" s="1863"/>
      <c r="AJ1561" s="1863"/>
      <c r="AK1561" s="1863"/>
      <c r="AL1561" s="1863"/>
      <c r="AM1561" s="1863"/>
      <c r="AN1561" s="1863"/>
      <c r="AO1561" s="1863"/>
      <c r="AP1561" s="1863"/>
      <c r="AQ1561" s="1863"/>
      <c r="AR1561" s="1863"/>
    </row>
    <row r="1562" spans="1:44" s="1818" customFormat="1" ht="12.75" customHeight="1">
      <c r="A1562" s="2224"/>
      <c r="B1562" s="2228"/>
      <c r="C1562" s="435" t="s">
        <v>2024</v>
      </c>
      <c r="D1562" s="2223" t="s">
        <v>7077</v>
      </c>
      <c r="E1562" s="2223"/>
      <c r="F1562" s="2223"/>
      <c r="G1562" s="2223"/>
      <c r="H1562" s="2223"/>
      <c r="I1562" s="2290" t="s">
        <v>3540</v>
      </c>
      <c r="J1562" s="1856"/>
      <c r="K1562" s="2288">
        <f>'Part VIII-Threshold Criteria'!K322</f>
        <v>3</v>
      </c>
      <c r="L1562" s="1858" t="str">
        <f>IF(K1562&lt;M1562,"Check!!!","")</f>
        <v/>
      </c>
      <c r="M1562" s="2254">
        <f>ROUNDUP(K1561*'Part VIII-Threshold Criteria'!N1512,0)</f>
        <v>0</v>
      </c>
      <c r="N1562" s="2289">
        <f>'DCA Underwriting Assumptions'!$Q$156</f>
        <v>0.4</v>
      </c>
      <c r="O1562" s="2255" t="s">
        <v>2024</v>
      </c>
      <c r="P1562" s="2226" t="str">
        <f>'Part VIII-Threshold Criteria'!P322</f>
        <v>Yes</v>
      </c>
      <c r="Q1562" s="2223"/>
      <c r="S1562" s="1976"/>
      <c r="T1562" s="2226"/>
      <c r="U1562" s="2226"/>
      <c r="V1562" s="2226"/>
      <c r="W1562" s="2226"/>
      <c r="X1562" s="2226"/>
      <c r="Y1562" s="2226"/>
      <c r="Z1562" s="2226"/>
      <c r="AA1562" s="2226"/>
      <c r="AB1562" s="2226"/>
      <c r="AC1562" s="2226"/>
      <c r="AD1562" s="2226"/>
      <c r="AE1562" s="2226"/>
      <c r="AF1562" s="2226"/>
      <c r="AG1562" s="2226"/>
      <c r="AH1562" s="1976"/>
      <c r="AI1562" s="1976"/>
      <c r="AJ1562" s="1976"/>
      <c r="AK1562" s="1976"/>
      <c r="AL1562" s="1976"/>
      <c r="AM1562" s="1976"/>
      <c r="AN1562" s="1976"/>
      <c r="AO1562" s="1976"/>
      <c r="AP1562" s="1976"/>
      <c r="AQ1562" s="1976"/>
      <c r="AR1562" s="1976"/>
    </row>
    <row r="1563" spans="1:44" s="1856" customFormat="1" ht="10.5" customHeight="1">
      <c r="A1563" s="1860"/>
      <c r="B1563" s="1858"/>
      <c r="C1563" s="2223"/>
      <c r="D1563" s="2223"/>
      <c r="E1563" s="2223"/>
      <c r="F1563" s="2223"/>
      <c r="G1563" s="2223"/>
      <c r="H1563" s="2223"/>
      <c r="O1563" s="2121"/>
      <c r="P1563" s="2226">
        <f>'Part VIII-Threshold Criteria'!P323</f>
        <v>0</v>
      </c>
      <c r="Q1563" s="2223"/>
      <c r="S1563" s="1863"/>
      <c r="T1563" s="1863"/>
      <c r="U1563" s="1863"/>
      <c r="V1563" s="2111"/>
      <c r="W1563" s="2291"/>
      <c r="X1563" s="2111"/>
      <c r="Y1563" s="1863"/>
      <c r="Z1563" s="1888" t="str">
        <f>IF(AA1563="","",IF(AA1563&lt;AC1563,"Check!!!",""))</f>
        <v/>
      </c>
      <c r="AA1563" s="1888" t="str">
        <f t="shared" ref="AA1563:AG1563" si="379">IF(AB1563="","",IF(AB1563&lt;AD1563,"Check!!!",""))</f>
        <v/>
      </c>
      <c r="AB1563" s="1888" t="str">
        <f t="shared" si="379"/>
        <v/>
      </c>
      <c r="AC1563" s="1888" t="str">
        <f t="shared" si="379"/>
        <v/>
      </c>
      <c r="AD1563" s="1888" t="str">
        <f t="shared" si="379"/>
        <v/>
      </c>
      <c r="AE1563" s="1888" t="str">
        <f t="shared" si="379"/>
        <v/>
      </c>
      <c r="AF1563" s="1888" t="str">
        <f t="shared" si="379"/>
        <v/>
      </c>
      <c r="AG1563" s="1888" t="str">
        <f t="shared" si="379"/>
        <v/>
      </c>
      <c r="AH1563" s="1863"/>
      <c r="AI1563" s="1863"/>
      <c r="AJ1563" s="1863"/>
      <c r="AK1563" s="1863"/>
      <c r="AL1563" s="1863"/>
      <c r="AM1563" s="1863"/>
      <c r="AN1563" s="1863"/>
      <c r="AO1563" s="1863"/>
      <c r="AP1563" s="1863"/>
      <c r="AQ1563" s="1863"/>
      <c r="AR1563" s="1863"/>
    </row>
    <row r="1564" spans="1:44" s="1818" customFormat="1" ht="12.75" customHeight="1">
      <c r="A1564" s="2224"/>
      <c r="B1564" s="2228" t="s">
        <v>1659</v>
      </c>
      <c r="C1564" s="2223" t="s">
        <v>7078</v>
      </c>
      <c r="D1564" s="2223"/>
      <c r="E1564" s="2223"/>
      <c r="F1564" s="2223"/>
      <c r="G1564" s="2223"/>
      <c r="H1564" s="2223"/>
      <c r="I1564" s="435" t="s">
        <v>3541</v>
      </c>
      <c r="J1564" s="1856"/>
      <c r="K1564" s="2288">
        <f>'Part VIII-Threshold Criteria'!K324</f>
        <v>1</v>
      </c>
      <c r="L1564" s="1858" t="str">
        <f>IF(K1564&lt;M1564,"Check!!!","")</f>
        <v/>
      </c>
      <c r="M1564" s="2254">
        <f>ROUNDUP('Part VI-Revenues &amp; Expenses'!$P$67*'Part VIII-Threshold Criteria'!N1514,0)</f>
        <v>0</v>
      </c>
      <c r="N1564" s="2289">
        <f>'DCA Underwriting Assumptions'!$Q$157</f>
        <v>0.02</v>
      </c>
      <c r="O1564" s="2255" t="s">
        <v>1659</v>
      </c>
      <c r="P1564" s="2230" t="str">
        <f>'Part VIII-Threshold Criteria'!P324</f>
        <v>Yes</v>
      </c>
      <c r="Q1564" s="2164"/>
      <c r="S1564" s="1976"/>
      <c r="T1564" s="2226"/>
      <c r="U1564" s="2226"/>
      <c r="V1564" s="2226"/>
      <c r="W1564" s="2226"/>
      <c r="X1564" s="2226"/>
      <c r="Y1564" s="2226"/>
      <c r="Z1564" s="2226"/>
      <c r="AA1564" s="2226"/>
      <c r="AB1564" s="2226"/>
      <c r="AC1564" s="2226"/>
      <c r="AD1564" s="2226"/>
      <c r="AE1564" s="2226"/>
      <c r="AF1564" s="2226"/>
      <c r="AG1564" s="2226"/>
      <c r="AH1564" s="1976"/>
      <c r="AI1564" s="1976"/>
      <c r="AJ1564" s="1976"/>
      <c r="AK1564" s="1976"/>
      <c r="AL1564" s="1976"/>
      <c r="AM1564" s="1976"/>
      <c r="AN1564" s="1976"/>
      <c r="AO1564" s="1976"/>
      <c r="AP1564" s="1976"/>
      <c r="AQ1564" s="1976"/>
      <c r="AR1564" s="1976"/>
    </row>
    <row r="1565" spans="1:44" s="1856" customFormat="1" ht="3" customHeight="1">
      <c r="A1565" s="1860"/>
      <c r="C1565" s="2223"/>
      <c r="D1565" s="2223"/>
      <c r="E1565" s="2223"/>
      <c r="F1565" s="2223"/>
      <c r="G1565" s="2223"/>
      <c r="H1565" s="2223"/>
      <c r="J1565" s="435"/>
      <c r="K1565" s="435"/>
      <c r="L1565" s="2121"/>
      <c r="M1565" s="2164"/>
      <c r="O1565" s="435"/>
      <c r="P1565" s="2164"/>
      <c r="Q1565" s="435"/>
      <c r="S1565" s="1863"/>
      <c r="T1565" s="2111"/>
      <c r="U1565" s="2291"/>
      <c r="V1565" s="2111"/>
      <c r="W1565" s="2291"/>
      <c r="X1565" s="2111"/>
      <c r="Y1565" s="2111"/>
      <c r="Z1565" s="2111"/>
      <c r="AA1565" s="2111"/>
      <c r="AB1565" s="2111"/>
      <c r="AC1565" s="2111"/>
      <c r="AD1565" s="2111"/>
      <c r="AE1565" s="2111"/>
      <c r="AF1565" s="2111"/>
      <c r="AG1565" s="2111"/>
      <c r="AH1565" s="1863"/>
      <c r="AI1565" s="1863"/>
      <c r="AJ1565" s="1863"/>
      <c r="AK1565" s="1863"/>
      <c r="AL1565" s="1863"/>
      <c r="AM1565" s="1863"/>
      <c r="AN1565" s="1863"/>
      <c r="AO1565" s="1863"/>
      <c r="AP1565" s="1863"/>
      <c r="AQ1565" s="1863"/>
      <c r="AR1565" s="1863"/>
    </row>
    <row r="1566" spans="1:44" s="1856" customFormat="1" ht="10.5" customHeight="1">
      <c r="A1566" s="1860"/>
      <c r="C1566" s="2223"/>
      <c r="D1566" s="2223"/>
      <c r="E1566" s="2223"/>
      <c r="F1566" s="2223"/>
      <c r="G1566" s="2223"/>
      <c r="H1566" s="2223"/>
      <c r="O1566" s="2121"/>
      <c r="P1566" s="2255"/>
      <c r="S1566" s="1863"/>
      <c r="T1566" s="1863"/>
      <c r="U1566" s="1863"/>
      <c r="V1566" s="2111"/>
      <c r="W1566" s="2291"/>
      <c r="X1566" s="2111"/>
      <c r="Y1566" s="1863"/>
      <c r="Z1566" s="1888" t="str">
        <f>IF(AA1566="","",IF(AA1566&lt;AC1566,"Check!!!",""))</f>
        <v/>
      </c>
      <c r="AA1566" s="1888" t="str">
        <f t="shared" ref="AA1566:AG1566" si="380">IF(AB1566="","",IF(AB1566&lt;AD1566,"Check!!!",""))</f>
        <v/>
      </c>
      <c r="AB1566" s="1888" t="str">
        <f t="shared" si="380"/>
        <v/>
      </c>
      <c r="AC1566" s="1888" t="str">
        <f t="shared" si="380"/>
        <v/>
      </c>
      <c r="AD1566" s="1888" t="str">
        <f t="shared" si="380"/>
        <v/>
      </c>
      <c r="AE1566" s="1888" t="str">
        <f t="shared" si="380"/>
        <v/>
      </c>
      <c r="AF1566" s="1888" t="str">
        <f t="shared" si="380"/>
        <v/>
      </c>
      <c r="AG1566" s="1888" t="str">
        <f t="shared" si="380"/>
        <v/>
      </c>
      <c r="AH1566" s="1863"/>
      <c r="AI1566" s="1863"/>
      <c r="AJ1566" s="1863"/>
      <c r="AK1566" s="1863"/>
      <c r="AL1566" s="1863"/>
      <c r="AM1566" s="1863"/>
      <c r="AN1566" s="1863"/>
      <c r="AO1566" s="1863"/>
      <c r="AP1566" s="1863"/>
      <c r="AQ1566" s="1863"/>
      <c r="AR1566" s="1863"/>
    </row>
    <row r="1567" spans="1:44" s="1856" customFormat="1" ht="10.5" customHeight="1">
      <c r="A1567" s="2141" t="s">
        <v>719</v>
      </c>
      <c r="B1567" s="2115" t="s">
        <v>3435</v>
      </c>
      <c r="D1567" s="2228"/>
      <c r="E1567" s="2228"/>
      <c r="F1567" s="2228"/>
      <c r="G1567" s="2228"/>
      <c r="H1567" s="2228"/>
      <c r="O1567" s="2121"/>
      <c r="P1567" s="2255"/>
      <c r="S1567" s="1863"/>
      <c r="T1567" s="1863"/>
      <c r="U1567" s="1863"/>
      <c r="V1567" s="2111"/>
      <c r="W1567" s="2291"/>
      <c r="X1567" s="2111"/>
      <c r="Y1567" s="1863"/>
      <c r="Z1567" s="1888"/>
      <c r="AA1567" s="1888"/>
      <c r="AB1567" s="1888"/>
      <c r="AC1567" s="1888"/>
      <c r="AD1567" s="1888"/>
      <c r="AE1567" s="1888"/>
      <c r="AF1567" s="1888"/>
      <c r="AG1567" s="1888"/>
      <c r="AH1567" s="1863"/>
      <c r="AI1567" s="1863"/>
      <c r="AJ1567" s="1863"/>
      <c r="AK1567" s="1863"/>
      <c r="AL1567" s="1863"/>
      <c r="AM1567" s="1863"/>
      <c r="AN1567" s="1863"/>
      <c r="AO1567" s="1863"/>
      <c r="AP1567" s="1863"/>
      <c r="AQ1567" s="1863"/>
      <c r="AR1567" s="1863"/>
    </row>
    <row r="1568" spans="1:44" s="1818" customFormat="1" ht="21.75" customHeight="1">
      <c r="B1568" s="2223" t="s">
        <v>3291</v>
      </c>
      <c r="C1568" s="2223"/>
      <c r="D1568" s="2223"/>
      <c r="E1568" s="2223"/>
      <c r="F1568" s="2223"/>
      <c r="G1568" s="2223"/>
      <c r="H1568" s="2223"/>
      <c r="I1568" s="2223"/>
      <c r="J1568" s="2223"/>
      <c r="K1568" s="2223"/>
      <c r="L1568" s="2223"/>
      <c r="M1568" s="2223"/>
      <c r="N1568" s="2223"/>
      <c r="O1568" s="2224" t="s">
        <v>719</v>
      </c>
      <c r="P1568" s="2264" t="str">
        <f>'Part VIII-Threshold Criteria'!P328</f>
        <v>Yes</v>
      </c>
      <c r="Q1568" s="2252"/>
      <c r="S1568" s="1976"/>
      <c r="T1568" s="1976"/>
      <c r="U1568" s="1976"/>
      <c r="V1568" s="1976"/>
      <c r="W1568" s="1976"/>
      <c r="X1568" s="1976"/>
      <c r="Y1568" s="1976"/>
      <c r="Z1568" s="1976"/>
      <c r="AA1568" s="1976"/>
      <c r="AB1568" s="1976"/>
      <c r="AC1568" s="1976"/>
      <c r="AD1568" s="1976"/>
      <c r="AE1568" s="1976"/>
      <c r="AF1568" s="1976"/>
      <c r="AG1568" s="1976"/>
      <c r="AH1568" s="1976"/>
      <c r="AI1568" s="1976"/>
      <c r="AJ1568" s="1976"/>
      <c r="AK1568" s="1976"/>
      <c r="AL1568" s="1976"/>
      <c r="AM1568" s="1976"/>
      <c r="AN1568" s="1976"/>
      <c r="AO1568" s="1976"/>
      <c r="AP1568" s="1976"/>
      <c r="AQ1568" s="1976"/>
      <c r="AR1568" s="1976"/>
    </row>
    <row r="1569" spans="1:44" s="1818" customFormat="1" ht="11.25" customHeight="1">
      <c r="B1569" s="2223" t="s">
        <v>3292</v>
      </c>
      <c r="D1569" s="2223"/>
      <c r="E1569" s="2223"/>
      <c r="F1569" s="2223"/>
      <c r="G1569" s="2223"/>
      <c r="H1569" s="2223"/>
      <c r="I1569" s="2223" t="s">
        <v>3379</v>
      </c>
      <c r="J1569" s="2223"/>
      <c r="K1569" s="2223"/>
      <c r="L1569" s="2226" t="str">
        <f>'Part VIII-Threshold Criteria'!L329</f>
        <v>Annie Walker Bryant</v>
      </c>
      <c r="M1569" s="2226"/>
      <c r="N1569" s="2226"/>
      <c r="O1569" s="2226"/>
      <c r="P1569" s="2226"/>
      <c r="Q1569" s="2226"/>
      <c r="R1569" s="2223"/>
      <c r="S1569" s="1976"/>
      <c r="T1569" s="1976"/>
      <c r="U1569" s="1976"/>
      <c r="V1569" s="1976"/>
      <c r="W1569" s="1976"/>
      <c r="X1569" s="1976"/>
      <c r="Y1569" s="1976"/>
      <c r="Z1569" s="1976"/>
      <c r="AA1569" s="1976"/>
      <c r="AB1569" s="1976"/>
      <c r="AC1569" s="1976"/>
      <c r="AD1569" s="1976"/>
      <c r="AE1569" s="1976"/>
      <c r="AF1569" s="1976"/>
      <c r="AG1569" s="1976"/>
      <c r="AH1569" s="1976"/>
      <c r="AI1569" s="1976"/>
      <c r="AJ1569" s="1976"/>
      <c r="AK1569" s="1976"/>
      <c r="AL1569" s="1976"/>
      <c r="AM1569" s="1976"/>
      <c r="AN1569" s="1976"/>
      <c r="AO1569" s="1976"/>
      <c r="AP1569" s="1976"/>
      <c r="AQ1569" s="1976"/>
      <c r="AR1569" s="1976"/>
    </row>
    <row r="1570" spans="1:44" s="2158" customFormat="1" ht="44.25" customHeight="1">
      <c r="B1570" s="2228" t="s">
        <v>1658</v>
      </c>
      <c r="C1570" s="2223" t="s">
        <v>3290</v>
      </c>
      <c r="D1570" s="2223"/>
      <c r="E1570" s="2223"/>
      <c r="F1570" s="2223"/>
      <c r="G1570" s="2223"/>
      <c r="H1570" s="2223"/>
      <c r="I1570" s="2223"/>
      <c r="J1570" s="2223"/>
      <c r="K1570" s="2223"/>
      <c r="L1570" s="2223"/>
      <c r="M1570" s="2223"/>
      <c r="N1570" s="2223"/>
      <c r="O1570" s="2224" t="s">
        <v>3295</v>
      </c>
      <c r="P1570" s="2264" t="str">
        <f>'Part VIII-Threshold Criteria'!P330</f>
        <v>Yes</v>
      </c>
      <c r="Q1570" s="2252"/>
      <c r="S1570" s="2043"/>
      <c r="T1570" s="2043"/>
      <c r="U1570" s="2043"/>
      <c r="V1570" s="2043"/>
      <c r="W1570" s="2043"/>
      <c r="X1570" s="2043"/>
      <c r="Y1570" s="2043"/>
      <c r="Z1570" s="2043"/>
      <c r="AA1570" s="2043"/>
      <c r="AB1570" s="2043"/>
      <c r="AC1570" s="2043"/>
      <c r="AD1570" s="2043"/>
      <c r="AE1570" s="2043"/>
      <c r="AF1570" s="2043"/>
      <c r="AG1570" s="2043"/>
      <c r="AH1570" s="2043"/>
      <c r="AI1570" s="2043"/>
      <c r="AJ1570" s="2043"/>
      <c r="AK1570" s="2043"/>
      <c r="AL1570" s="2043"/>
      <c r="AM1570" s="2043"/>
      <c r="AN1570" s="2043"/>
      <c r="AO1570" s="2043"/>
      <c r="AP1570" s="2043"/>
      <c r="AQ1570" s="2043"/>
      <c r="AR1570" s="2043"/>
    </row>
    <row r="1571" spans="1:44" s="2158" customFormat="1" ht="34.5" customHeight="1">
      <c r="B1571" s="2228" t="s">
        <v>1659</v>
      </c>
      <c r="C1571" s="2223" t="s">
        <v>4010</v>
      </c>
      <c r="D1571" s="2223"/>
      <c r="E1571" s="2223"/>
      <c r="F1571" s="2223"/>
      <c r="G1571" s="2223"/>
      <c r="H1571" s="2223"/>
      <c r="I1571" s="2223"/>
      <c r="J1571" s="2223"/>
      <c r="K1571" s="2223"/>
      <c r="L1571" s="2223"/>
      <c r="M1571" s="2223"/>
      <c r="N1571" s="2223"/>
      <c r="O1571" s="2224" t="s">
        <v>3296</v>
      </c>
      <c r="P1571" s="2264" t="str">
        <f>'Part VIII-Threshold Criteria'!P331</f>
        <v>Yes</v>
      </c>
      <c r="Q1571" s="2252"/>
      <c r="S1571" s="2043"/>
      <c r="T1571" s="2043"/>
      <c r="U1571" s="2043"/>
      <c r="V1571" s="2043"/>
      <c r="W1571" s="2043"/>
      <c r="X1571" s="2043"/>
      <c r="Y1571" s="2043"/>
      <c r="Z1571" s="2043"/>
      <c r="AA1571" s="2043"/>
      <c r="AB1571" s="2043"/>
      <c r="AC1571" s="2043"/>
      <c r="AD1571" s="2043"/>
      <c r="AE1571" s="2043"/>
      <c r="AF1571" s="2043"/>
      <c r="AG1571" s="2043"/>
      <c r="AH1571" s="2043"/>
      <c r="AI1571" s="2043"/>
      <c r="AJ1571" s="2043"/>
      <c r="AK1571" s="2043"/>
      <c r="AL1571" s="2043"/>
      <c r="AM1571" s="2043"/>
      <c r="AN1571" s="2043"/>
      <c r="AO1571" s="2043"/>
      <c r="AP1571" s="2043"/>
      <c r="AQ1571" s="2043"/>
      <c r="AR1571" s="2043"/>
    </row>
    <row r="1572" spans="1:44" s="2158" customFormat="1" ht="22.5" customHeight="1">
      <c r="B1572" s="2228" t="s">
        <v>1660</v>
      </c>
      <c r="C1572" s="2223" t="s">
        <v>3293</v>
      </c>
      <c r="D1572" s="2223"/>
      <c r="E1572" s="2223"/>
      <c r="F1572" s="2223"/>
      <c r="G1572" s="2223"/>
      <c r="H1572" s="2223"/>
      <c r="I1572" s="2223"/>
      <c r="J1572" s="2223"/>
      <c r="K1572" s="2223"/>
      <c r="L1572" s="2223"/>
      <c r="M1572" s="2223"/>
      <c r="N1572" s="2223"/>
      <c r="O1572" s="2224" t="s">
        <v>3297</v>
      </c>
      <c r="P1572" s="2264" t="str">
        <f>'Part VIII-Threshold Criteria'!P332</f>
        <v>Yes</v>
      </c>
      <c r="Q1572" s="2252"/>
      <c r="S1572" s="2043"/>
      <c r="T1572" s="2043"/>
      <c r="U1572" s="2043"/>
      <c r="V1572" s="2043"/>
      <c r="W1572" s="2043"/>
      <c r="X1572" s="2043"/>
      <c r="Y1572" s="2043"/>
      <c r="Z1572" s="2043"/>
      <c r="AA1572" s="2043"/>
      <c r="AB1572" s="2043"/>
      <c r="AC1572" s="2043"/>
      <c r="AD1572" s="2043"/>
      <c r="AE1572" s="2043"/>
      <c r="AF1572" s="2043"/>
      <c r="AG1572" s="2043"/>
      <c r="AH1572" s="2043"/>
      <c r="AI1572" s="2043"/>
      <c r="AJ1572" s="2043"/>
      <c r="AK1572" s="2043"/>
      <c r="AL1572" s="2043"/>
      <c r="AM1572" s="2043"/>
      <c r="AN1572" s="2043"/>
      <c r="AO1572" s="2043"/>
      <c r="AP1572" s="2043"/>
      <c r="AQ1572" s="2043"/>
      <c r="AR1572" s="2043"/>
    </row>
    <row r="1573" spans="1:44" s="2158" customFormat="1" ht="34.5" customHeight="1">
      <c r="B1573" s="2228" t="s">
        <v>2261</v>
      </c>
      <c r="C1573" s="2223" t="s">
        <v>3294</v>
      </c>
      <c r="D1573" s="2223"/>
      <c r="E1573" s="2223"/>
      <c r="F1573" s="2223"/>
      <c r="G1573" s="2223"/>
      <c r="H1573" s="2223"/>
      <c r="I1573" s="2223"/>
      <c r="J1573" s="2223"/>
      <c r="K1573" s="2223"/>
      <c r="L1573" s="2223"/>
      <c r="M1573" s="2223"/>
      <c r="N1573" s="2223"/>
      <c r="O1573" s="2224" t="s">
        <v>3298</v>
      </c>
      <c r="P1573" s="2264" t="str">
        <f>'Part VIII-Threshold Criteria'!P333</f>
        <v>Yes</v>
      </c>
      <c r="Q1573" s="2252"/>
      <c r="S1573" s="2043"/>
      <c r="T1573" s="2043"/>
      <c r="U1573" s="2043"/>
      <c r="V1573" s="2043"/>
      <c r="W1573" s="2043"/>
      <c r="X1573" s="2043"/>
      <c r="Y1573" s="2043"/>
      <c r="Z1573" s="2043"/>
      <c r="AA1573" s="2043"/>
      <c r="AB1573" s="2043"/>
      <c r="AC1573" s="2043"/>
      <c r="AD1573" s="2043"/>
      <c r="AE1573" s="2043"/>
      <c r="AF1573" s="2043"/>
      <c r="AG1573" s="2043"/>
      <c r="AH1573" s="2043"/>
      <c r="AI1573" s="2043"/>
      <c r="AJ1573" s="2043"/>
      <c r="AK1573" s="2043"/>
      <c r="AL1573" s="2043"/>
      <c r="AM1573" s="2043"/>
      <c r="AN1573" s="2043"/>
      <c r="AO1573" s="2043"/>
      <c r="AP1573" s="2043"/>
      <c r="AQ1573" s="2043"/>
      <c r="AR1573" s="2043"/>
    </row>
    <row r="1574" spans="1:44" s="1852" customFormat="1" ht="11.25" customHeight="1">
      <c r="B1574" s="2170" t="s">
        <v>3373</v>
      </c>
      <c r="D1574" s="2170"/>
      <c r="E1574" s="2170"/>
      <c r="F1574" s="2170"/>
      <c r="G1574" s="2170"/>
      <c r="H1574" s="2121"/>
      <c r="I1574" s="2164"/>
      <c r="J1574" s="2164"/>
      <c r="K1574" s="2164"/>
      <c r="L1574" s="2117"/>
      <c r="M1574" s="2117"/>
      <c r="N1574" s="2117"/>
      <c r="O1574" s="2117"/>
      <c r="P1574" s="2117"/>
      <c r="Q1574" s="2117"/>
      <c r="S1574" s="2269"/>
      <c r="T1574" s="2269"/>
      <c r="U1574" s="2269"/>
      <c r="V1574" s="2269"/>
      <c r="W1574" s="2269"/>
      <c r="X1574" s="2269"/>
      <c r="Y1574" s="2269"/>
      <c r="Z1574" s="2269"/>
      <c r="AA1574" s="2269"/>
      <c r="AB1574" s="2269"/>
      <c r="AC1574" s="2269"/>
      <c r="AD1574" s="2269"/>
      <c r="AE1574" s="2269"/>
      <c r="AF1574" s="2269"/>
      <c r="AG1574" s="2269"/>
      <c r="AH1574" s="2269"/>
      <c r="AI1574" s="2269"/>
      <c r="AJ1574" s="2269"/>
      <c r="AK1574" s="2269"/>
      <c r="AL1574" s="2269"/>
      <c r="AM1574" s="2269"/>
      <c r="AN1574" s="2269"/>
      <c r="AO1574" s="2269"/>
      <c r="AP1574" s="2269"/>
      <c r="AQ1574" s="2269"/>
      <c r="AR1574" s="2269"/>
    </row>
    <row r="1575" spans="1:44" s="1852" customFormat="1" ht="32.25" customHeight="1">
      <c r="A1575" s="2226" t="str">
        <f>'Part VIII-Threshold Criteria'!A335</f>
        <v>The project will meet or exceed all Fair Housing accessibility requirements as set forth.  In addition, Annie Walker Bryant or an alternate approved qualified consultant(s) will be used throughout the entire project from start through final inspection, per DCA requirements.</v>
      </c>
      <c r="B1575" s="2226"/>
      <c r="C1575" s="2226"/>
      <c r="D1575" s="2226"/>
      <c r="E1575" s="2226"/>
      <c r="F1575" s="2226"/>
      <c r="G1575" s="2226"/>
      <c r="H1575" s="2226"/>
      <c r="I1575" s="2226"/>
      <c r="J1575" s="2226"/>
      <c r="K1575" s="2226"/>
      <c r="L1575" s="2226"/>
      <c r="M1575" s="2226"/>
      <c r="N1575" s="2226"/>
      <c r="O1575" s="2226"/>
      <c r="P1575" s="2226"/>
      <c r="Q1575" s="2226"/>
      <c r="R1575" s="1855" t="s">
        <v>1208</v>
      </c>
      <c r="S1575" s="2276"/>
      <c r="T1575" s="2269"/>
      <c r="U1575" s="2183"/>
      <c r="V1575" s="2183"/>
      <c r="W1575" s="2183"/>
      <c r="X1575" s="2183"/>
      <c r="Y1575" s="2183"/>
      <c r="Z1575" s="2183"/>
      <c r="AA1575" s="2183"/>
      <c r="AB1575" s="2183"/>
      <c r="AC1575" s="2183"/>
      <c r="AD1575" s="2183"/>
      <c r="AE1575" s="2183"/>
      <c r="AF1575" s="2269"/>
      <c r="AG1575" s="2269"/>
      <c r="AH1575" s="2269"/>
      <c r="AI1575" s="2269"/>
      <c r="AJ1575" s="2269"/>
      <c r="AK1575" s="2269"/>
      <c r="AL1575" s="2269"/>
      <c r="AM1575" s="2269"/>
      <c r="AN1575" s="2269"/>
      <c r="AO1575" s="2269"/>
      <c r="AP1575" s="2269"/>
      <c r="AQ1575" s="2269"/>
      <c r="AR1575" s="2269"/>
    </row>
    <row r="1576" spans="1:44" s="1852" customFormat="1" ht="11.25" customHeight="1">
      <c r="B1576" s="2227" t="s">
        <v>1781</v>
      </c>
      <c r="C1576" s="2227"/>
      <c r="D1576" s="2228"/>
      <c r="E1576" s="2228"/>
      <c r="F1576" s="2228"/>
      <c r="G1576" s="2228"/>
      <c r="H1576" s="2228"/>
      <c r="I1576" s="2228"/>
      <c r="J1576" s="2228"/>
      <c r="K1576" s="2228"/>
      <c r="L1576" s="2228"/>
      <c r="M1576" s="2228"/>
      <c r="N1576" s="2228"/>
      <c r="O1576" s="2228"/>
      <c r="P1576" s="2228"/>
      <c r="Q1576" s="2228"/>
      <c r="S1576" s="2269"/>
      <c r="T1576" s="2269"/>
      <c r="U1576" s="2269"/>
      <c r="V1576" s="2269"/>
      <c r="W1576" s="2269"/>
      <c r="X1576" s="2269"/>
      <c r="Y1576" s="2269"/>
      <c r="Z1576" s="2269"/>
      <c r="AA1576" s="2269"/>
      <c r="AB1576" s="2269"/>
      <c r="AC1576" s="2269"/>
      <c r="AD1576" s="2269"/>
      <c r="AE1576" s="2269"/>
      <c r="AF1576" s="2269"/>
      <c r="AG1576" s="2269"/>
      <c r="AH1576" s="2269"/>
      <c r="AI1576" s="2269"/>
      <c r="AJ1576" s="2269"/>
      <c r="AK1576" s="2269"/>
      <c r="AL1576" s="2269"/>
      <c r="AM1576" s="2269"/>
      <c r="AN1576" s="2269"/>
      <c r="AO1576" s="2269"/>
      <c r="AP1576" s="2269"/>
      <c r="AQ1576" s="2269"/>
      <c r="AR1576" s="2269"/>
    </row>
    <row r="1577" spans="1:44" s="1852" customFormat="1" ht="45.75" customHeight="1">
      <c r="A1577" s="2223"/>
      <c r="B1577" s="2223"/>
      <c r="C1577" s="2223"/>
      <c r="D1577" s="2223"/>
      <c r="E1577" s="2223"/>
      <c r="F1577" s="2223"/>
      <c r="G1577" s="2223"/>
      <c r="H1577" s="2223"/>
      <c r="I1577" s="2223"/>
      <c r="J1577" s="2223"/>
      <c r="K1577" s="2223"/>
      <c r="L1577" s="2223"/>
      <c r="M1577" s="2223"/>
      <c r="N1577" s="2223"/>
      <c r="O1577" s="2223"/>
      <c r="P1577" s="2223"/>
      <c r="Q1577" s="2223"/>
      <c r="S1577" s="2269"/>
      <c r="T1577" s="2269"/>
      <c r="U1577" s="2269"/>
      <c r="V1577" s="2269"/>
      <c r="W1577" s="2269"/>
      <c r="X1577" s="2269"/>
      <c r="Y1577" s="2269"/>
      <c r="Z1577" s="2269"/>
      <c r="AA1577" s="2269"/>
      <c r="AB1577" s="2269"/>
      <c r="AC1577" s="2269"/>
      <c r="AD1577" s="2269"/>
      <c r="AE1577" s="2269"/>
      <c r="AF1577" s="2269"/>
      <c r="AG1577" s="2269"/>
      <c r="AH1577" s="2269"/>
      <c r="AI1577" s="2269"/>
      <c r="AJ1577" s="2269"/>
      <c r="AK1577" s="2269"/>
      <c r="AL1577" s="2269"/>
      <c r="AM1577" s="2269"/>
      <c r="AN1577" s="2269"/>
      <c r="AO1577" s="2269"/>
      <c r="AP1577" s="2269"/>
      <c r="AQ1577" s="2269"/>
      <c r="AR1577" s="2269"/>
    </row>
    <row r="1578" spans="1:44" s="1852" customFormat="1" ht="14.1" customHeight="1">
      <c r="A1578" s="2105" t="s">
        <v>3524</v>
      </c>
      <c r="B1578" s="1818" t="s">
        <v>2524</v>
      </c>
      <c r="C1578" s="1818"/>
      <c r="D1578" s="1818"/>
      <c r="E1578" s="1818"/>
      <c r="F1578" s="1818"/>
      <c r="G1578" s="1818"/>
      <c r="H1578" s="2228"/>
      <c r="I1578" s="2228"/>
      <c r="J1578" s="2228"/>
      <c r="K1578" s="2228"/>
      <c r="L1578" s="2228"/>
      <c r="M1578" s="2228"/>
      <c r="O1578" s="2224" t="s">
        <v>1782</v>
      </c>
      <c r="P1578" s="1719"/>
      <c r="Q1578" s="1719"/>
      <c r="S1578" s="2269"/>
      <c r="T1578" s="2269"/>
      <c r="U1578" s="2269"/>
      <c r="V1578" s="2269"/>
      <c r="W1578" s="2269"/>
      <c r="X1578" s="2269"/>
      <c r="Y1578" s="2269"/>
      <c r="Z1578" s="2269"/>
      <c r="AA1578" s="2269"/>
      <c r="AB1578" s="2269"/>
      <c r="AC1578" s="2269"/>
      <c r="AD1578" s="2269"/>
      <c r="AE1578" s="2269"/>
      <c r="AF1578" s="2269"/>
      <c r="AG1578" s="2269"/>
      <c r="AH1578" s="2269"/>
      <c r="AI1578" s="2269"/>
      <c r="AJ1578" s="2269"/>
      <c r="AK1578" s="2269"/>
      <c r="AL1578" s="2269"/>
      <c r="AM1578" s="2269"/>
      <c r="AN1578" s="2269"/>
      <c r="AO1578" s="2269"/>
      <c r="AP1578" s="2269"/>
      <c r="AQ1578" s="2269"/>
      <c r="AR1578" s="2269"/>
    </row>
    <row r="1579" spans="1:44" s="1852" customFormat="1" ht="11.45" customHeight="1">
      <c r="B1579" s="2112" t="s">
        <v>2151</v>
      </c>
      <c r="P1579" s="2230" t="str">
        <f>'Part VIII-Threshold Criteria'!P339</f>
        <v>No</v>
      </c>
      <c r="Q1579" s="2164"/>
      <c r="S1579" s="2269"/>
      <c r="T1579" s="2269"/>
      <c r="U1579" s="2269"/>
      <c r="V1579" s="2269"/>
      <c r="W1579" s="2269"/>
      <c r="X1579" s="2269"/>
      <c r="Y1579" s="2269"/>
      <c r="Z1579" s="2269"/>
      <c r="AA1579" s="2269"/>
      <c r="AB1579" s="2269"/>
      <c r="AC1579" s="2269"/>
      <c r="AD1579" s="2269"/>
      <c r="AE1579" s="2269"/>
      <c r="AF1579" s="2269"/>
      <c r="AG1579" s="2269"/>
      <c r="AH1579" s="2269"/>
      <c r="AI1579" s="2269"/>
      <c r="AJ1579" s="2269"/>
      <c r="AK1579" s="2269"/>
      <c r="AL1579" s="2269"/>
      <c r="AM1579" s="2269"/>
      <c r="AN1579" s="2269"/>
      <c r="AO1579" s="2269"/>
      <c r="AP1579" s="2269"/>
      <c r="AQ1579" s="2269"/>
      <c r="AR1579" s="2269"/>
    </row>
    <row r="1580" spans="1:44" s="1852" customFormat="1" ht="12" customHeight="1">
      <c r="B1580" s="2228" t="s">
        <v>2111</v>
      </c>
      <c r="C1580" s="2228"/>
      <c r="D1580" s="2228"/>
      <c r="E1580" s="2228"/>
      <c r="F1580" s="2228"/>
      <c r="G1580" s="2228"/>
      <c r="H1580" s="2228"/>
      <c r="I1580" s="2228"/>
      <c r="J1580" s="2228"/>
      <c r="K1580" s="2228"/>
      <c r="L1580" s="2228"/>
      <c r="P1580" s="2230" t="str">
        <f>'Part VIII-Threshold Criteria'!P340</f>
        <v>Yes</v>
      </c>
      <c r="Q1580" s="2164"/>
      <c r="S1580" s="2269"/>
      <c r="T1580" s="2269"/>
      <c r="U1580" s="2269"/>
      <c r="V1580" s="2269"/>
      <c r="W1580" s="2269"/>
      <c r="X1580" s="2269"/>
      <c r="Y1580" s="2269"/>
      <c r="Z1580" s="2269"/>
      <c r="AA1580" s="2269"/>
      <c r="AB1580" s="2269"/>
      <c r="AC1580" s="2269"/>
      <c r="AD1580" s="2269"/>
      <c r="AE1580" s="2269"/>
      <c r="AF1580" s="2269"/>
      <c r="AG1580" s="2269"/>
      <c r="AH1580" s="2269"/>
      <c r="AI1580" s="2269"/>
      <c r="AJ1580" s="2269"/>
      <c r="AK1580" s="2269"/>
      <c r="AL1580" s="2269"/>
      <c r="AM1580" s="2269"/>
      <c r="AN1580" s="2269"/>
      <c r="AO1580" s="2269"/>
      <c r="AP1580" s="2269"/>
      <c r="AQ1580" s="2269"/>
      <c r="AR1580" s="2269"/>
    </row>
    <row r="1581" spans="1:44" ht="11.45" customHeight="1">
      <c r="A1581" s="2292"/>
      <c r="B1581" s="2293" t="s">
        <v>3949</v>
      </c>
      <c r="E1581" s="2293"/>
      <c r="F1581" s="2293"/>
      <c r="G1581" s="2293"/>
      <c r="H1581" s="2293"/>
      <c r="I1581" s="2113"/>
      <c r="J1581" s="2292"/>
      <c r="K1581" s="2111" t="str">
        <f>'Part VIII-Threshold Criteria'!K341</f>
        <v>Yes - W&amp;D hookups installed in each unit</v>
      </c>
      <c r="L1581" s="2111"/>
      <c r="M1581" s="2111"/>
      <c r="N1581" s="2111"/>
      <c r="O1581" s="2160"/>
      <c r="Q1581" s="2145"/>
      <c r="R1581" s="2113"/>
      <c r="S1581" s="2269"/>
      <c r="T1581" s="2269"/>
      <c r="U1581" s="2269"/>
      <c r="V1581" s="2269"/>
      <c r="W1581" s="2269"/>
      <c r="X1581" s="2269"/>
      <c r="Y1581" s="2269"/>
      <c r="Z1581" s="2269"/>
      <c r="AA1581" s="2269"/>
      <c r="AB1581" s="2269"/>
      <c r="AC1581" s="2269"/>
      <c r="AD1581" s="2269"/>
      <c r="AE1581" s="2269"/>
      <c r="AF1581" s="2269"/>
      <c r="AG1581" s="2269"/>
      <c r="AH1581" s="2269"/>
      <c r="AI1581" s="2269"/>
      <c r="AJ1581" s="2269"/>
      <c r="AK1581" s="2269"/>
      <c r="AL1581" s="2269"/>
      <c r="AM1581" s="2269"/>
      <c r="AN1581" s="2269"/>
      <c r="AO1581" s="2269"/>
      <c r="AP1581" s="2269"/>
      <c r="AQ1581" s="2269"/>
      <c r="AR1581" s="2269"/>
    </row>
    <row r="1582" spans="1:44" s="1852" customFormat="1" ht="11.45" customHeight="1">
      <c r="A1582" s="2224" t="s">
        <v>1894</v>
      </c>
      <c r="B1582" s="2121" t="s">
        <v>7079</v>
      </c>
      <c r="D1582" s="2121"/>
      <c r="E1582" s="2121"/>
      <c r="F1582" s="2121"/>
      <c r="G1582" s="2121"/>
      <c r="H1582" s="2121"/>
      <c r="I1582" s="2121"/>
      <c r="J1582" s="2121"/>
      <c r="K1582" s="2121"/>
      <c r="L1582" s="2121"/>
      <c r="M1582" s="2121"/>
      <c r="N1582" s="2224"/>
      <c r="S1582" s="2269"/>
      <c r="T1582" s="2269"/>
      <c r="U1582" s="2269"/>
      <c r="V1582" s="2269"/>
      <c r="W1582" s="2269"/>
      <c r="X1582" s="2269"/>
      <c r="Y1582" s="2269"/>
      <c r="Z1582" s="2269"/>
      <c r="AA1582" s="2269"/>
      <c r="AB1582" s="2269"/>
      <c r="AC1582" s="2269"/>
      <c r="AD1582" s="2269"/>
      <c r="AE1582" s="2269"/>
      <c r="AF1582" s="2269"/>
      <c r="AG1582" s="2269"/>
      <c r="AH1582" s="2269"/>
      <c r="AI1582" s="2269"/>
      <c r="AJ1582" s="2269"/>
      <c r="AK1582" s="2269"/>
      <c r="AL1582" s="2269"/>
      <c r="AM1582" s="2269"/>
      <c r="AN1582" s="2269"/>
      <c r="AO1582" s="2269"/>
      <c r="AP1582" s="2269"/>
      <c r="AQ1582" s="2269"/>
      <c r="AR1582" s="2269"/>
    </row>
    <row r="1583" spans="1:44" s="1852" customFormat="1" ht="22.5" customHeight="1">
      <c r="B1583" s="2223" t="s">
        <v>2674</v>
      </c>
      <c r="C1583" s="2223"/>
      <c r="D1583" s="2223"/>
      <c r="E1583" s="2223"/>
      <c r="F1583" s="2223"/>
      <c r="G1583" s="2223"/>
      <c r="H1583" s="2223"/>
      <c r="I1583" s="2223"/>
      <c r="J1583" s="2223"/>
      <c r="K1583" s="2223"/>
      <c r="L1583" s="2223"/>
      <c r="M1583" s="2223"/>
      <c r="N1583" s="2223"/>
      <c r="O1583" s="2224" t="s">
        <v>1894</v>
      </c>
      <c r="P1583" s="2264">
        <f>'Part VIII-Threshold Criteria'!P343</f>
        <v>0</v>
      </c>
      <c r="Q1583" s="2252"/>
      <c r="S1583" s="2269"/>
      <c r="T1583" s="2269"/>
      <c r="U1583" s="2269"/>
      <c r="V1583" s="2269"/>
      <c r="W1583" s="2269"/>
      <c r="X1583" s="2269"/>
      <c r="Y1583" s="2269"/>
      <c r="Z1583" s="2269"/>
      <c r="AA1583" s="2269"/>
      <c r="AB1583" s="2269"/>
      <c r="AC1583" s="2269"/>
      <c r="AD1583" s="2269"/>
      <c r="AE1583" s="2269"/>
      <c r="AF1583" s="2269"/>
      <c r="AG1583" s="2269"/>
      <c r="AH1583" s="2269"/>
      <c r="AI1583" s="2269"/>
      <c r="AJ1583" s="2269"/>
      <c r="AK1583" s="2269"/>
      <c r="AL1583" s="2269"/>
      <c r="AM1583" s="2269"/>
      <c r="AN1583" s="2269"/>
      <c r="AO1583" s="2269"/>
      <c r="AP1583" s="2269"/>
      <c r="AQ1583" s="2269"/>
      <c r="AR1583" s="2269"/>
    </row>
    <row r="1584" spans="1:44" s="1852" customFormat="1" ht="12.6" customHeight="1">
      <c r="A1584" s="2224" t="s">
        <v>1896</v>
      </c>
      <c r="B1584" s="435" t="s">
        <v>440</v>
      </c>
      <c r="D1584" s="435"/>
      <c r="E1584" s="435"/>
      <c r="F1584" s="435"/>
      <c r="G1584" s="435"/>
      <c r="H1584" s="435"/>
      <c r="I1584" s="435"/>
      <c r="J1584" s="435"/>
      <c r="K1584" s="435"/>
      <c r="L1584" s="435"/>
      <c r="M1584" s="435"/>
      <c r="O1584" s="2224" t="s">
        <v>1896</v>
      </c>
      <c r="P1584" s="2117"/>
      <c r="Q1584" s="2117"/>
      <c r="S1584" s="2269"/>
      <c r="T1584" s="2269"/>
      <c r="U1584" s="2269"/>
      <c r="V1584" s="2269"/>
      <c r="W1584" s="2269"/>
      <c r="X1584" s="2269"/>
      <c r="Y1584" s="2269"/>
      <c r="Z1584" s="2269"/>
      <c r="AA1584" s="2269"/>
      <c r="AB1584" s="2269"/>
      <c r="AC1584" s="2269"/>
      <c r="AD1584" s="2269"/>
      <c r="AE1584" s="2269"/>
      <c r="AF1584" s="2269"/>
      <c r="AG1584" s="2269"/>
      <c r="AH1584" s="2269"/>
      <c r="AI1584" s="2269"/>
      <c r="AJ1584" s="2269"/>
      <c r="AK1584" s="2269"/>
      <c r="AL1584" s="2269"/>
      <c r="AM1584" s="2269"/>
      <c r="AN1584" s="2269"/>
      <c r="AO1584" s="2269"/>
      <c r="AP1584" s="2269"/>
      <c r="AQ1584" s="2269"/>
      <c r="AR1584" s="2269"/>
    </row>
    <row r="1585" spans="1:256 1523:1523" s="1852" customFormat="1" ht="38.25" customHeight="1">
      <c r="B1585" s="2228" t="s">
        <v>1658</v>
      </c>
      <c r="C1585" s="2223" t="s">
        <v>1090</v>
      </c>
      <c r="E1585" s="2158"/>
      <c r="F1585" s="2158"/>
      <c r="G1585" s="1951"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4"/>
      <c r="I1585" s="1854"/>
      <c r="J1585" s="1854"/>
      <c r="K1585" s="1854"/>
      <c r="L1585" s="1854"/>
      <c r="M1585" s="1854"/>
      <c r="N1585" s="1854"/>
      <c r="O1585" s="2224" t="s">
        <v>1658</v>
      </c>
      <c r="P1585" s="2264" t="str">
        <f>'Part VIII-Threshold Criteria'!P345</f>
        <v>Yes</v>
      </c>
      <c r="Q1585" s="2252"/>
      <c r="S1585" s="2269"/>
      <c r="T1585" s="2269"/>
      <c r="U1585" s="2269"/>
      <c r="V1585" s="2269"/>
      <c r="W1585" s="2269"/>
      <c r="X1585" s="2269"/>
      <c r="Y1585" s="2269"/>
      <c r="Z1585" s="2269"/>
      <c r="AA1585" s="2269"/>
      <c r="AB1585" s="2269"/>
      <c r="AC1585" s="2269"/>
      <c r="AD1585" s="2269"/>
      <c r="AE1585" s="2269"/>
      <c r="AF1585" s="2269"/>
      <c r="AG1585" s="2269"/>
      <c r="AH1585" s="2269"/>
      <c r="AI1585" s="2269"/>
      <c r="AJ1585" s="2269"/>
      <c r="AK1585" s="2269"/>
      <c r="AL1585" s="2269"/>
      <c r="AM1585" s="2269"/>
      <c r="AN1585" s="2269"/>
      <c r="AO1585" s="2269"/>
      <c r="AP1585" s="2269"/>
      <c r="AQ1585" s="2269"/>
      <c r="AR1585" s="2269"/>
      <c r="BFO1585" s="1852" t="s">
        <v>2570</v>
      </c>
    </row>
    <row r="1586" spans="1:256 1523:1523" s="1852" customFormat="1" ht="23.25" customHeight="1">
      <c r="B1586" s="2228" t="s">
        <v>1659</v>
      </c>
      <c r="C1586" s="2223" t="s">
        <v>1091</v>
      </c>
      <c r="D1586" s="2223"/>
      <c r="E1586" s="2223"/>
      <c r="F1586" s="2223"/>
      <c r="G1586" s="1951" t="str">
        <f>'Part VIII-Threshold Criteria'!G346</f>
        <v xml:space="preserve">Fiber cement siding or other 30 year warranty product installed on all exterior wall surfaces not already required to be brick </v>
      </c>
      <c r="H1586" s="1854"/>
      <c r="I1586" s="1854"/>
      <c r="J1586" s="1854"/>
      <c r="K1586" s="1854"/>
      <c r="L1586" s="1854"/>
      <c r="M1586" s="1854"/>
      <c r="N1586" s="1854"/>
      <c r="O1586" s="2224" t="s">
        <v>1659</v>
      </c>
      <c r="P1586" s="2264" t="str">
        <f>'Part VIII-Threshold Criteria'!P346</f>
        <v>Yes</v>
      </c>
      <c r="Q1586" s="2252"/>
      <c r="S1586" s="2269"/>
      <c r="T1586" s="2269"/>
      <c r="U1586" s="2269"/>
      <c r="V1586" s="2269"/>
      <c r="W1586" s="2269"/>
      <c r="X1586" s="2269"/>
      <c r="Y1586" s="2269"/>
      <c r="Z1586" s="2269"/>
      <c r="AA1586" s="2269"/>
      <c r="AB1586" s="2269"/>
      <c r="AC1586" s="2269"/>
      <c r="AD1586" s="2269"/>
      <c r="AE1586" s="2269"/>
      <c r="AF1586" s="2269"/>
      <c r="AG1586" s="2269"/>
      <c r="AH1586" s="2269"/>
      <c r="AI1586" s="2269"/>
      <c r="AJ1586" s="2269"/>
      <c r="AK1586" s="2269"/>
      <c r="AL1586" s="2269"/>
      <c r="AM1586" s="2269"/>
      <c r="AN1586" s="2269"/>
      <c r="AO1586" s="2269"/>
      <c r="AP1586" s="2269"/>
      <c r="AQ1586" s="2269"/>
      <c r="AR1586" s="2269"/>
    </row>
    <row r="1587" spans="1:256 1523:1523" s="1852" customFormat="1" ht="3" customHeight="1">
      <c r="A1587" s="2117"/>
      <c r="B1587" s="2123"/>
      <c r="C1587" s="2117"/>
      <c r="D1587" s="2117"/>
      <c r="E1587" s="2117"/>
      <c r="F1587" s="2117"/>
      <c r="G1587" s="2117"/>
      <c r="H1587" s="2117"/>
      <c r="I1587" s="2117"/>
      <c r="J1587" s="2117"/>
      <c r="K1587" s="2117"/>
      <c r="L1587" s="2117"/>
      <c r="M1587" s="2117"/>
      <c r="N1587" s="2117"/>
      <c r="O1587" s="2117"/>
      <c r="P1587" s="2117"/>
      <c r="Q1587" s="2117"/>
      <c r="R1587" s="2117"/>
      <c r="S1587" s="2137"/>
      <c r="T1587" s="2137"/>
      <c r="U1587" s="2137"/>
      <c r="V1587" s="2137"/>
      <c r="W1587" s="2137"/>
      <c r="X1587" s="2137"/>
      <c r="Y1587" s="2137"/>
      <c r="Z1587" s="2137"/>
      <c r="AA1587" s="2137"/>
      <c r="AB1587" s="2137"/>
      <c r="AC1587" s="2137"/>
      <c r="AD1587" s="2137"/>
      <c r="AE1587" s="2137"/>
      <c r="AF1587" s="2137"/>
      <c r="AG1587" s="2137"/>
      <c r="AH1587" s="2137"/>
      <c r="AI1587" s="2137"/>
      <c r="AJ1587" s="2137"/>
      <c r="AK1587" s="2137"/>
      <c r="AL1587" s="2137"/>
      <c r="AM1587" s="2137"/>
      <c r="AN1587" s="2137"/>
      <c r="AO1587" s="2137"/>
      <c r="AP1587" s="2137"/>
      <c r="AQ1587" s="2137"/>
      <c r="AR1587" s="2137"/>
      <c r="AS1587" s="2117"/>
      <c r="AT1587" s="2117"/>
      <c r="AU1587" s="2117"/>
      <c r="AV1587" s="2117"/>
      <c r="AW1587" s="2117"/>
      <c r="AX1587" s="2117"/>
      <c r="AY1587" s="2117"/>
      <c r="AZ1587" s="2117"/>
      <c r="BA1587" s="2117"/>
      <c r="BB1587" s="2117"/>
      <c r="BC1587" s="2117"/>
      <c r="BD1587" s="2117"/>
      <c r="BE1587" s="2117"/>
      <c r="BF1587" s="2117"/>
      <c r="BG1587" s="2117"/>
      <c r="BH1587" s="2117"/>
      <c r="BI1587" s="2117"/>
      <c r="BJ1587" s="2117"/>
      <c r="BK1587" s="2117"/>
      <c r="BL1587" s="2117"/>
      <c r="BM1587" s="2117"/>
      <c r="BN1587" s="2117"/>
      <c r="BO1587" s="2117"/>
      <c r="BP1587" s="2117"/>
      <c r="BQ1587" s="2117"/>
      <c r="BR1587" s="2117"/>
      <c r="BS1587" s="2117"/>
      <c r="BT1587" s="2117"/>
      <c r="BU1587" s="2117"/>
      <c r="BV1587" s="2117"/>
      <c r="BW1587" s="2117"/>
      <c r="BX1587" s="2117"/>
      <c r="BY1587" s="2117"/>
      <c r="BZ1587" s="2117"/>
      <c r="CA1587" s="2117"/>
      <c r="CB1587" s="2117"/>
      <c r="CC1587" s="2117"/>
      <c r="CD1587" s="2117"/>
      <c r="CE1587" s="2117"/>
      <c r="CF1587" s="2117"/>
      <c r="CG1587" s="2117"/>
      <c r="CH1587" s="2117"/>
      <c r="CI1587" s="2117"/>
      <c r="CJ1587" s="2117"/>
      <c r="CK1587" s="2117"/>
      <c r="CL1587" s="2117"/>
      <c r="CM1587" s="2117"/>
      <c r="CN1587" s="2117"/>
      <c r="CO1587" s="2117"/>
      <c r="CP1587" s="2117"/>
      <c r="CQ1587" s="2117"/>
      <c r="CR1587" s="2117"/>
      <c r="CS1587" s="2117"/>
      <c r="CT1587" s="2117"/>
      <c r="CU1587" s="2117"/>
      <c r="CV1587" s="2117"/>
      <c r="CW1587" s="2117"/>
      <c r="CX1587" s="2117"/>
      <c r="CY1587" s="2117"/>
      <c r="CZ1587" s="2117"/>
      <c r="DA1587" s="2117"/>
      <c r="DB1587" s="2117"/>
      <c r="DC1587" s="2117"/>
      <c r="DD1587" s="2117"/>
      <c r="DE1587" s="2117"/>
      <c r="DF1587" s="2117"/>
      <c r="DG1587" s="2117"/>
      <c r="DH1587" s="2117"/>
      <c r="DI1587" s="2117"/>
      <c r="DJ1587" s="2117"/>
      <c r="DK1587" s="2117"/>
      <c r="DL1587" s="2117"/>
      <c r="DM1587" s="2117"/>
      <c r="DN1587" s="2117"/>
      <c r="DO1587" s="2117"/>
      <c r="DP1587" s="2117"/>
      <c r="DQ1587" s="2117"/>
      <c r="DR1587" s="2117"/>
      <c r="DS1587" s="2117"/>
      <c r="DT1587" s="2117"/>
      <c r="DU1587" s="2117"/>
      <c r="DV1587" s="2117"/>
      <c r="DW1587" s="2117"/>
      <c r="DX1587" s="2117"/>
      <c r="DY1587" s="2117"/>
      <c r="DZ1587" s="2117"/>
      <c r="EA1587" s="2117"/>
      <c r="EB1587" s="2117"/>
      <c r="EC1587" s="2117"/>
      <c r="ED1587" s="2117"/>
      <c r="EE1587" s="2117"/>
      <c r="EF1587" s="2117"/>
      <c r="EG1587" s="2117"/>
      <c r="EH1587" s="2117"/>
      <c r="EI1587" s="2117"/>
      <c r="EJ1587" s="2117"/>
      <c r="EK1587" s="2117"/>
      <c r="EL1587" s="2117"/>
      <c r="EM1587" s="2117"/>
      <c r="EN1587" s="2117"/>
      <c r="EO1587" s="2117"/>
      <c r="EP1587" s="2117"/>
      <c r="EQ1587" s="2117"/>
      <c r="ER1587" s="2117"/>
      <c r="ES1587" s="2117"/>
      <c r="ET1587" s="2117"/>
      <c r="EU1587" s="2117"/>
      <c r="EV1587" s="2117"/>
      <c r="EW1587" s="2117"/>
      <c r="EX1587" s="2117"/>
      <c r="EY1587" s="2117"/>
      <c r="EZ1587" s="2117"/>
      <c r="FA1587" s="2117"/>
      <c r="FB1587" s="2117"/>
      <c r="FC1587" s="2117"/>
      <c r="FD1587" s="2117"/>
      <c r="FE1587" s="2117"/>
      <c r="FF1587" s="2117"/>
      <c r="FG1587" s="2117"/>
      <c r="FH1587" s="2117"/>
      <c r="FI1587" s="2117"/>
      <c r="FJ1587" s="2117"/>
      <c r="FK1587" s="2117"/>
      <c r="FL1587" s="2117"/>
      <c r="FM1587" s="2117"/>
      <c r="FN1587" s="2117"/>
      <c r="FO1587" s="2117"/>
      <c r="FP1587" s="2117"/>
      <c r="FQ1587" s="2117"/>
      <c r="FR1587" s="2117"/>
      <c r="FS1587" s="2117"/>
      <c r="FT1587" s="2117"/>
      <c r="FU1587" s="2117"/>
      <c r="FV1587" s="2117"/>
      <c r="FW1587" s="2117"/>
      <c r="FX1587" s="2117"/>
      <c r="FY1587" s="2117"/>
      <c r="FZ1587" s="2117"/>
      <c r="GA1587" s="2117"/>
      <c r="GB1587" s="2117"/>
      <c r="GC1587" s="2117"/>
      <c r="GD1587" s="2117"/>
      <c r="GE1587" s="2117"/>
      <c r="GF1587" s="2117"/>
      <c r="GG1587" s="2117"/>
      <c r="GH1587" s="2117"/>
      <c r="GI1587" s="2117"/>
      <c r="GJ1587" s="2117"/>
      <c r="GK1587" s="2117"/>
      <c r="GL1587" s="2117"/>
      <c r="GM1587" s="2117"/>
      <c r="GN1587" s="2117"/>
      <c r="GO1587" s="2117"/>
      <c r="GP1587" s="2117"/>
      <c r="GQ1587" s="2117"/>
      <c r="GR1587" s="2117"/>
      <c r="GS1587" s="2117"/>
      <c r="GT1587" s="2117"/>
      <c r="GU1587" s="2117"/>
      <c r="GV1587" s="2117"/>
      <c r="GW1587" s="2117"/>
      <c r="GX1587" s="2117"/>
      <c r="GY1587" s="2117"/>
      <c r="GZ1587" s="2117"/>
      <c r="HA1587" s="2117"/>
      <c r="HB1587" s="2117"/>
      <c r="HC1587" s="2117"/>
      <c r="HD1587" s="2117"/>
      <c r="HE1587" s="2117"/>
      <c r="HF1587" s="2117"/>
      <c r="HG1587" s="2117"/>
      <c r="HH1587" s="2117"/>
      <c r="HI1587" s="2117"/>
      <c r="HJ1587" s="2117"/>
      <c r="HK1587" s="2117"/>
      <c r="HL1587" s="2117"/>
      <c r="HM1587" s="2117"/>
      <c r="HN1587" s="2117"/>
      <c r="HO1587" s="2117"/>
      <c r="HP1587" s="2117"/>
      <c r="HQ1587" s="2117"/>
      <c r="HR1587" s="2117"/>
      <c r="HS1587" s="2117"/>
      <c r="HT1587" s="2117"/>
      <c r="HU1587" s="2117"/>
      <c r="HV1587" s="2117"/>
      <c r="HW1587" s="2117"/>
      <c r="HX1587" s="2117"/>
      <c r="HY1587" s="2117"/>
      <c r="HZ1587" s="2117"/>
      <c r="IA1587" s="2117"/>
      <c r="IB1587" s="2117"/>
      <c r="IC1587" s="2117"/>
      <c r="ID1587" s="2117"/>
      <c r="IE1587" s="2117"/>
      <c r="IF1587" s="2117"/>
      <c r="IG1587" s="2117"/>
      <c r="IH1587" s="2117"/>
      <c r="II1587" s="2117"/>
      <c r="IJ1587" s="2117"/>
      <c r="IK1587" s="2117"/>
      <c r="IL1587" s="2117"/>
      <c r="IM1587" s="2117"/>
      <c r="IN1587" s="2117"/>
      <c r="IO1587" s="2117"/>
      <c r="IP1587" s="2117"/>
      <c r="IQ1587" s="2117"/>
      <c r="IR1587" s="2117"/>
      <c r="IS1587" s="2117"/>
      <c r="IT1587" s="2117"/>
      <c r="IU1587" s="2117"/>
      <c r="IV1587" s="2117"/>
    </row>
    <row r="1588" spans="1:256 1523:1523" s="2158" customFormat="1" ht="22.5" customHeight="1">
      <c r="A1588" s="2224"/>
      <c r="B1588" s="2228" t="s">
        <v>1660</v>
      </c>
      <c r="C1588" s="2223" t="s">
        <v>6348</v>
      </c>
      <c r="D1588" s="2223"/>
      <c r="E1588" s="2223"/>
      <c r="F1588" s="2223"/>
      <c r="G1588" s="1864" t="s">
        <v>6349</v>
      </c>
      <c r="H1588" s="1864"/>
      <c r="I1588" s="1864"/>
      <c r="J1588" s="1864"/>
      <c r="K1588" s="1864"/>
      <c r="L1588" s="1864"/>
      <c r="M1588" s="1864"/>
      <c r="N1588" s="1864"/>
      <c r="O1588" s="2270"/>
      <c r="P1588" s="2117"/>
      <c r="Q1588" s="2117"/>
      <c r="S1588" s="2043"/>
      <c r="T1588" s="2043"/>
      <c r="U1588" s="2043"/>
      <c r="V1588" s="2043"/>
      <c r="W1588" s="2043"/>
      <c r="X1588" s="2043"/>
      <c r="Y1588" s="2043"/>
      <c r="Z1588" s="2043"/>
      <c r="AA1588" s="2043"/>
      <c r="AB1588" s="2043"/>
      <c r="AC1588" s="2043"/>
      <c r="AD1588" s="2043"/>
      <c r="AE1588" s="2043"/>
      <c r="AF1588" s="2043"/>
      <c r="AG1588" s="2043"/>
      <c r="AH1588" s="2043"/>
      <c r="AI1588" s="2043"/>
      <c r="AJ1588" s="2043"/>
      <c r="AK1588" s="2043"/>
      <c r="AL1588" s="2043"/>
      <c r="AM1588" s="2043"/>
      <c r="AN1588" s="2043"/>
      <c r="AO1588" s="2043"/>
      <c r="AP1588" s="2043"/>
      <c r="AQ1588" s="2043"/>
      <c r="AR1588" s="2043"/>
    </row>
    <row r="1589" spans="1:256 1523:1523" s="2158" customFormat="1" ht="11.25" customHeight="1">
      <c r="A1589" s="2257"/>
      <c r="B1589" s="2224" t="s">
        <v>2325</v>
      </c>
      <c r="C1589" s="2226">
        <f>'Part VIII-Threshold Criteria'!C349</f>
        <v>0</v>
      </c>
      <c r="D1589" s="2226"/>
      <c r="E1589" s="2226"/>
      <c r="F1589" s="2226"/>
      <c r="G1589" s="2226"/>
      <c r="H1589" s="2226"/>
      <c r="I1589" s="2226"/>
      <c r="J1589" s="2226"/>
      <c r="K1589" s="2226"/>
      <c r="L1589" s="2226"/>
      <c r="M1589" s="2226"/>
      <c r="N1589" s="2226"/>
      <c r="O1589" s="2224" t="s">
        <v>6614</v>
      </c>
      <c r="P1589" s="2264">
        <f>'Part VIII-Threshold Criteria'!P349</f>
        <v>0</v>
      </c>
      <c r="Q1589" s="2252"/>
      <c r="S1589" s="2043"/>
      <c r="T1589" s="2043"/>
      <c r="U1589" s="2043"/>
      <c r="V1589" s="2043"/>
      <c r="W1589" s="2043"/>
      <c r="X1589" s="2043"/>
      <c r="Y1589" s="2043"/>
      <c r="Z1589" s="2043"/>
      <c r="AA1589" s="2043"/>
      <c r="AB1589" s="2043"/>
      <c r="AC1589" s="2043"/>
      <c r="AD1589" s="2043"/>
      <c r="AE1589" s="2043"/>
      <c r="AF1589" s="2043"/>
      <c r="AG1589" s="2043"/>
      <c r="AH1589" s="2043"/>
      <c r="AI1589" s="2043"/>
      <c r="AJ1589" s="2043"/>
      <c r="AK1589" s="2043"/>
      <c r="AL1589" s="2043"/>
      <c r="AM1589" s="2043"/>
      <c r="AN1589" s="2043"/>
      <c r="AO1589" s="2043"/>
      <c r="AP1589" s="2043"/>
      <c r="AQ1589" s="2043"/>
      <c r="AR1589" s="2043"/>
    </row>
    <row r="1590" spans="1:256 1523:1523" s="2158" customFormat="1" ht="11.25" customHeight="1">
      <c r="A1590" s="2257"/>
      <c r="B1590" s="2224" t="s">
        <v>2326</v>
      </c>
      <c r="C1590" s="2226">
        <f>'Part VIII-Threshold Criteria'!C350</f>
        <v>0</v>
      </c>
      <c r="D1590" s="2226"/>
      <c r="E1590" s="2226"/>
      <c r="F1590" s="2226"/>
      <c r="G1590" s="2226"/>
      <c r="H1590" s="2226"/>
      <c r="I1590" s="2226"/>
      <c r="J1590" s="2226"/>
      <c r="K1590" s="2226"/>
      <c r="L1590" s="2226"/>
      <c r="M1590" s="2226"/>
      <c r="N1590" s="2226"/>
      <c r="O1590" s="2224" t="s">
        <v>6615</v>
      </c>
      <c r="P1590" s="2264">
        <f>'Part VIII-Threshold Criteria'!P350</f>
        <v>0</v>
      </c>
      <c r="Q1590" s="2252"/>
      <c r="S1590" s="2043"/>
      <c r="T1590" s="2043"/>
      <c r="U1590" s="2043"/>
      <c r="V1590" s="2043"/>
      <c r="W1590" s="2043"/>
      <c r="X1590" s="2043"/>
      <c r="Y1590" s="2043"/>
      <c r="Z1590" s="2043"/>
      <c r="AA1590" s="2043"/>
      <c r="AB1590" s="2043"/>
      <c r="AC1590" s="2043"/>
      <c r="AD1590" s="2043"/>
      <c r="AE1590" s="2043"/>
      <c r="AF1590" s="2043"/>
      <c r="AG1590" s="2043"/>
      <c r="AH1590" s="2043"/>
      <c r="AI1590" s="2043"/>
      <c r="AJ1590" s="2043"/>
      <c r="AK1590" s="2043"/>
      <c r="AL1590" s="2043"/>
      <c r="AM1590" s="2043"/>
      <c r="AN1590" s="2043"/>
      <c r="AO1590" s="2043"/>
      <c r="AP1590" s="2043"/>
      <c r="AQ1590" s="2043"/>
      <c r="AR1590" s="2043"/>
    </row>
    <row r="1591" spans="1:256 1523:1523" s="1852" customFormat="1" ht="22.5" customHeight="1">
      <c r="A1591" s="2224" t="s">
        <v>2022</v>
      </c>
      <c r="B1591" s="2223" t="s">
        <v>7080</v>
      </c>
      <c r="C1591" s="2223"/>
      <c r="D1591" s="2223"/>
      <c r="E1591" s="2223"/>
      <c r="F1591" s="2223"/>
      <c r="G1591" s="2223"/>
      <c r="H1591" s="2223"/>
      <c r="I1591" s="2223"/>
      <c r="J1591" s="2223"/>
      <c r="K1591" s="2223"/>
      <c r="L1591" s="2223"/>
      <c r="M1591" s="2223"/>
      <c r="N1591" s="2223"/>
      <c r="O1591" s="2224" t="s">
        <v>2022</v>
      </c>
      <c r="P1591" s="2264" t="str">
        <f>'Part VIII-Threshold Criteria'!P351</f>
        <v>Agree</v>
      </c>
      <c r="Q1591" s="2252"/>
    </row>
    <row r="1592" spans="1:256 1523:1523" s="1852" customFormat="1" ht="3" customHeight="1">
      <c r="A1592" s="2117"/>
      <c r="B1592" s="2117"/>
      <c r="C1592" s="2117"/>
      <c r="D1592" s="2117"/>
      <c r="E1592" s="2117"/>
      <c r="F1592" s="2117"/>
      <c r="G1592" s="2117"/>
      <c r="H1592" s="2117"/>
      <c r="I1592" s="2117"/>
      <c r="J1592" s="2117"/>
      <c r="K1592" s="2117"/>
      <c r="L1592" s="2117"/>
      <c r="M1592" s="2117"/>
      <c r="N1592" s="2117"/>
      <c r="O1592" s="2117"/>
      <c r="P1592" s="2117"/>
      <c r="Q1592" s="2117"/>
      <c r="R1592" s="2117"/>
      <c r="S1592" s="2137"/>
      <c r="T1592" s="2137"/>
      <c r="U1592" s="2137"/>
      <c r="V1592" s="2137"/>
      <c r="W1592" s="2137"/>
      <c r="X1592" s="2137"/>
      <c r="Y1592" s="2137"/>
      <c r="Z1592" s="2137"/>
      <c r="AA1592" s="2137"/>
      <c r="AB1592" s="2137"/>
      <c r="AC1592" s="2137"/>
      <c r="AD1592" s="2137"/>
      <c r="AE1592" s="2137"/>
      <c r="AF1592" s="2137"/>
      <c r="AG1592" s="2137"/>
      <c r="AH1592" s="2137"/>
      <c r="AI1592" s="2137"/>
      <c r="AJ1592" s="2137"/>
      <c r="AK1592" s="2137"/>
      <c r="AL1592" s="2137"/>
      <c r="AM1592" s="2137"/>
      <c r="AN1592" s="2137"/>
      <c r="AO1592" s="2137"/>
      <c r="AP1592" s="2137"/>
      <c r="AQ1592" s="2137"/>
      <c r="AR1592" s="2137"/>
      <c r="AS1592" s="2117"/>
      <c r="AT1592" s="2117"/>
      <c r="AU1592" s="2117"/>
      <c r="AV1592" s="2117"/>
      <c r="AW1592" s="2117"/>
      <c r="AX1592" s="2117"/>
      <c r="AY1592" s="2117"/>
      <c r="AZ1592" s="2117"/>
      <c r="BA1592" s="2117"/>
      <c r="BB1592" s="2117"/>
      <c r="BC1592" s="2117"/>
      <c r="BD1592" s="2117"/>
      <c r="BE1592" s="2117"/>
      <c r="BF1592" s="2117"/>
      <c r="BG1592" s="2117"/>
      <c r="BH1592" s="2117"/>
      <c r="BI1592" s="2117"/>
      <c r="BJ1592" s="2117"/>
      <c r="BK1592" s="2117"/>
      <c r="BL1592" s="2117"/>
      <c r="BM1592" s="2117"/>
      <c r="BN1592" s="2117"/>
      <c r="BO1592" s="2117"/>
      <c r="BP1592" s="2117"/>
      <c r="BQ1592" s="2117"/>
      <c r="BR1592" s="2117"/>
      <c r="BS1592" s="2117"/>
      <c r="BT1592" s="2117"/>
      <c r="BU1592" s="2117"/>
      <c r="BV1592" s="2117"/>
      <c r="BW1592" s="2117"/>
      <c r="BX1592" s="2117"/>
      <c r="BY1592" s="2117"/>
      <c r="BZ1592" s="2117"/>
      <c r="CA1592" s="2117"/>
      <c r="CB1592" s="2117"/>
      <c r="CC1592" s="2117"/>
      <c r="CD1592" s="2117"/>
      <c r="CE1592" s="2117"/>
      <c r="CF1592" s="2117"/>
      <c r="CG1592" s="2117"/>
      <c r="CH1592" s="2117"/>
      <c r="CI1592" s="2117"/>
      <c r="CJ1592" s="2117"/>
      <c r="CK1592" s="2117"/>
      <c r="CL1592" s="2117"/>
      <c r="CM1592" s="2117"/>
      <c r="CN1592" s="2117"/>
      <c r="CO1592" s="2117"/>
      <c r="CP1592" s="2117"/>
      <c r="CQ1592" s="2117"/>
      <c r="CR1592" s="2117"/>
      <c r="CS1592" s="2117"/>
      <c r="CT1592" s="2117"/>
      <c r="CU1592" s="2117"/>
      <c r="CV1592" s="2117"/>
      <c r="CW1592" s="2117"/>
      <c r="CX1592" s="2117"/>
      <c r="CY1592" s="2117"/>
      <c r="CZ1592" s="2117"/>
      <c r="DA1592" s="2117"/>
      <c r="DB1592" s="2117"/>
      <c r="DC1592" s="2117"/>
      <c r="DD1592" s="2117"/>
      <c r="DE1592" s="2117"/>
      <c r="DF1592" s="2117"/>
      <c r="DG1592" s="2117"/>
      <c r="DH1592" s="2117"/>
      <c r="DI1592" s="2117"/>
      <c r="DJ1592" s="2117"/>
      <c r="DK1592" s="2117"/>
      <c r="DL1592" s="2117"/>
      <c r="DM1592" s="2117"/>
      <c r="DN1592" s="2117"/>
      <c r="DO1592" s="2117"/>
      <c r="DP1592" s="2117"/>
      <c r="DQ1592" s="2117"/>
      <c r="DR1592" s="2117"/>
      <c r="DS1592" s="2117"/>
      <c r="DT1592" s="2117"/>
      <c r="DU1592" s="2117"/>
      <c r="DV1592" s="2117"/>
      <c r="DW1592" s="2117"/>
      <c r="DX1592" s="2117"/>
      <c r="DY1592" s="2117"/>
      <c r="DZ1592" s="2117"/>
      <c r="EA1592" s="2117"/>
      <c r="EB1592" s="2117"/>
      <c r="EC1592" s="2117"/>
      <c r="ED1592" s="2117"/>
      <c r="EE1592" s="2117"/>
      <c r="EF1592" s="2117"/>
      <c r="EG1592" s="2117"/>
      <c r="EH1592" s="2117"/>
      <c r="EI1592" s="2117"/>
      <c r="EJ1592" s="2117"/>
      <c r="EK1592" s="2117"/>
      <c r="EL1592" s="2117"/>
      <c r="EM1592" s="2117"/>
      <c r="EN1592" s="2117"/>
      <c r="EO1592" s="2117"/>
      <c r="EP1592" s="2117"/>
      <c r="EQ1592" s="2117"/>
      <c r="ER1592" s="2117"/>
      <c r="ES1592" s="2117"/>
      <c r="ET1592" s="2117"/>
      <c r="EU1592" s="2117"/>
      <c r="EV1592" s="2117"/>
      <c r="EW1592" s="2117"/>
      <c r="EX1592" s="2117"/>
      <c r="EY1592" s="2117"/>
      <c r="EZ1592" s="2117"/>
      <c r="FA1592" s="2117"/>
      <c r="FB1592" s="2117"/>
      <c r="FC1592" s="2117"/>
      <c r="FD1592" s="2117"/>
      <c r="FE1592" s="2117"/>
      <c r="FF1592" s="2117"/>
      <c r="FG1592" s="2117"/>
      <c r="FH1592" s="2117"/>
      <c r="FI1592" s="2117"/>
      <c r="FJ1592" s="2117"/>
      <c r="FK1592" s="2117"/>
      <c r="FL1592" s="2117"/>
      <c r="FM1592" s="2117"/>
      <c r="FN1592" s="2117"/>
      <c r="FO1592" s="2117"/>
      <c r="FP1592" s="2117"/>
      <c r="FQ1592" s="2117"/>
      <c r="FR1592" s="2117"/>
      <c r="FS1592" s="2117"/>
      <c r="FT1592" s="2117"/>
      <c r="FU1592" s="2117"/>
      <c r="FV1592" s="2117"/>
      <c r="FW1592" s="2117"/>
      <c r="FX1592" s="2117"/>
      <c r="FY1592" s="2117"/>
      <c r="FZ1592" s="2117"/>
      <c r="GA1592" s="2117"/>
      <c r="GB1592" s="2117"/>
      <c r="GC1592" s="2117"/>
      <c r="GD1592" s="2117"/>
      <c r="GE1592" s="2117"/>
      <c r="GF1592" s="2117"/>
      <c r="GG1592" s="2117"/>
      <c r="GH1592" s="2117"/>
      <c r="GI1592" s="2117"/>
      <c r="GJ1592" s="2117"/>
      <c r="GK1592" s="2117"/>
      <c r="GL1592" s="2117"/>
      <c r="GM1592" s="2117"/>
      <c r="GN1592" s="2117"/>
      <c r="GO1592" s="2117"/>
      <c r="GP1592" s="2117"/>
      <c r="GQ1592" s="2117"/>
      <c r="GR1592" s="2117"/>
      <c r="GS1592" s="2117"/>
      <c r="GT1592" s="2117"/>
      <c r="GU1592" s="2117"/>
      <c r="GV1592" s="2117"/>
      <c r="GW1592" s="2117"/>
      <c r="GX1592" s="2117"/>
      <c r="GY1592" s="2117"/>
      <c r="GZ1592" s="2117"/>
      <c r="HA1592" s="2117"/>
      <c r="HB1592" s="2117"/>
      <c r="HC1592" s="2117"/>
      <c r="HD1592" s="2117"/>
      <c r="HE1592" s="2117"/>
      <c r="HF1592" s="2117"/>
      <c r="HG1592" s="2117"/>
      <c r="HH1592" s="2117"/>
      <c r="HI1592" s="2117"/>
      <c r="HJ1592" s="2117"/>
      <c r="HK1592" s="2117"/>
      <c r="HL1592" s="2117"/>
      <c r="HM1592" s="2117"/>
      <c r="HN1592" s="2117"/>
      <c r="HO1592" s="2117"/>
      <c r="HP1592" s="2117"/>
      <c r="HQ1592" s="2117"/>
      <c r="HR1592" s="2117"/>
      <c r="HS1592" s="2117"/>
      <c r="HT1592" s="2117"/>
      <c r="HU1592" s="2117"/>
      <c r="HV1592" s="2117"/>
      <c r="HW1592" s="2117"/>
      <c r="HX1592" s="2117"/>
      <c r="HY1592" s="2117"/>
      <c r="HZ1592" s="2117"/>
      <c r="IA1592" s="2117"/>
      <c r="IB1592" s="2117"/>
      <c r="IC1592" s="2117"/>
      <c r="ID1592" s="2117"/>
      <c r="IE1592" s="2117"/>
      <c r="IF1592" s="2117"/>
      <c r="IG1592" s="2117"/>
      <c r="IH1592" s="2117"/>
      <c r="II1592" s="2117"/>
      <c r="IJ1592" s="2117"/>
      <c r="IK1592" s="2117"/>
      <c r="IL1592" s="2117"/>
      <c r="IM1592" s="2117"/>
      <c r="IN1592" s="2117"/>
      <c r="IO1592" s="2117"/>
      <c r="IP1592" s="2117"/>
      <c r="IQ1592" s="2117"/>
      <c r="IR1592" s="2117"/>
      <c r="IS1592" s="2117"/>
      <c r="IT1592" s="2117"/>
      <c r="IU1592" s="2117"/>
      <c r="IV1592" s="2117"/>
    </row>
    <row r="1593" spans="1:256 1523:1523" s="1852" customFormat="1" ht="11.25" customHeight="1">
      <c r="B1593" s="2170" t="s">
        <v>3373</v>
      </c>
      <c r="D1593" s="2170"/>
      <c r="E1593" s="2170"/>
      <c r="F1593" s="2170"/>
      <c r="G1593" s="2170"/>
      <c r="H1593" s="2121"/>
      <c r="I1593" s="2164"/>
      <c r="J1593" s="2164"/>
      <c r="K1593" s="2164"/>
      <c r="L1593" s="2117"/>
      <c r="M1593" s="2117"/>
      <c r="N1593" s="2117"/>
      <c r="O1593" s="2117"/>
      <c r="P1593" s="2117"/>
      <c r="Q1593" s="2117"/>
      <c r="S1593" s="2269"/>
      <c r="T1593" s="2269"/>
      <c r="U1593" s="2269"/>
      <c r="V1593" s="2269"/>
      <c r="W1593" s="2269"/>
      <c r="X1593" s="2269"/>
      <c r="Y1593" s="2269"/>
      <c r="Z1593" s="2269"/>
      <c r="AA1593" s="2269"/>
      <c r="AB1593" s="2269"/>
      <c r="AC1593" s="2269"/>
      <c r="AD1593" s="2269"/>
      <c r="AE1593" s="2269"/>
      <c r="AF1593" s="2269"/>
      <c r="AG1593" s="2269"/>
      <c r="AH1593" s="2269"/>
      <c r="AI1593" s="2269"/>
      <c r="AJ1593" s="2269"/>
      <c r="AK1593" s="2269"/>
      <c r="AL1593" s="2269"/>
      <c r="AM1593" s="2269"/>
      <c r="AN1593" s="2269"/>
      <c r="AO1593" s="2269"/>
      <c r="AP1593" s="2269"/>
      <c r="AQ1593" s="2269"/>
      <c r="AR1593" s="2269"/>
    </row>
    <row r="1594" spans="1:256 1523:1523" s="1852" customFormat="1" ht="11.45" customHeight="1">
      <c r="A1594" s="2226" t="str">
        <f>'Part VIII-Threshold Criteria'!A354</f>
        <v>This project is a new construction; therefore, A. Constructed and Rehabilitation Construction Hard Costs is N/A. The applicant is not proposing additional design options; therefore, part C. has also been left blank.</v>
      </c>
      <c r="B1594" s="2226"/>
      <c r="C1594" s="2226"/>
      <c r="D1594" s="2226"/>
      <c r="E1594" s="2226"/>
      <c r="F1594" s="2226"/>
      <c r="G1594" s="2226"/>
      <c r="H1594" s="2226"/>
      <c r="I1594" s="2226"/>
      <c r="J1594" s="2226"/>
      <c r="K1594" s="2226"/>
      <c r="L1594" s="2226"/>
      <c r="M1594" s="2226"/>
      <c r="N1594" s="2226"/>
      <c r="O1594" s="2226"/>
      <c r="P1594" s="2226"/>
      <c r="Q1594" s="2226"/>
      <c r="R1594" s="2244" t="s">
        <v>1208</v>
      </c>
      <c r="S1594" s="1976"/>
      <c r="T1594" s="2269"/>
      <c r="U1594" s="2183"/>
      <c r="V1594" s="2183"/>
      <c r="W1594" s="2183"/>
      <c r="X1594" s="2183"/>
      <c r="Y1594" s="2183"/>
      <c r="Z1594" s="2183"/>
      <c r="AA1594" s="2183"/>
      <c r="AB1594" s="2183"/>
      <c r="AC1594" s="2183"/>
      <c r="AD1594" s="2183"/>
      <c r="AE1594" s="2183"/>
      <c r="AF1594" s="2269"/>
      <c r="AG1594" s="2269"/>
      <c r="AH1594" s="2269"/>
      <c r="AI1594" s="2269"/>
      <c r="AJ1594" s="2269"/>
      <c r="AK1594" s="2269"/>
      <c r="AL1594" s="2269"/>
      <c r="AM1594" s="2269"/>
      <c r="AN1594" s="2269"/>
      <c r="AO1594" s="2269"/>
      <c r="AP1594" s="2269"/>
      <c r="AQ1594" s="2269"/>
      <c r="AR1594" s="2269"/>
    </row>
    <row r="1595" spans="1:256 1523:1523" s="1852" customFormat="1" ht="11.25" customHeight="1">
      <c r="B1595" s="2227" t="s">
        <v>1781</v>
      </c>
      <c r="C1595" s="2227"/>
      <c r="D1595" s="2228"/>
      <c r="E1595" s="2228"/>
      <c r="F1595" s="2228"/>
      <c r="G1595" s="2228"/>
      <c r="H1595" s="2228"/>
      <c r="I1595" s="2228"/>
      <c r="J1595" s="2228"/>
      <c r="K1595" s="2228"/>
      <c r="L1595" s="2228"/>
      <c r="M1595" s="2228"/>
      <c r="N1595" s="2228"/>
      <c r="O1595" s="2228"/>
      <c r="P1595" s="2228"/>
      <c r="Q1595" s="2228"/>
      <c r="S1595" s="2269"/>
      <c r="T1595" s="2269"/>
      <c r="U1595" s="2269"/>
      <c r="V1595" s="2269"/>
      <c r="W1595" s="2269"/>
      <c r="X1595" s="2269"/>
      <c r="Y1595" s="2269"/>
      <c r="Z1595" s="2269"/>
      <c r="AA1595" s="2269"/>
      <c r="AB1595" s="2269"/>
      <c r="AC1595" s="2269"/>
      <c r="AD1595" s="2269"/>
      <c r="AE1595" s="2269"/>
      <c r="AF1595" s="2269"/>
      <c r="AG1595" s="2269"/>
      <c r="AH1595" s="2269"/>
      <c r="AI1595" s="2269"/>
      <c r="AJ1595" s="2269"/>
      <c r="AK1595" s="2269"/>
      <c r="AL1595" s="2269"/>
      <c r="AM1595" s="2269"/>
      <c r="AN1595" s="2269"/>
      <c r="AO1595" s="2269"/>
      <c r="AP1595" s="2269"/>
      <c r="AQ1595" s="2269"/>
      <c r="AR1595" s="2269"/>
    </row>
    <row r="1596" spans="1:256 1523:1523" s="1852" customFormat="1" ht="11.45" customHeight="1">
      <c r="A1596" s="2223"/>
      <c r="B1596" s="2223"/>
      <c r="C1596" s="2223"/>
      <c r="D1596" s="2223"/>
      <c r="E1596" s="2223"/>
      <c r="F1596" s="2223"/>
      <c r="G1596" s="2223"/>
      <c r="H1596" s="2223"/>
      <c r="I1596" s="2223"/>
      <c r="J1596" s="2223"/>
      <c r="K1596" s="2223"/>
      <c r="L1596" s="2223"/>
      <c r="M1596" s="2223"/>
      <c r="N1596" s="2223"/>
      <c r="O1596" s="2223"/>
      <c r="P1596" s="2223"/>
      <c r="Q1596" s="2223"/>
      <c r="S1596" s="2269"/>
      <c r="T1596" s="2269"/>
      <c r="U1596" s="2269"/>
      <c r="V1596" s="2269"/>
      <c r="W1596" s="2269"/>
      <c r="X1596" s="2269"/>
      <c r="Y1596" s="2269"/>
      <c r="Z1596" s="2269"/>
      <c r="AA1596" s="2269"/>
      <c r="AB1596" s="2269"/>
      <c r="AC1596" s="2269"/>
      <c r="AD1596" s="2269"/>
      <c r="AE1596" s="2269"/>
      <c r="AF1596" s="2269"/>
      <c r="AG1596" s="2269"/>
      <c r="AH1596" s="2269"/>
      <c r="AI1596" s="2269"/>
      <c r="AJ1596" s="2269"/>
      <c r="AK1596" s="2269"/>
      <c r="AL1596" s="2269"/>
      <c r="AM1596" s="2269"/>
      <c r="AN1596" s="2269"/>
      <c r="AO1596" s="2269"/>
      <c r="AP1596" s="2269"/>
      <c r="AQ1596" s="2269"/>
      <c r="AR1596" s="2269"/>
    </row>
    <row r="1597" spans="1:256 1523:1523" s="1852" customFormat="1" ht="14.1" customHeight="1">
      <c r="A1597" s="2105" t="s">
        <v>3525</v>
      </c>
      <c r="B1597" s="2115" t="s">
        <v>3543</v>
      </c>
      <c r="C1597" s="2105"/>
      <c r="D1597" s="2228"/>
      <c r="E1597" s="2228"/>
      <c r="F1597" s="2228"/>
      <c r="G1597" s="2228"/>
      <c r="H1597" s="2228"/>
      <c r="O1597" s="2224" t="s">
        <v>1782</v>
      </c>
      <c r="P1597" s="1719"/>
      <c r="Q1597" s="1719"/>
    </row>
    <row r="1598" spans="1:256 1523:1523" s="1852" customFormat="1" ht="11.45" customHeight="1">
      <c r="A1598" s="2255" t="s">
        <v>1894</v>
      </c>
      <c r="B1598" s="2112" t="s">
        <v>6380</v>
      </c>
      <c r="O1598" s="2224" t="s">
        <v>1894</v>
      </c>
      <c r="P1598" s="2230" t="str">
        <f>'Part VIII-Threshold Criteria'!P358</f>
        <v>Yes</v>
      </c>
      <c r="Q1598" s="2164"/>
    </row>
    <row r="1599" spans="1:256 1523:1523" s="1852" customFormat="1" ht="11.45" customHeight="1">
      <c r="A1599" s="2224" t="s">
        <v>1896</v>
      </c>
      <c r="B1599" s="2112" t="s">
        <v>3515</v>
      </c>
      <c r="O1599" s="2224" t="s">
        <v>1896</v>
      </c>
      <c r="P1599" s="2230" t="str">
        <f>'Part VIII-Threshold Criteria'!P359</f>
        <v>Yes</v>
      </c>
      <c r="Q1599" s="2164"/>
    </row>
    <row r="1600" spans="1:256 1523:1523" s="1852" customFormat="1" ht="11.45" customHeight="1">
      <c r="A1600" s="2224" t="s">
        <v>719</v>
      </c>
      <c r="B1600" s="2112" t="s">
        <v>2247</v>
      </c>
      <c r="O1600" s="2224" t="s">
        <v>719</v>
      </c>
      <c r="P1600" s="2230" t="str">
        <f>'Part VIII-Threshold Criteria'!P360</f>
        <v>No</v>
      </c>
      <c r="Q1600" s="2164"/>
    </row>
    <row r="1601" spans="1:44" s="1852" customFormat="1" ht="11.45" customHeight="1">
      <c r="A1601" s="2255" t="s">
        <v>2022</v>
      </c>
      <c r="B1601" s="2112" t="s">
        <v>3416</v>
      </c>
      <c r="O1601" s="2255" t="s">
        <v>2022</v>
      </c>
      <c r="P1601" s="2230" t="str">
        <f>'Part VIII-Threshold Criteria'!P361</f>
        <v>No</v>
      </c>
      <c r="Q1601" s="2164"/>
    </row>
    <row r="1602" spans="1:44" s="1852" customFormat="1" ht="11.45" customHeight="1">
      <c r="A1602" s="2224" t="s">
        <v>1656</v>
      </c>
      <c r="B1602" s="2112" t="s">
        <v>2675</v>
      </c>
      <c r="N1602" s="2224" t="s">
        <v>1656</v>
      </c>
      <c r="O1602" s="2294" t="str">
        <f>'Part VIII-Threshold Criteria'!O362</f>
        <v>Certifying GP/Developer</v>
      </c>
      <c r="P1602" s="2294"/>
      <c r="Q1602" s="2294"/>
    </row>
    <row r="1603" spans="1:44" s="1852" customFormat="1" ht="11.45" customHeight="1">
      <c r="A1603" s="2224" t="s">
        <v>1657</v>
      </c>
      <c r="B1603" s="2112" t="s">
        <v>2248</v>
      </c>
      <c r="N1603" s="2224" t="s">
        <v>1657</v>
      </c>
      <c r="O1603" s="2114"/>
      <c r="P1603" s="2114"/>
      <c r="Q1603" s="2114"/>
    </row>
    <row r="1604" spans="1:44" s="1852" customFormat="1" ht="11.25" customHeight="1">
      <c r="B1604" s="2170" t="s">
        <v>3373</v>
      </c>
      <c r="D1604" s="2170"/>
      <c r="E1604" s="2170"/>
      <c r="F1604" s="2170"/>
      <c r="G1604" s="2170"/>
      <c r="H1604" s="2121"/>
      <c r="I1604" s="2164"/>
      <c r="J1604" s="2164"/>
      <c r="K1604" s="2164"/>
      <c r="L1604" s="2117"/>
      <c r="M1604" s="2117"/>
      <c r="N1604" s="2117"/>
      <c r="O1604" s="2117"/>
      <c r="P1604" s="2117"/>
      <c r="Q1604" s="2117"/>
    </row>
    <row r="1605" spans="1:44" s="1852" customFormat="1" ht="13.35" customHeight="1">
      <c r="A1605" s="2226" t="str">
        <f>'Part VIII-Threshold Criteria'!A365</f>
        <v xml:space="preserve">During the pre-application determination the Certifying GP and Developer were deemed "Qualified". There have not been any changes to the project team since the pre-application submission. </v>
      </c>
      <c r="B1605" s="2226"/>
      <c r="C1605" s="2226"/>
      <c r="D1605" s="2226"/>
      <c r="E1605" s="2226"/>
      <c r="F1605" s="2226"/>
      <c r="G1605" s="2226"/>
      <c r="H1605" s="2226"/>
      <c r="I1605" s="2226"/>
      <c r="J1605" s="2226"/>
      <c r="K1605" s="2226"/>
      <c r="L1605" s="2226"/>
      <c r="M1605" s="2226"/>
      <c r="N1605" s="2226"/>
      <c r="O1605" s="2226"/>
      <c r="P1605" s="2226"/>
      <c r="Q1605" s="2226"/>
      <c r="R1605" s="1855" t="s">
        <v>1208</v>
      </c>
      <c r="S1605" s="1855"/>
      <c r="U1605" s="1719"/>
      <c r="V1605" s="1719"/>
      <c r="W1605" s="1719"/>
      <c r="X1605" s="1719"/>
      <c r="Y1605" s="1719"/>
      <c r="Z1605" s="1719"/>
      <c r="AA1605" s="1719"/>
      <c r="AB1605" s="1719"/>
      <c r="AC1605" s="1719"/>
      <c r="AD1605" s="1719"/>
      <c r="AE1605" s="1719"/>
    </row>
    <row r="1606" spans="1:44" s="1852" customFormat="1" ht="11.25" customHeight="1">
      <c r="B1606" s="2227" t="s">
        <v>1781</v>
      </c>
      <c r="C1606" s="2227"/>
      <c r="D1606" s="2228"/>
      <c r="E1606" s="2228"/>
      <c r="F1606" s="2228"/>
      <c r="G1606" s="2228"/>
      <c r="H1606" s="2228"/>
      <c r="I1606" s="2228"/>
      <c r="J1606" s="2228"/>
      <c r="K1606" s="2228"/>
      <c r="L1606" s="2228"/>
      <c r="M1606" s="2228"/>
      <c r="N1606" s="2228"/>
      <c r="O1606" s="2228"/>
      <c r="P1606" s="2228"/>
      <c r="Q1606" s="2228"/>
    </row>
    <row r="1607" spans="1:44" s="1852" customFormat="1" ht="13.35" customHeight="1">
      <c r="A1607" s="2223"/>
      <c r="B1607" s="2223"/>
      <c r="C1607" s="2223"/>
      <c r="D1607" s="2223"/>
      <c r="E1607" s="2223"/>
      <c r="F1607" s="2223"/>
      <c r="G1607" s="2223"/>
      <c r="H1607" s="2223"/>
      <c r="I1607" s="2223"/>
      <c r="J1607" s="2223"/>
      <c r="K1607" s="2223"/>
      <c r="L1607" s="2223"/>
      <c r="M1607" s="2223"/>
      <c r="N1607" s="2223"/>
      <c r="O1607" s="2223"/>
      <c r="P1607" s="2223"/>
      <c r="Q1607" s="2223"/>
    </row>
    <row r="1608" spans="1:44" s="1852" customFormat="1" ht="2.25" customHeight="1">
      <c r="A1608" s="2117"/>
      <c r="B1608" s="2164"/>
      <c r="C1608" s="2228"/>
      <c r="D1608" s="2228"/>
      <c r="E1608" s="2228"/>
      <c r="F1608" s="2228"/>
      <c r="G1608" s="2228"/>
      <c r="H1608" s="2228"/>
      <c r="I1608" s="2228"/>
      <c r="J1608" s="2228"/>
      <c r="K1608" s="2228"/>
      <c r="L1608" s="2228"/>
      <c r="M1608" s="2228"/>
      <c r="N1608" s="2228"/>
      <c r="O1608" s="2228"/>
      <c r="P1608" s="2228"/>
      <c r="Q1608" s="2117"/>
    </row>
    <row r="1609" spans="1:44" s="1852" customFormat="1" ht="14.1" customHeight="1">
      <c r="A1609" s="2105" t="s">
        <v>3528</v>
      </c>
      <c r="B1609" s="1818" t="s">
        <v>6351</v>
      </c>
      <c r="C1609" s="1818"/>
      <c r="D1609" s="1818"/>
      <c r="E1609" s="1818"/>
      <c r="F1609" s="1818"/>
      <c r="G1609" s="1818"/>
      <c r="H1609" s="2228"/>
      <c r="I1609" s="2228"/>
      <c r="J1609" s="2228"/>
      <c r="K1609" s="2228"/>
      <c r="L1609" s="2228"/>
      <c r="M1609" s="2228"/>
      <c r="N1609" s="2255" t="str">
        <f>IF('Part I-Project Information'!$P$101="yes","Applicant has applied for the RAD Setaside.","Applicant has NOT applied for the RAD Setaside.")</f>
        <v>Applicant has NOT applied for the RAD Setaside.</v>
      </c>
      <c r="O1609" s="2224" t="s">
        <v>1782</v>
      </c>
      <c r="P1609" s="1719"/>
      <c r="Q1609" s="1719"/>
    </row>
    <row r="1610" spans="1:44" s="1852" customFormat="1" ht="21.75" customHeight="1">
      <c r="A1610" s="2224" t="s">
        <v>1894</v>
      </c>
      <c r="B1610" s="435" t="s">
        <v>7081</v>
      </c>
      <c r="C1610" s="435"/>
      <c r="D1610" s="435"/>
      <c r="E1610" s="435"/>
      <c r="F1610" s="435"/>
      <c r="G1610" s="435"/>
      <c r="H1610" s="435"/>
      <c r="I1610" s="435"/>
      <c r="J1610" s="435"/>
      <c r="K1610" s="435"/>
      <c r="L1610" s="435"/>
      <c r="M1610" s="435"/>
      <c r="N1610" s="435"/>
      <c r="O1610" s="2224" t="s">
        <v>1894</v>
      </c>
      <c r="P1610" s="2264">
        <f>'Part VIII-Threshold Criteria'!P370</f>
        <v>0</v>
      </c>
      <c r="Q1610" s="2252"/>
    </row>
    <row r="1611" spans="1:44" s="1852" customFormat="1">
      <c r="A1611" s="2224"/>
      <c r="B1611" s="2228"/>
      <c r="C1611" s="435" t="s">
        <v>1712</v>
      </c>
      <c r="D1611" s="435"/>
      <c r="E1611" s="2273">
        <f>'Part VI-Revenues &amp; Expenses'!$P$67</f>
        <v>48</v>
      </c>
      <c r="F1611" s="435" t="s">
        <v>4081</v>
      </c>
      <c r="G1611" s="2295">
        <f>'Part VI-Revenues &amp; Expenses'!$P$100</f>
        <v>0</v>
      </c>
      <c r="H1611" s="1818"/>
      <c r="I1611" s="435" t="s">
        <v>856</v>
      </c>
      <c r="J1611" s="1818"/>
      <c r="K1611" s="1818"/>
      <c r="L1611" s="2273">
        <f>'Part VI-Revenues &amp; Expenses'!$P$111</f>
        <v>0</v>
      </c>
      <c r="M1611" s="435" t="s">
        <v>2630</v>
      </c>
      <c r="N1611" s="2261">
        <f>IF(E1611=0,"",(G1611+L1611)/E1611)</f>
        <v>0</v>
      </c>
      <c r="P1611" s="2223"/>
      <c r="Q1611" s="2223"/>
      <c r="S1611" s="2269"/>
      <c r="T1611" s="2269"/>
      <c r="U1611" s="2269"/>
      <c r="V1611" s="2269"/>
      <c r="W1611" s="2269"/>
      <c r="X1611" s="2269"/>
      <c r="Y1611" s="2269"/>
      <c r="Z1611" s="2269"/>
      <c r="AA1611" s="2269"/>
      <c r="AB1611" s="2269"/>
      <c r="AC1611" s="2269"/>
      <c r="AD1611" s="2269"/>
      <c r="AE1611" s="2269"/>
      <c r="AF1611" s="2269"/>
      <c r="AG1611" s="2269"/>
      <c r="AH1611" s="2269"/>
      <c r="AI1611" s="2269"/>
      <c r="AJ1611" s="2269"/>
      <c r="AK1611" s="2269"/>
      <c r="AL1611" s="2269"/>
      <c r="AM1611" s="2269"/>
      <c r="AN1611" s="2269"/>
      <c r="AO1611" s="2269"/>
      <c r="AP1611" s="2269"/>
      <c r="AQ1611" s="2269"/>
      <c r="AR1611" s="2269"/>
    </row>
    <row r="1612" spans="1:44" s="1852" customFormat="1" ht="12.75" customHeight="1">
      <c r="A1612" s="2224" t="s">
        <v>1896</v>
      </c>
      <c r="B1612" s="2223" t="s">
        <v>6352</v>
      </c>
      <c r="C1612" s="2223"/>
      <c r="D1612" s="2223"/>
      <c r="E1612" s="2223"/>
      <c r="F1612" s="2223"/>
      <c r="G1612" s="2223"/>
      <c r="H1612" s="2223"/>
      <c r="I1612" s="2223"/>
      <c r="J1612" s="2223"/>
      <c r="K1612" s="2223"/>
      <c r="L1612" s="2223"/>
      <c r="M1612" s="2223"/>
      <c r="N1612" s="2223"/>
      <c r="O1612" s="2224" t="s">
        <v>1896</v>
      </c>
      <c r="P1612" s="2264">
        <f>'Part VIII-Threshold Criteria'!P372</f>
        <v>0</v>
      </c>
      <c r="Q1612" s="2252"/>
    </row>
    <row r="1613" spans="1:44" s="1852" customFormat="1" ht="12.75" customHeight="1">
      <c r="A1613" s="2224"/>
      <c r="C1613" s="435" t="s">
        <v>6353</v>
      </c>
      <c r="D1613" s="435"/>
      <c r="E1613" s="435"/>
      <c r="F1613" s="435"/>
      <c r="G1613" s="435"/>
      <c r="H1613" s="435"/>
      <c r="I1613" s="435"/>
      <c r="J1613" s="435"/>
      <c r="M1613" s="2296">
        <f>'Part VIII-Threshold Criteria'!M373</f>
        <v>0</v>
      </c>
      <c r="N1613" s="2296"/>
    </row>
    <row r="1614" spans="1:44" s="1852" customFormat="1" ht="10.5" customHeight="1">
      <c r="B1614" s="2170" t="s">
        <v>3373</v>
      </c>
      <c r="D1614" s="2170"/>
      <c r="E1614" s="2170"/>
      <c r="F1614" s="2170"/>
      <c r="G1614" s="2170"/>
      <c r="H1614" s="2121"/>
      <c r="I1614" s="2164"/>
      <c r="J1614" s="2164"/>
      <c r="K1614" s="2164"/>
      <c r="L1614" s="2117"/>
      <c r="M1614" s="2117"/>
      <c r="N1614" s="2117"/>
      <c r="O1614" s="2117"/>
      <c r="P1614" s="2117"/>
      <c r="Q1614" s="2117"/>
    </row>
    <row r="1615" spans="1:44" s="1852" customFormat="1" ht="12" customHeight="1">
      <c r="A1615" s="2226" t="str">
        <f>'Part VIII-Threshold Criteria'!A375</f>
        <v xml:space="preserve">The proposed development is not applying for credit under the RAD set-aside. </v>
      </c>
      <c r="B1615" s="2226"/>
      <c r="C1615" s="2226"/>
      <c r="D1615" s="2226"/>
      <c r="E1615" s="2226"/>
      <c r="F1615" s="2226"/>
      <c r="G1615" s="2226"/>
      <c r="H1615" s="2226"/>
      <c r="I1615" s="2226"/>
      <c r="J1615" s="2226"/>
      <c r="K1615" s="2226"/>
      <c r="L1615" s="2226"/>
      <c r="M1615" s="2226"/>
      <c r="N1615" s="2226"/>
      <c r="O1615" s="2226"/>
      <c r="P1615" s="2226"/>
      <c r="Q1615" s="2226"/>
      <c r="U1615" s="1719"/>
      <c r="V1615" s="1719"/>
      <c r="W1615" s="1719"/>
      <c r="X1615" s="1719"/>
      <c r="Y1615" s="1719"/>
      <c r="Z1615" s="1719"/>
      <c r="AA1615" s="1719"/>
      <c r="AB1615" s="1719"/>
      <c r="AC1615" s="1719"/>
      <c r="AD1615" s="1719"/>
      <c r="AE1615" s="1719"/>
    </row>
    <row r="1616" spans="1:44" s="1852" customFormat="1" ht="10.5" customHeight="1">
      <c r="B1616" s="2227" t="s">
        <v>1781</v>
      </c>
      <c r="C1616" s="2227"/>
      <c r="D1616" s="2228"/>
      <c r="E1616" s="2228"/>
      <c r="F1616" s="2228"/>
      <c r="G1616" s="2228"/>
      <c r="H1616" s="2228"/>
      <c r="I1616" s="2228"/>
      <c r="J1616" s="2228"/>
      <c r="K1616" s="2228"/>
      <c r="L1616" s="2228"/>
      <c r="M1616" s="2228"/>
      <c r="N1616" s="2228"/>
      <c r="O1616" s="2228"/>
      <c r="P1616" s="2228"/>
      <c r="Q1616" s="2228"/>
    </row>
    <row r="1617" spans="1:31" s="1852" customFormat="1" ht="12" customHeight="1">
      <c r="A1617" s="2223"/>
      <c r="B1617" s="2223"/>
      <c r="C1617" s="2223"/>
      <c r="D1617" s="2223"/>
      <c r="E1617" s="2223"/>
      <c r="F1617" s="2223"/>
      <c r="G1617" s="2223"/>
      <c r="H1617" s="2223"/>
      <c r="I1617" s="2223"/>
      <c r="J1617" s="2223"/>
      <c r="K1617" s="2223"/>
      <c r="L1617" s="2223"/>
      <c r="M1617" s="2223"/>
      <c r="N1617" s="2223"/>
      <c r="O1617" s="2223"/>
      <c r="P1617" s="2223"/>
      <c r="Q1617" s="2223"/>
    </row>
    <row r="1618" spans="1:31" s="1852" customFormat="1" ht="2.25" customHeight="1">
      <c r="A1618" s="2117"/>
      <c r="B1618" s="2164"/>
      <c r="C1618" s="2228"/>
      <c r="D1618" s="2228"/>
      <c r="E1618" s="2228"/>
      <c r="F1618" s="2228"/>
      <c r="G1618" s="2228"/>
      <c r="H1618" s="2228"/>
      <c r="I1618" s="2228"/>
      <c r="J1618" s="2228"/>
      <c r="K1618" s="2228"/>
      <c r="L1618" s="2228"/>
      <c r="M1618" s="2228"/>
      <c r="N1618" s="2228"/>
      <c r="O1618" s="2228"/>
      <c r="P1618" s="2228"/>
      <c r="Q1618" s="2117"/>
    </row>
    <row r="1619" spans="1:31" s="1852" customFormat="1" ht="14.1" customHeight="1">
      <c r="A1619" s="2105" t="s">
        <v>3529</v>
      </c>
      <c r="B1619" s="1818" t="s">
        <v>3507</v>
      </c>
      <c r="C1619" s="1818"/>
      <c r="D1619" s="1818"/>
      <c r="E1619" s="1818"/>
      <c r="F1619" s="1818"/>
      <c r="G1619" s="1818"/>
      <c r="H1619" s="2228"/>
      <c r="I1619" s="2228"/>
      <c r="J1619" s="2228"/>
      <c r="K1619" s="2228"/>
      <c r="L1619" s="2228"/>
      <c r="M1619" s="2228"/>
      <c r="N1619" s="2255" t="str">
        <f>IF('Part I-Project Information'!$H$100="yes","Applicant has applied for Nonprofit Setaside.","Applicant has NOT applied for Nonprofit Setaside.")</f>
        <v>Applicant has applied for Nonprofit Setaside.</v>
      </c>
      <c r="O1619" s="2224" t="s">
        <v>1782</v>
      </c>
      <c r="P1619" s="1719"/>
      <c r="Q1619" s="1719"/>
    </row>
    <row r="1620" spans="1:31" s="1852" customFormat="1" ht="10.5" customHeight="1">
      <c r="A1620" s="2255" t="s">
        <v>1894</v>
      </c>
      <c r="B1620" s="435" t="s">
        <v>3508</v>
      </c>
      <c r="D1620" s="1818"/>
      <c r="E1620" s="1818"/>
      <c r="F1620" s="1818"/>
      <c r="G1620" s="1818"/>
      <c r="H1620" s="2255" t="s">
        <v>1894</v>
      </c>
      <c r="I1620" s="2111" t="str">
        <f>'Part VIII-Threshold Criteria'!I380</f>
        <v>National Affordable Housing Preservation Associates, Inc.</v>
      </c>
      <c r="J1620" s="2111"/>
      <c r="K1620" s="2111"/>
      <c r="L1620" s="2111"/>
      <c r="M1620" s="2111"/>
      <c r="N1620" s="2111"/>
      <c r="O1620" s="2111"/>
      <c r="P1620" s="2111"/>
      <c r="Q1620" s="2164"/>
    </row>
    <row r="1621" spans="1:31" s="1852" customFormat="1" ht="10.5" customHeight="1">
      <c r="A1621" s="2224" t="s">
        <v>1896</v>
      </c>
      <c r="B1621" s="435" t="s">
        <v>3509</v>
      </c>
      <c r="D1621" s="1818"/>
      <c r="E1621" s="1818"/>
      <c r="F1621" s="1818"/>
      <c r="G1621" s="1818"/>
      <c r="H1621" s="2224" t="s">
        <v>1896</v>
      </c>
      <c r="I1621" s="2111" t="str">
        <f>'Part VIII-Threshold Criteria'!I381</f>
        <v>www.nahpa.org</v>
      </c>
      <c r="J1621" s="2111"/>
      <c r="K1621" s="2111"/>
      <c r="L1621" s="2111"/>
      <c r="M1621" s="2111"/>
      <c r="N1621" s="2111"/>
      <c r="O1621" s="2111"/>
      <c r="P1621" s="2111"/>
      <c r="Q1621" s="2164"/>
    </row>
    <row r="1622" spans="1:31" s="1852" customFormat="1" ht="21.75" customHeight="1">
      <c r="A1622" s="2224" t="s">
        <v>719</v>
      </c>
      <c r="B1622" s="435" t="s">
        <v>3500</v>
      </c>
      <c r="C1622" s="435"/>
      <c r="D1622" s="435"/>
      <c r="E1622" s="435"/>
      <c r="F1622" s="435"/>
      <c r="G1622" s="435"/>
      <c r="H1622" s="435"/>
      <c r="I1622" s="435"/>
      <c r="J1622" s="435"/>
      <c r="K1622" s="435"/>
      <c r="L1622" s="435"/>
      <c r="M1622" s="435"/>
      <c r="N1622" s="435"/>
      <c r="O1622" s="2224" t="s">
        <v>719</v>
      </c>
      <c r="P1622" s="2264" t="str">
        <f>'Part VIII-Threshold Criteria'!P382</f>
        <v>Yes</v>
      </c>
      <c r="Q1622" s="2252"/>
    </row>
    <row r="1623" spans="1:31" s="1852" customFormat="1" ht="21.75" customHeight="1">
      <c r="A1623" s="2224" t="s">
        <v>2022</v>
      </c>
      <c r="B1623" s="2223" t="s">
        <v>3501</v>
      </c>
      <c r="C1623" s="2223"/>
      <c r="D1623" s="2223"/>
      <c r="E1623" s="2223"/>
      <c r="F1623" s="2223"/>
      <c r="G1623" s="2223"/>
      <c r="H1623" s="2223"/>
      <c r="I1623" s="2223"/>
      <c r="J1623" s="2223"/>
      <c r="K1623" s="2223"/>
      <c r="L1623" s="2223"/>
      <c r="M1623" s="2223"/>
      <c r="N1623" s="2223"/>
      <c r="O1623" s="2224" t="s">
        <v>2022</v>
      </c>
      <c r="P1623" s="2264" t="str">
        <f>'Part VIII-Threshold Criteria'!P383</f>
        <v>Yes</v>
      </c>
      <c r="Q1623" s="2252"/>
    </row>
    <row r="1624" spans="1:31" s="1852" customFormat="1" ht="10.5" customHeight="1">
      <c r="A1624" s="2224" t="s">
        <v>1656</v>
      </c>
      <c r="B1624" s="435" t="s">
        <v>3502</v>
      </c>
      <c r="D1624" s="435"/>
      <c r="E1624" s="435"/>
      <c r="F1624" s="435"/>
      <c r="G1624" s="435"/>
      <c r="H1624" s="435"/>
      <c r="I1624" s="435"/>
      <c r="J1624" s="435"/>
      <c r="K1624" s="435"/>
      <c r="L1624" s="435"/>
      <c r="M1624" s="435"/>
      <c r="O1624" s="2224" t="s">
        <v>1656</v>
      </c>
      <c r="P1624" s="2230" t="str">
        <f>'Part VIII-Threshold Criteria'!P384</f>
        <v>Yes</v>
      </c>
      <c r="Q1624" s="2164"/>
    </row>
    <row r="1625" spans="1:31" s="2158" customFormat="1" ht="21.75" customHeight="1">
      <c r="A1625" s="2224" t="s">
        <v>1657</v>
      </c>
      <c r="B1625" s="2223" t="s">
        <v>3503</v>
      </c>
      <c r="C1625" s="2223"/>
      <c r="D1625" s="2223"/>
      <c r="E1625" s="2223"/>
      <c r="F1625" s="2223"/>
      <c r="G1625" s="2223"/>
      <c r="H1625" s="2223"/>
      <c r="I1625" s="2223"/>
      <c r="J1625" s="2223"/>
      <c r="K1625" s="2223"/>
      <c r="L1625" s="2223"/>
      <c r="M1625" s="2223"/>
      <c r="N1625" s="2223"/>
      <c r="O1625" s="2224" t="s">
        <v>1657</v>
      </c>
      <c r="P1625" s="2264" t="str">
        <f>'Part VIII-Threshold Criteria'!P385</f>
        <v>No</v>
      </c>
      <c r="Q1625" s="2252"/>
    </row>
    <row r="1626" spans="1:31" s="2158" customFormat="1" ht="10.5" customHeight="1">
      <c r="A1626" s="2224" t="s">
        <v>1859</v>
      </c>
      <c r="B1626" s="2223" t="s">
        <v>3504</v>
      </c>
      <c r="D1626" s="2223"/>
      <c r="E1626" s="2223"/>
      <c r="F1626" s="2223"/>
      <c r="G1626" s="2223"/>
      <c r="H1626" s="2223"/>
      <c r="I1626" s="2223"/>
      <c r="J1626" s="2223"/>
      <c r="K1626" s="2223"/>
      <c r="L1626" s="2223"/>
      <c r="M1626" s="2223"/>
      <c r="N1626" s="2223"/>
      <c r="O1626" s="2224" t="s">
        <v>1859</v>
      </c>
      <c r="P1626" s="2264" t="str">
        <f>'Part VIII-Threshold Criteria'!P386</f>
        <v>Yes</v>
      </c>
      <c r="Q1626" s="2252"/>
    </row>
    <row r="1627" spans="1:31" s="2158" customFormat="1" ht="10.5" customHeight="1">
      <c r="C1627" s="2228" t="s">
        <v>7153</v>
      </c>
      <c r="E1627" s="2228"/>
      <c r="F1627" s="2228"/>
      <c r="G1627" s="2228"/>
      <c r="H1627" s="2228"/>
      <c r="I1627" s="2228"/>
      <c r="J1627" s="2228"/>
      <c r="K1627" s="2228"/>
      <c r="L1627" s="2228"/>
      <c r="M1627" s="2228"/>
      <c r="N1627" s="2228"/>
      <c r="P1627" s="2264">
        <f>'Part VIII-Threshold Criteria'!P387</f>
        <v>0</v>
      </c>
      <c r="Q1627" s="2252"/>
    </row>
    <row r="1628" spans="1:31" s="1852" customFormat="1" ht="21.75" customHeight="1">
      <c r="A1628" s="2224" t="s">
        <v>3125</v>
      </c>
      <c r="B1628" s="2223" t="s">
        <v>3505</v>
      </c>
      <c r="C1628" s="2223"/>
      <c r="D1628" s="2223"/>
      <c r="E1628" s="2223"/>
      <c r="F1628" s="2223"/>
      <c r="G1628" s="2223"/>
      <c r="H1628" s="2223"/>
      <c r="I1628" s="2223"/>
      <c r="J1628" s="2223"/>
      <c r="K1628" s="2223"/>
      <c r="L1628" s="2223"/>
      <c r="M1628" s="2223"/>
      <c r="N1628" s="2223"/>
      <c r="O1628" s="2224" t="s">
        <v>3125</v>
      </c>
      <c r="P1628" s="2264" t="str">
        <f>'Part VIII-Threshold Criteria'!P388</f>
        <v>Yes</v>
      </c>
      <c r="Q1628" s="2252"/>
    </row>
    <row r="1629" spans="1:31" s="1852" customFormat="1" ht="33" customHeight="1">
      <c r="A1629" s="2224" t="s">
        <v>586</v>
      </c>
      <c r="B1629" s="2223" t="s">
        <v>3506</v>
      </c>
      <c r="C1629" s="2223"/>
      <c r="D1629" s="2223"/>
      <c r="E1629" s="2223"/>
      <c r="F1629" s="2223"/>
      <c r="G1629" s="2223"/>
      <c r="H1629" s="2223"/>
      <c r="I1629" s="2223"/>
      <c r="J1629" s="2223"/>
      <c r="K1629" s="2223"/>
      <c r="L1629" s="2223"/>
      <c r="M1629" s="2223"/>
      <c r="N1629" s="2223"/>
      <c r="O1629" s="2224" t="s">
        <v>586</v>
      </c>
      <c r="P1629" s="2264" t="str">
        <f>'Part VIII-Threshold Criteria'!P389</f>
        <v>Yes</v>
      </c>
      <c r="Q1629" s="2252"/>
    </row>
    <row r="1630" spans="1:31" s="1852" customFormat="1" ht="10.5" customHeight="1">
      <c r="B1630" s="2170" t="s">
        <v>3373</v>
      </c>
      <c r="D1630" s="2170"/>
      <c r="E1630" s="2170"/>
      <c r="F1630" s="2170"/>
      <c r="G1630" s="2170"/>
      <c r="H1630" s="2121"/>
      <c r="I1630" s="2164"/>
      <c r="J1630" s="2164"/>
      <c r="K1630" s="2164"/>
      <c r="L1630" s="2117"/>
      <c r="M1630" s="2117"/>
      <c r="N1630" s="2117"/>
      <c r="O1630" s="2117"/>
      <c r="P1630" s="2117"/>
      <c r="Q1630" s="2117"/>
    </row>
    <row r="1631" spans="1:31" s="1852" customFormat="1" ht="31.5" customHeight="1">
      <c r="A1631" s="2226" t="str">
        <f>'Part VIII-Threshold Criteria'!A391</f>
        <v xml:space="preserve">The Entity listed above is a nonprofit corporation with no stock (shareholders) but is governed by a Board of Directors; therefore, item F was answered "No". A CHDO is not involved in the application therefore item G.1 has been left blank. NAHPA 2021 GA, Inc. is the sole General Partner of The Peaks at Turnberry, LP.  NAHPA 2021 GA, Inc. is wholly owned by National Affordable Housing Preservation Associates, Inc. a 501(c)3 nonprofit. A nonprofit opinion letter and the development agreement and with all exhibits have been included. </v>
      </c>
      <c r="B1631" s="2226"/>
      <c r="C1631" s="2226"/>
      <c r="D1631" s="2226"/>
      <c r="E1631" s="2226"/>
      <c r="F1631" s="2226"/>
      <c r="G1631" s="2226"/>
      <c r="H1631" s="2226"/>
      <c r="I1631" s="2226"/>
      <c r="J1631" s="2226"/>
      <c r="K1631" s="2226"/>
      <c r="L1631" s="2226"/>
      <c r="M1631" s="2226"/>
      <c r="N1631" s="2226"/>
      <c r="O1631" s="2226"/>
      <c r="P1631" s="2226"/>
      <c r="Q1631" s="2226"/>
      <c r="U1631" s="1719"/>
      <c r="V1631" s="1719"/>
      <c r="W1631" s="1719"/>
      <c r="X1631" s="1719"/>
      <c r="Y1631" s="1719"/>
      <c r="Z1631" s="1719"/>
      <c r="AA1631" s="1719"/>
      <c r="AB1631" s="1719"/>
      <c r="AC1631" s="1719"/>
      <c r="AD1631" s="1719"/>
      <c r="AE1631" s="1719"/>
    </row>
    <row r="1632" spans="1:31" s="1852" customFormat="1" ht="10.5" customHeight="1">
      <c r="B1632" s="2227" t="s">
        <v>1781</v>
      </c>
      <c r="C1632" s="2227"/>
      <c r="D1632" s="2228"/>
      <c r="E1632" s="2228"/>
      <c r="F1632" s="2228"/>
      <c r="G1632" s="2228"/>
      <c r="H1632" s="2228"/>
      <c r="I1632" s="2228"/>
      <c r="J1632" s="2228"/>
      <c r="K1632" s="2228"/>
      <c r="L1632" s="2228"/>
      <c r="M1632" s="2228"/>
      <c r="N1632" s="2228"/>
      <c r="O1632" s="2228"/>
      <c r="P1632" s="2228"/>
      <c r="Q1632" s="2228"/>
    </row>
    <row r="1633" spans="1:31" s="1852" customFormat="1" ht="23.25" customHeight="1">
      <c r="A1633" s="2223"/>
      <c r="B1633" s="2223"/>
      <c r="C1633" s="2223"/>
      <c r="D1633" s="2223"/>
      <c r="E1633" s="2223"/>
      <c r="F1633" s="2223"/>
      <c r="G1633" s="2223"/>
      <c r="H1633" s="2223"/>
      <c r="I1633" s="2223"/>
      <c r="J1633" s="2223"/>
      <c r="K1633" s="2223"/>
      <c r="L1633" s="2223"/>
      <c r="M1633" s="2223"/>
      <c r="N1633" s="2223"/>
      <c r="O1633" s="2223"/>
      <c r="P1633" s="2223"/>
      <c r="Q1633" s="2223"/>
    </row>
    <row r="1634" spans="1:31" s="1852" customFormat="1" ht="3" customHeight="1">
      <c r="A1634" s="2117"/>
      <c r="B1634" s="2164"/>
      <c r="C1634" s="2228"/>
      <c r="D1634" s="2228"/>
      <c r="E1634" s="2228"/>
      <c r="F1634" s="2228"/>
      <c r="G1634" s="2228"/>
      <c r="H1634" s="2228"/>
      <c r="I1634" s="2228"/>
      <c r="J1634" s="2228"/>
      <c r="K1634" s="2228"/>
      <c r="L1634" s="2228"/>
      <c r="M1634" s="2228"/>
      <c r="Q1634" s="2117"/>
    </row>
    <row r="1635" spans="1:31" s="1852" customFormat="1" ht="3" customHeight="1">
      <c r="A1635" s="2117"/>
      <c r="B1635" s="2164"/>
      <c r="C1635" s="2228"/>
      <c r="D1635" s="2228"/>
      <c r="E1635" s="2228"/>
      <c r="F1635" s="2228"/>
      <c r="G1635" s="2228"/>
      <c r="H1635" s="2228"/>
      <c r="I1635" s="2228"/>
      <c r="J1635" s="2228"/>
      <c r="K1635" s="2228"/>
      <c r="L1635" s="2228"/>
      <c r="M1635" s="2228"/>
      <c r="Q1635" s="2117"/>
    </row>
    <row r="1636" spans="1:31" s="1852" customFormat="1" ht="14.1" customHeight="1">
      <c r="A1636" s="2105" t="s">
        <v>3530</v>
      </c>
      <c r="B1636" s="1818" t="s">
        <v>2539</v>
      </c>
      <c r="C1636" s="1818"/>
      <c r="D1636" s="1818"/>
      <c r="E1636" s="1818"/>
      <c r="F1636" s="1818"/>
      <c r="G1636" s="1818"/>
      <c r="H1636" s="2228"/>
      <c r="I1636" s="2228"/>
      <c r="J1636" s="2228"/>
      <c r="N1636" s="2255" t="str">
        <f>IF('Part I-Project Information'!$H$103="yes","Applicant has applied for CHDO Setaside.","Applicant has NOT applied for CHDO Setaside.")</f>
        <v>Applicant has NOT applied for CHDO Setaside.</v>
      </c>
      <c r="O1636" s="2224" t="s">
        <v>1782</v>
      </c>
      <c r="P1636" s="1719"/>
      <c r="Q1636" s="1719"/>
    </row>
    <row r="1637" spans="1:31" s="1852" customFormat="1" ht="11.45" customHeight="1">
      <c r="A1637" s="2255" t="s">
        <v>1894</v>
      </c>
      <c r="B1637" s="435" t="s">
        <v>995</v>
      </c>
      <c r="E1637" s="2111">
        <f>'Part VIII-Threshold Criteria'!E397</f>
        <v>0</v>
      </c>
      <c r="F1637" s="2111"/>
      <c r="G1637" s="2111"/>
      <c r="H1637" s="2111"/>
      <c r="I1637" s="2111"/>
      <c r="J1637" s="435" t="s">
        <v>2527</v>
      </c>
      <c r="K1637" s="435"/>
      <c r="L1637" s="435"/>
      <c r="M1637" s="2111">
        <f>'Part VIII-Threshold Criteria'!M397</f>
        <v>0</v>
      </c>
      <c r="N1637" s="2111"/>
      <c r="O1637" s="2111"/>
      <c r="P1637" s="2111"/>
      <c r="Q1637" s="2111"/>
    </row>
    <row r="1638" spans="1:31" s="2158" customFormat="1" ht="22.5" customHeight="1">
      <c r="A1638" s="2224" t="s">
        <v>1896</v>
      </c>
      <c r="B1638" s="2223" t="s">
        <v>3203</v>
      </c>
      <c r="C1638" s="2223"/>
      <c r="D1638" s="2223"/>
      <c r="E1638" s="2223"/>
      <c r="F1638" s="2223"/>
      <c r="G1638" s="2223"/>
      <c r="H1638" s="2223"/>
      <c r="I1638" s="2223"/>
      <c r="J1638" s="2223"/>
      <c r="K1638" s="2223"/>
      <c r="L1638" s="2223"/>
      <c r="M1638" s="2223"/>
      <c r="N1638" s="2223"/>
      <c r="O1638" s="2224" t="s">
        <v>1896</v>
      </c>
      <c r="P1638" s="2264">
        <f>'Part VIII-Threshold Criteria'!P398</f>
        <v>0</v>
      </c>
      <c r="Q1638" s="2252"/>
    </row>
    <row r="1639" spans="1:31" s="1852" customFormat="1">
      <c r="A1639" s="2224" t="s">
        <v>719</v>
      </c>
      <c r="B1639" s="2112" t="s">
        <v>3332</v>
      </c>
      <c r="G1639" s="2121"/>
      <c r="H1639" s="2121"/>
      <c r="I1639" s="2121"/>
      <c r="J1639" s="2121" t="s">
        <v>3333</v>
      </c>
      <c r="L1639" s="2121"/>
      <c r="M1639" s="2297">
        <f>'Part III-Sources of Funds'!H1196</f>
        <v>0</v>
      </c>
      <c r="N1639" s="2297"/>
      <c r="O1639" s="2224" t="s">
        <v>719</v>
      </c>
      <c r="P1639" s="2230">
        <f>'Part VIII-Threshold Criteria'!P399</f>
        <v>0</v>
      </c>
      <c r="Q1639" s="2164"/>
    </row>
    <row r="1640" spans="1:31" s="1852" customFormat="1" ht="11.25" customHeight="1">
      <c r="B1640" s="2170" t="s">
        <v>3373</v>
      </c>
      <c r="D1640" s="2170"/>
      <c r="E1640" s="2170"/>
      <c r="F1640" s="2170"/>
      <c r="G1640" s="2170"/>
      <c r="H1640" s="2121"/>
      <c r="I1640" s="2164"/>
      <c r="J1640" s="2164"/>
      <c r="K1640" s="2164"/>
      <c r="L1640" s="2117"/>
      <c r="M1640" s="2117"/>
      <c r="N1640" s="2117"/>
      <c r="O1640" s="2117"/>
      <c r="P1640" s="2117"/>
      <c r="Q1640" s="2117"/>
    </row>
    <row r="1641" spans="1:31" s="1852" customFormat="1" ht="11.45" customHeight="1">
      <c r="A1641" s="2226" t="str">
        <f>'Part VIII-Threshold Criteria'!A401</f>
        <v>The applicant is not a CHDO and is not competing under the CHDO set-aside.</v>
      </c>
      <c r="B1641" s="2226"/>
      <c r="C1641" s="2226"/>
      <c r="D1641" s="2226"/>
      <c r="E1641" s="2226"/>
      <c r="F1641" s="2226"/>
      <c r="G1641" s="2226"/>
      <c r="H1641" s="2226"/>
      <c r="I1641" s="2226"/>
      <c r="J1641" s="2226"/>
      <c r="K1641" s="2226"/>
      <c r="L1641" s="2226"/>
      <c r="M1641" s="2226"/>
      <c r="N1641" s="2226"/>
      <c r="O1641" s="2226"/>
      <c r="P1641" s="2226"/>
      <c r="Q1641" s="2226"/>
      <c r="U1641" s="1719"/>
      <c r="V1641" s="1719"/>
      <c r="W1641" s="1719"/>
      <c r="X1641" s="1719"/>
      <c r="Y1641" s="1719"/>
      <c r="Z1641" s="1719"/>
      <c r="AA1641" s="1719"/>
      <c r="AB1641" s="1719"/>
      <c r="AC1641" s="1719"/>
      <c r="AD1641" s="1719"/>
      <c r="AE1641" s="1719"/>
    </row>
    <row r="1642" spans="1:31" s="1852" customFormat="1" ht="11.25" customHeight="1">
      <c r="B1642" s="2227" t="s">
        <v>1781</v>
      </c>
      <c r="C1642" s="2227"/>
      <c r="D1642" s="2228"/>
      <c r="E1642" s="2228"/>
      <c r="F1642" s="2228"/>
      <c r="G1642" s="2228"/>
      <c r="H1642" s="2228"/>
      <c r="I1642" s="2228"/>
      <c r="J1642" s="2228"/>
      <c r="K1642" s="2228"/>
      <c r="L1642" s="2228"/>
      <c r="M1642" s="2228"/>
      <c r="N1642" s="2228"/>
      <c r="O1642" s="2228"/>
      <c r="P1642" s="2228"/>
      <c r="Q1642" s="2228"/>
    </row>
    <row r="1643" spans="1:31" s="1852" customFormat="1" ht="11.45" customHeight="1">
      <c r="A1643" s="2223"/>
      <c r="B1643" s="2223"/>
      <c r="C1643" s="2223"/>
      <c r="D1643" s="2223"/>
      <c r="E1643" s="2223"/>
      <c r="F1643" s="2223"/>
      <c r="G1643" s="2223"/>
      <c r="H1643" s="2223"/>
      <c r="I1643" s="2223"/>
      <c r="J1643" s="2223"/>
      <c r="K1643" s="2223"/>
      <c r="L1643" s="2223"/>
      <c r="M1643" s="2223"/>
      <c r="N1643" s="2223"/>
      <c r="O1643" s="2223"/>
      <c r="P1643" s="2223"/>
      <c r="Q1643" s="2223"/>
    </row>
    <row r="1644" spans="1:31" s="1852" customFormat="1" ht="3.6" customHeight="1">
      <c r="A1644" s="2117"/>
      <c r="B1644" s="2164"/>
      <c r="C1644" s="2228"/>
      <c r="D1644" s="2228"/>
      <c r="E1644" s="2228"/>
      <c r="F1644" s="2228"/>
      <c r="G1644" s="2228"/>
      <c r="H1644" s="2228"/>
      <c r="I1644" s="2228"/>
      <c r="J1644" s="2228"/>
      <c r="K1644" s="2228"/>
      <c r="L1644" s="2228"/>
      <c r="M1644" s="2228"/>
      <c r="Q1644" s="2117"/>
    </row>
    <row r="1645" spans="1:31" s="1852" customFormat="1" ht="14.1" customHeight="1">
      <c r="A1645" s="2105" t="s">
        <v>3531</v>
      </c>
      <c r="B1645" s="1818" t="s">
        <v>2525</v>
      </c>
      <c r="C1645" s="1818"/>
      <c r="D1645" s="1818"/>
      <c r="E1645" s="2228"/>
      <c r="G1645" s="2223" t="s">
        <v>671</v>
      </c>
      <c r="H1645" s="2228"/>
      <c r="I1645" s="2228"/>
      <c r="J1645" s="2228"/>
      <c r="K1645" s="2228"/>
      <c r="L1645" s="2228"/>
      <c r="M1645" s="2228"/>
      <c r="O1645" s="2224" t="s">
        <v>1782</v>
      </c>
      <c r="P1645" s="1719"/>
      <c r="Q1645" s="1719"/>
    </row>
    <row r="1646" spans="1:31" s="1852" customFormat="1" ht="12" customHeight="1">
      <c r="A1646" s="2255" t="s">
        <v>1894</v>
      </c>
      <c r="B1646" s="435" t="s">
        <v>2528</v>
      </c>
      <c r="D1646" s="2223"/>
      <c r="E1646" s="2223"/>
      <c r="O1646" s="2255" t="s">
        <v>1894</v>
      </c>
      <c r="P1646" s="2230" t="str">
        <f>'Part VIII-Threshold Criteria'!P406</f>
        <v>No</v>
      </c>
      <c r="Q1646" s="2164"/>
    </row>
    <row r="1647" spans="1:31" s="1852" customFormat="1" ht="12" customHeight="1">
      <c r="A1647" s="2255" t="s">
        <v>1896</v>
      </c>
      <c r="B1647" s="435" t="s">
        <v>3264</v>
      </c>
      <c r="D1647" s="2223"/>
      <c r="E1647" s="2223"/>
      <c r="O1647" s="2255" t="s">
        <v>1896</v>
      </c>
      <c r="P1647" s="2230" t="str">
        <f>'Part VIII-Threshold Criteria'!P407</f>
        <v>No</v>
      </c>
      <c r="Q1647" s="2164"/>
    </row>
    <row r="1648" spans="1:31" s="1852" customFormat="1" ht="12" customHeight="1">
      <c r="A1648" s="2255" t="s">
        <v>719</v>
      </c>
      <c r="B1648" s="435" t="s">
        <v>4237</v>
      </c>
      <c r="D1648" s="2223"/>
      <c r="E1648" s="2223"/>
      <c r="O1648" s="2255" t="s">
        <v>719</v>
      </c>
      <c r="P1648" s="2230" t="str">
        <f>'Part VIII-Threshold Criteria'!P408</f>
        <v>Yes</v>
      </c>
      <c r="Q1648" s="2164"/>
    </row>
    <row r="1649" spans="1:31" s="1852" customFormat="1" ht="12" customHeight="1">
      <c r="A1649" s="2255" t="s">
        <v>2022</v>
      </c>
      <c r="B1649" s="435" t="s">
        <v>3265</v>
      </c>
      <c r="E1649" s="2223"/>
      <c r="O1649" s="2255" t="s">
        <v>2022</v>
      </c>
      <c r="P1649" s="2230" t="str">
        <f>'Part VIII-Threshold Criteria'!P409</f>
        <v>No</v>
      </c>
      <c r="Q1649" s="2164"/>
    </row>
    <row r="1650" spans="1:31" s="1852" customFormat="1" ht="12" customHeight="1">
      <c r="A1650" s="2255" t="s">
        <v>1656</v>
      </c>
      <c r="B1650" s="435" t="s">
        <v>1988</v>
      </c>
      <c r="E1650" s="2223"/>
      <c r="G1650" s="2255" t="s">
        <v>1656</v>
      </c>
      <c r="H1650" s="2111">
        <f>'Part VIII-Threshold Criteria'!H410</f>
        <v>0</v>
      </c>
      <c r="I1650" s="2111"/>
      <c r="J1650" s="2111"/>
      <c r="K1650" s="2111"/>
      <c r="L1650" s="2111"/>
      <c r="M1650" s="2111"/>
      <c r="N1650" s="2111"/>
      <c r="O1650" s="2111"/>
      <c r="P1650" s="2230">
        <f>'Part VIII-Threshold Criteria'!P410</f>
        <v>0</v>
      </c>
      <c r="Q1650" s="2164"/>
    </row>
    <row r="1651" spans="1:31" s="1852" customFormat="1" ht="11.25" customHeight="1">
      <c r="B1651" s="2170" t="s">
        <v>3373</v>
      </c>
      <c r="D1651" s="2170"/>
      <c r="E1651" s="2170"/>
      <c r="F1651" s="2170"/>
      <c r="G1651" s="2170"/>
      <c r="H1651" s="2121"/>
      <c r="I1651" s="2164"/>
      <c r="J1651" s="2164"/>
      <c r="K1651" s="2164"/>
      <c r="L1651" s="2117"/>
      <c r="M1651" s="2117"/>
      <c r="N1651" s="2117"/>
      <c r="O1651" s="2117"/>
      <c r="P1651" s="2117"/>
      <c r="Q1651" s="2117"/>
    </row>
    <row r="1652" spans="1:31" s="1852" customFormat="1" ht="11.45" customHeight="1">
      <c r="A1652" s="2226" t="str">
        <f>'Part VIII-Threshold Criteria'!A412</f>
        <v>A non-profit legal opinion has been included within the application backup documentation.</v>
      </c>
      <c r="B1652" s="2226"/>
      <c r="C1652" s="2226"/>
      <c r="D1652" s="2226"/>
      <c r="E1652" s="2226"/>
      <c r="F1652" s="2226"/>
      <c r="G1652" s="2226"/>
      <c r="H1652" s="2226"/>
      <c r="I1652" s="2226"/>
      <c r="J1652" s="2226"/>
      <c r="K1652" s="2226"/>
      <c r="L1652" s="2226"/>
      <c r="M1652" s="2226"/>
      <c r="N1652" s="2226"/>
      <c r="O1652" s="2226"/>
      <c r="P1652" s="2226"/>
      <c r="Q1652" s="2226"/>
      <c r="U1652" s="1719"/>
      <c r="V1652" s="1719"/>
      <c r="W1652" s="1719"/>
      <c r="X1652" s="1719"/>
      <c r="Y1652" s="1719"/>
      <c r="Z1652" s="1719"/>
      <c r="AA1652" s="1719"/>
      <c r="AB1652" s="1719"/>
      <c r="AC1652" s="1719"/>
      <c r="AD1652" s="1719"/>
      <c r="AE1652" s="1719"/>
    </row>
    <row r="1653" spans="1:31" s="1852" customFormat="1" ht="11.25" customHeight="1">
      <c r="B1653" s="2227" t="s">
        <v>1781</v>
      </c>
      <c r="C1653" s="2227"/>
      <c r="D1653" s="2228"/>
      <c r="E1653" s="2228"/>
      <c r="F1653" s="2228"/>
      <c r="G1653" s="2228"/>
      <c r="H1653" s="2228"/>
      <c r="I1653" s="2228"/>
      <c r="J1653" s="2228"/>
      <c r="K1653" s="2228"/>
      <c r="L1653" s="2228"/>
      <c r="M1653" s="2228"/>
      <c r="N1653" s="2228"/>
      <c r="O1653" s="2228"/>
      <c r="P1653" s="2228"/>
      <c r="Q1653" s="2228"/>
    </row>
    <row r="1654" spans="1:31" s="1852" customFormat="1" ht="11.45" customHeight="1">
      <c r="A1654" s="2223"/>
      <c r="B1654" s="2223"/>
      <c r="C1654" s="2223"/>
      <c r="D1654" s="2223"/>
      <c r="E1654" s="2223"/>
      <c r="F1654" s="2223"/>
      <c r="G1654" s="2223"/>
      <c r="H1654" s="2223"/>
      <c r="I1654" s="2223"/>
      <c r="J1654" s="2223"/>
      <c r="K1654" s="2223"/>
      <c r="L1654" s="2223"/>
      <c r="M1654" s="2223"/>
      <c r="N1654" s="2223"/>
      <c r="O1654" s="2223"/>
      <c r="P1654" s="2223"/>
      <c r="Q1654" s="2223"/>
    </row>
    <row r="1655" spans="1:31" s="1852" customFormat="1" ht="3" customHeight="1">
      <c r="A1655" s="2117"/>
      <c r="B1655" s="2164"/>
      <c r="C1655" s="2228"/>
      <c r="D1655" s="2228"/>
      <c r="E1655" s="2228"/>
      <c r="F1655" s="2228"/>
      <c r="G1655" s="2228"/>
      <c r="H1655" s="2228"/>
      <c r="I1655" s="2228"/>
      <c r="J1655" s="2228"/>
      <c r="K1655" s="2228"/>
      <c r="L1655" s="2228"/>
      <c r="M1655" s="2228"/>
      <c r="N1655" s="2228"/>
      <c r="O1655" s="2228"/>
      <c r="P1655" s="2228"/>
      <c r="Q1655" s="2117"/>
    </row>
    <row r="1656" spans="1:31" s="1852" customFormat="1" ht="14.1" customHeight="1">
      <c r="A1656" s="2105" t="s">
        <v>3532</v>
      </c>
      <c r="B1656" s="1818" t="s">
        <v>4139</v>
      </c>
      <c r="C1656" s="1818"/>
      <c r="D1656" s="1818"/>
      <c r="E1656" s="1818"/>
      <c r="F1656" s="1818"/>
      <c r="G1656" s="1818"/>
      <c r="H1656" s="2228"/>
      <c r="I1656" s="2228"/>
      <c r="J1656" s="2228"/>
      <c r="K1656" s="2228"/>
      <c r="L1656" s="2228"/>
      <c r="M1656" s="2228"/>
      <c r="O1656" s="2224" t="s">
        <v>1782</v>
      </c>
      <c r="P1656" s="1719"/>
      <c r="Q1656" s="1719"/>
    </row>
    <row r="1657" spans="1:31" s="1852" customFormat="1" ht="12" customHeight="1">
      <c r="B1657" s="2112" t="s">
        <v>6549</v>
      </c>
      <c r="O1657" s="2255"/>
      <c r="P1657" s="2230">
        <f>'Part VIII-Threshold Criteria'!P417</f>
        <v>0</v>
      </c>
      <c r="Q1657" s="2164"/>
    </row>
    <row r="1658" spans="1:31" s="1852" customFormat="1" ht="12" customHeight="1">
      <c r="A1658" s="2255" t="s">
        <v>1894</v>
      </c>
      <c r="B1658" s="435" t="s">
        <v>4138</v>
      </c>
      <c r="D1658" s="1818"/>
      <c r="E1658" s="1818"/>
      <c r="F1658" s="1818"/>
      <c r="G1658" s="1818"/>
      <c r="H1658" s="1818"/>
      <c r="I1658" s="1818"/>
      <c r="J1658" s="1818"/>
      <c r="K1658" s="1818"/>
      <c r="L1658" s="1818"/>
      <c r="M1658" s="1818"/>
      <c r="N1658" s="1818"/>
      <c r="O1658" s="1818"/>
      <c r="P1658" s="1818"/>
      <c r="Q1658" s="1818"/>
    </row>
    <row r="1659" spans="1:31" s="1852" customFormat="1" ht="12" customHeight="1">
      <c r="A1659" s="2255"/>
      <c r="B1659" s="2298" t="s">
        <v>1897</v>
      </c>
      <c r="C1659" s="2112" t="s">
        <v>722</v>
      </c>
      <c r="D1659" s="1818"/>
      <c r="E1659" s="1818"/>
      <c r="F1659" s="1818"/>
      <c r="G1659" s="1818"/>
      <c r="H1659" s="1818"/>
      <c r="I1659" s="1818"/>
      <c r="J1659" s="1818"/>
      <c r="K1659" s="1818"/>
      <c r="L1659" s="1818"/>
      <c r="M1659" s="1818"/>
      <c r="N1659" s="1818"/>
      <c r="O1659" s="2255">
        <v>1</v>
      </c>
      <c r="P1659" s="2230">
        <f>'Part VIII-Threshold Criteria'!P419</f>
        <v>0</v>
      </c>
      <c r="Q1659" s="2164"/>
    </row>
    <row r="1660" spans="1:31" s="1852" customFormat="1" ht="12" customHeight="1">
      <c r="B1660" s="435"/>
      <c r="C1660" s="435" t="s">
        <v>4238</v>
      </c>
      <c r="D1660" s="2112" t="s">
        <v>4239</v>
      </c>
      <c r="E1660" s="1818"/>
      <c r="F1660" s="1818"/>
      <c r="G1660" s="1818"/>
      <c r="H1660" s="1818"/>
      <c r="I1660" s="1818"/>
      <c r="J1660" s="1818"/>
      <c r="K1660" s="1818"/>
      <c r="L1660" s="1818"/>
      <c r="M1660" s="1818"/>
      <c r="N1660" s="1818"/>
      <c r="O1660" s="2255" t="s">
        <v>4238</v>
      </c>
      <c r="P1660" s="2226">
        <f>'Part VIII-Threshold Criteria'!P420</f>
        <v>0</v>
      </c>
      <c r="Q1660" s="2223"/>
    </row>
    <row r="1661" spans="1:31" s="1852" customFormat="1" ht="12" customHeight="1">
      <c r="A1661" s="2255"/>
      <c r="D1661" s="435" t="s">
        <v>1424</v>
      </c>
      <c r="E1661" s="435"/>
      <c r="F1661" s="435"/>
      <c r="G1661" s="435"/>
      <c r="H1661" s="435"/>
      <c r="I1661" s="435"/>
      <c r="J1661" s="435"/>
      <c r="K1661" s="435"/>
      <c r="L1661" s="435"/>
      <c r="M1661" s="435"/>
      <c r="N1661" s="1818"/>
      <c r="O1661" s="2207"/>
      <c r="P1661" s="2226">
        <f>'Part VIII-Threshold Criteria'!P421</f>
        <v>0</v>
      </c>
      <c r="Q1661" s="2223"/>
    </row>
    <row r="1662" spans="1:31" s="1852" customFormat="1" ht="12" customHeight="1">
      <c r="C1662" s="435" t="s">
        <v>2326</v>
      </c>
      <c r="D1662" s="435" t="s">
        <v>3204</v>
      </c>
      <c r="E1662" s="435"/>
      <c r="F1662" s="435"/>
      <c r="G1662" s="435"/>
      <c r="H1662" s="435"/>
      <c r="I1662" s="435"/>
      <c r="J1662" s="435"/>
      <c r="K1662" s="435"/>
      <c r="L1662" s="435"/>
      <c r="M1662" s="435"/>
      <c r="N1662" s="1818"/>
      <c r="O1662" s="2255" t="s">
        <v>2326</v>
      </c>
      <c r="P1662" s="2230">
        <f>'Part VIII-Threshold Criteria'!P422</f>
        <v>0</v>
      </c>
      <c r="Q1662" s="2164"/>
    </row>
    <row r="1663" spans="1:31" s="1852" customFormat="1" ht="12" customHeight="1">
      <c r="A1663" s="2255"/>
      <c r="C1663" s="435" t="s">
        <v>4142</v>
      </c>
      <c r="D1663" s="435" t="s">
        <v>3261</v>
      </c>
      <c r="E1663" s="435"/>
      <c r="F1663" s="435"/>
      <c r="G1663" s="435"/>
      <c r="H1663" s="435"/>
      <c r="I1663" s="435"/>
      <c r="J1663" s="435"/>
      <c r="K1663" s="435"/>
      <c r="L1663" s="435"/>
      <c r="M1663" s="435"/>
      <c r="N1663" s="1818"/>
      <c r="O1663" s="2255" t="s">
        <v>2327</v>
      </c>
      <c r="P1663" s="2230">
        <f>'Part VIII-Threshold Criteria'!P423</f>
        <v>0</v>
      </c>
      <c r="Q1663" s="2164"/>
    </row>
    <row r="1664" spans="1:31" s="1852" customFormat="1" ht="12" customHeight="1">
      <c r="A1664" s="2255"/>
      <c r="B1664" s="2298" t="s">
        <v>1899</v>
      </c>
      <c r="C1664" s="435" t="s">
        <v>2107</v>
      </c>
      <c r="E1664" s="435"/>
      <c r="F1664" s="435"/>
      <c r="G1664" s="435"/>
      <c r="H1664" s="435"/>
      <c r="I1664" s="435"/>
      <c r="J1664" s="435"/>
      <c r="K1664" s="435"/>
      <c r="L1664" s="435"/>
      <c r="M1664" s="435"/>
      <c r="N1664" s="435"/>
      <c r="O1664" s="2255">
        <v>2</v>
      </c>
      <c r="P1664" s="2230">
        <f>'Part VIII-Threshold Criteria'!P424</f>
        <v>0</v>
      </c>
      <c r="Q1664" s="2164"/>
    </row>
    <row r="1665" spans="1:44" s="1852" customFormat="1" ht="12" customHeight="1">
      <c r="A1665" s="2255"/>
      <c r="B1665" s="2298" t="s">
        <v>2417</v>
      </c>
      <c r="C1665" s="2223" t="s">
        <v>6404</v>
      </c>
      <c r="D1665" s="2223"/>
      <c r="E1665" s="2223"/>
      <c r="F1665" s="2223"/>
      <c r="G1665" s="435" t="s">
        <v>4143</v>
      </c>
      <c r="J1665" s="2137">
        <f>'Part VIII-Threshold Criteria'!J425</f>
        <v>0</v>
      </c>
      <c r="K1665" s="2117"/>
      <c r="M1665" s="435" t="s">
        <v>6496</v>
      </c>
      <c r="P1665" s="2137">
        <f>'Part VIII-Threshold Criteria'!P425</f>
        <v>0</v>
      </c>
      <c r="Q1665" s="2117"/>
    </row>
    <row r="1666" spans="1:44" s="1852" customFormat="1" ht="12" customHeight="1">
      <c r="A1666" s="2255"/>
      <c r="C1666" s="2223"/>
      <c r="D1666" s="2223"/>
      <c r="E1666" s="2223"/>
      <c r="F1666" s="2223"/>
      <c r="G1666" s="435" t="s">
        <v>6495</v>
      </c>
      <c r="J1666" s="2137">
        <f>'Part VIII-Threshold Criteria'!J426</f>
        <v>0</v>
      </c>
      <c r="K1666" s="2117"/>
      <c r="M1666" s="435" t="s">
        <v>6497</v>
      </c>
      <c r="P1666" s="2137">
        <f>'Part VIII-Threshold Criteria'!P426</f>
        <v>0</v>
      </c>
      <c r="Q1666" s="2117"/>
    </row>
    <row r="1667" spans="1:44" s="1852" customFormat="1" ht="8.25" customHeight="1">
      <c r="A1667" s="2255"/>
      <c r="C1667" s="2223"/>
      <c r="D1667" s="2223"/>
      <c r="E1667" s="2223"/>
      <c r="F1667" s="2223"/>
      <c r="L1667" s="2121"/>
      <c r="M1667" s="1818"/>
      <c r="N1667" s="2255"/>
    </row>
    <row r="1668" spans="1:44" s="1818" customFormat="1" ht="12.75" customHeight="1">
      <c r="A1668" s="2141"/>
      <c r="B1668" s="2115"/>
      <c r="D1668" s="2286"/>
      <c r="E1668" s="2286"/>
      <c r="F1668" s="2286"/>
      <c r="G1668" s="2286"/>
      <c r="H1668" s="2286"/>
      <c r="I1668" s="2112" t="s">
        <v>6438</v>
      </c>
      <c r="J1668" s="2112" t="s">
        <v>6439</v>
      </c>
      <c r="K1668" s="2112" t="s">
        <v>6441</v>
      </c>
      <c r="L1668" s="2112"/>
      <c r="M1668" s="2112"/>
      <c r="N1668" s="2112" t="s">
        <v>6440</v>
      </c>
      <c r="O1668" s="2255"/>
      <c r="P1668" s="2255"/>
      <c r="Q1668" s="2255"/>
      <c r="S1668" s="1976"/>
      <c r="T1668" s="1976"/>
      <c r="U1668" s="1976"/>
      <c r="V1668" s="1976"/>
      <c r="W1668" s="1976"/>
      <c r="X1668" s="1976"/>
      <c r="Y1668" s="1976"/>
      <c r="Z1668" s="1976"/>
      <c r="AA1668" s="1976"/>
      <c r="AB1668" s="1976"/>
      <c r="AC1668" s="1976"/>
      <c r="AD1668" s="1976"/>
      <c r="AE1668" s="1976"/>
      <c r="AF1668" s="1976"/>
      <c r="AG1668" s="1976"/>
      <c r="AH1668" s="1976"/>
      <c r="AI1668" s="1976"/>
      <c r="AJ1668" s="1976"/>
      <c r="AK1668" s="1976"/>
      <c r="AL1668" s="1976"/>
      <c r="AM1668" s="1976"/>
      <c r="AN1668" s="1976"/>
      <c r="AO1668" s="1976"/>
      <c r="AP1668" s="1976"/>
      <c r="AQ1668" s="1976"/>
      <c r="AR1668" s="1976"/>
    </row>
    <row r="1669" spans="1:44" s="1818" customFormat="1" ht="12.75" customHeight="1">
      <c r="A1669" s="2141"/>
      <c r="B1669" s="2115"/>
      <c r="D1669" s="2286"/>
      <c r="E1669" s="2286"/>
      <c r="F1669" s="2286"/>
      <c r="G1669" s="2286"/>
      <c r="H1669" s="2286"/>
      <c r="I1669" s="2112"/>
      <c r="J1669" s="2112"/>
      <c r="K1669" s="2112"/>
      <c r="L1669" s="2112"/>
      <c r="M1669" s="2112"/>
      <c r="N1669" s="2112"/>
      <c r="O1669" s="2255"/>
      <c r="P1669" s="2255"/>
      <c r="Q1669" s="2255"/>
      <c r="S1669" s="1976"/>
      <c r="T1669" s="1976"/>
      <c r="U1669" s="1976"/>
      <c r="V1669" s="1976"/>
      <c r="W1669" s="1976"/>
      <c r="X1669" s="1976"/>
      <c r="Y1669" s="1976"/>
      <c r="Z1669" s="1976"/>
      <c r="AA1669" s="1976"/>
      <c r="AB1669" s="1976"/>
      <c r="AC1669" s="1976"/>
      <c r="AD1669" s="1976"/>
      <c r="AE1669" s="1976"/>
      <c r="AF1669" s="1976"/>
      <c r="AG1669" s="1976"/>
      <c r="AH1669" s="1976"/>
      <c r="AI1669" s="1976"/>
      <c r="AJ1669" s="1976"/>
      <c r="AK1669" s="1976"/>
      <c r="AL1669" s="1976"/>
      <c r="AM1669" s="1976"/>
      <c r="AN1669" s="1976"/>
      <c r="AO1669" s="1976"/>
      <c r="AP1669" s="1976"/>
      <c r="AQ1669" s="1976"/>
      <c r="AR1669" s="1976"/>
    </row>
    <row r="1670" spans="1:44" s="1818" customFormat="1" ht="12.75" customHeight="1">
      <c r="A1670" s="2187"/>
      <c r="B1670" s="2228"/>
      <c r="C1670" s="2223" t="s">
        <v>6602</v>
      </c>
      <c r="D1670" s="2223"/>
      <c r="E1670" s="2223"/>
      <c r="F1670" s="2223"/>
      <c r="G1670" s="2223"/>
      <c r="H1670" s="2223"/>
      <c r="I1670" s="2010">
        <f>$K$323</f>
        <v>0</v>
      </c>
      <c r="J1670" s="2288">
        <f>'Part VIII-Threshold Criteria'!J430</f>
        <v>0</v>
      </c>
      <c r="K1670" s="2299">
        <f>'Part VIII-Threshold Criteria'!K430</f>
        <v>0</v>
      </c>
      <c r="L1670" s="2299"/>
      <c r="M1670" s="2299"/>
      <c r="N1670" s="2199">
        <f>MAX(J1670,K1670)</f>
        <v>0</v>
      </c>
      <c r="O1670" s="2255" t="s">
        <v>2329</v>
      </c>
      <c r="P1670" s="2230">
        <f>'Part VIII-Threshold Criteria'!P430</f>
        <v>0</v>
      </c>
      <c r="Q1670" s="2164"/>
      <c r="S1670" s="1976"/>
      <c r="T1670" s="1976"/>
      <c r="U1670" s="1976"/>
      <c r="V1670" s="1976"/>
      <c r="W1670" s="1976"/>
      <c r="X1670" s="1976"/>
      <c r="Y1670" s="1976"/>
      <c r="Z1670" s="1976"/>
      <c r="AA1670" s="1976"/>
      <c r="AB1670" s="1976"/>
      <c r="AC1670" s="1976"/>
      <c r="AD1670" s="1976"/>
      <c r="AE1670" s="1976"/>
      <c r="AF1670" s="1976"/>
      <c r="AG1670" s="1976"/>
      <c r="AH1670" s="1976"/>
      <c r="AI1670" s="1976"/>
      <c r="AJ1670" s="1976"/>
      <c r="AK1670" s="1976"/>
      <c r="AL1670" s="1976"/>
      <c r="AM1670" s="1976"/>
      <c r="AN1670" s="1976"/>
      <c r="AO1670" s="1976"/>
      <c r="AP1670" s="1976"/>
      <c r="AQ1670" s="1976"/>
      <c r="AR1670" s="1976"/>
    </row>
    <row r="1671" spans="1:44" s="1856" customFormat="1" ht="12.75" customHeight="1">
      <c r="A1671" s="1860"/>
      <c r="B1671" s="1858"/>
      <c r="C1671" s="2223"/>
      <c r="D1671" s="2223"/>
      <c r="E1671" s="2223"/>
      <c r="F1671" s="2223"/>
      <c r="G1671" s="2223"/>
      <c r="H1671" s="2223"/>
      <c r="I1671" s="1857"/>
      <c r="J1671" s="2300"/>
      <c r="K1671" s="2301"/>
      <c r="L1671" s="2301"/>
      <c r="M1671" s="2301"/>
      <c r="N1671" s="2199">
        <f>MAX(J1671,K1671)</f>
        <v>0</v>
      </c>
      <c r="P1671" s="1880"/>
      <c r="S1671" s="1863"/>
      <c r="T1671" s="1863"/>
      <c r="U1671" s="1863"/>
      <c r="V1671" s="1863"/>
      <c r="W1671" s="1863"/>
      <c r="X1671" s="1863"/>
      <c r="Y1671" s="1863"/>
      <c r="Z1671" s="1863"/>
      <c r="AA1671" s="1863"/>
      <c r="AB1671" s="1863"/>
      <c r="AC1671" s="1863"/>
      <c r="AD1671" s="1863"/>
      <c r="AE1671" s="1863"/>
      <c r="AF1671" s="1863"/>
      <c r="AG1671" s="1863"/>
      <c r="AH1671" s="1863"/>
      <c r="AI1671" s="1863"/>
      <c r="AJ1671" s="1863"/>
      <c r="AK1671" s="1863"/>
      <c r="AL1671" s="1863"/>
      <c r="AM1671" s="1863"/>
      <c r="AN1671" s="1863"/>
      <c r="AO1671" s="1863"/>
      <c r="AP1671" s="1863"/>
      <c r="AQ1671" s="1863"/>
      <c r="AR1671" s="1863"/>
    </row>
    <row r="1672" spans="1:44" s="1856" customFormat="1" ht="9" customHeight="1">
      <c r="A1672" s="1860"/>
      <c r="B1672" s="1858"/>
      <c r="C1672" s="2223"/>
      <c r="D1672" s="2223"/>
      <c r="E1672" s="2223"/>
      <c r="F1672" s="2223"/>
      <c r="G1672" s="2223"/>
      <c r="H1672" s="2223"/>
      <c r="I1672" s="435"/>
      <c r="J1672" s="2164"/>
      <c r="M1672" s="2286"/>
      <c r="N1672" s="2286"/>
      <c r="O1672" s="2255"/>
      <c r="S1672" s="1863"/>
      <c r="T1672" s="1863"/>
      <c r="U1672" s="1863"/>
      <c r="V1672" s="2111"/>
      <c r="W1672" s="1863"/>
      <c r="X1672" s="2111"/>
      <c r="Y1672" s="1863"/>
      <c r="Z1672" s="1888" t="str">
        <f>IF(AA1672="","",IF(AA1672&lt;AC1672,"Check!!!",""))</f>
        <v/>
      </c>
      <c r="AA1672" s="1888" t="str">
        <f t="shared" ref="AA1672:AG1672" si="381">IF(AB1672="","",IF(AB1672&lt;AD1672,"Check!!!",""))</f>
        <v/>
      </c>
      <c r="AB1672" s="1888" t="str">
        <f t="shared" si="381"/>
        <v/>
      </c>
      <c r="AC1672" s="1888" t="str">
        <f t="shared" si="381"/>
        <v/>
      </c>
      <c r="AD1672" s="1888" t="str">
        <f t="shared" si="381"/>
        <v/>
      </c>
      <c r="AE1672" s="1888" t="str">
        <f t="shared" si="381"/>
        <v/>
      </c>
      <c r="AF1672" s="1888" t="str">
        <f t="shared" si="381"/>
        <v/>
      </c>
      <c r="AG1672" s="1888" t="str">
        <f t="shared" si="381"/>
        <v/>
      </c>
      <c r="AH1672" s="1863"/>
      <c r="AI1672" s="1863"/>
      <c r="AJ1672" s="1863"/>
      <c r="AK1672" s="1863"/>
      <c r="AL1672" s="1863"/>
      <c r="AM1672" s="1863"/>
      <c r="AN1672" s="1863"/>
      <c r="AO1672" s="1863"/>
      <c r="AP1672" s="1863"/>
      <c r="AQ1672" s="1863"/>
      <c r="AR1672" s="1863"/>
    </row>
    <row r="1673" spans="1:44" s="1818" customFormat="1" ht="12.75" customHeight="1">
      <c r="A1673" s="2224"/>
      <c r="B1673" s="2228"/>
      <c r="D1673" s="2223" t="s">
        <v>6442</v>
      </c>
      <c r="E1673" s="2223"/>
      <c r="F1673" s="2223"/>
      <c r="G1673" s="2223"/>
      <c r="H1673" s="2223"/>
      <c r="I1673" s="2010" t="str">
        <f>$K$324</f>
        <v>(Enter 10-Digit phone nbrs w/out using hyphens, parentheses, etc - ex: 1234567890)</v>
      </c>
      <c r="J1673" s="2288">
        <f>'Part VIII-Threshold Criteria'!J433</f>
        <v>0</v>
      </c>
      <c r="K1673" s="2299">
        <f>'Part VIII-Threshold Criteria'!K433</f>
        <v>0</v>
      </c>
      <c r="L1673" s="2299"/>
      <c r="M1673" s="2299"/>
      <c r="N1673" s="2199">
        <f>MAX(J1673,K1673)</f>
        <v>0</v>
      </c>
      <c r="O1673" s="2255"/>
      <c r="P1673" s="2230">
        <f>'Part VIII-Threshold Criteria'!P433</f>
        <v>0</v>
      </c>
      <c r="Q1673" s="2223"/>
      <c r="S1673" s="1976"/>
      <c r="T1673" s="2226"/>
      <c r="U1673" s="2226"/>
      <c r="V1673" s="2226"/>
      <c r="W1673" s="2226"/>
      <c r="X1673" s="2226"/>
      <c r="Y1673" s="2226"/>
      <c r="Z1673" s="2226"/>
      <c r="AA1673" s="2226"/>
      <c r="AB1673" s="2226"/>
      <c r="AC1673" s="2226"/>
      <c r="AD1673" s="2226"/>
      <c r="AE1673" s="2226"/>
      <c r="AF1673" s="2226"/>
      <c r="AG1673" s="2226"/>
      <c r="AH1673" s="1976"/>
      <c r="AI1673" s="1976"/>
      <c r="AJ1673" s="1976"/>
      <c r="AK1673" s="1976"/>
      <c r="AL1673" s="1976"/>
      <c r="AM1673" s="1976"/>
      <c r="AN1673" s="1976"/>
      <c r="AO1673" s="1976"/>
      <c r="AP1673" s="1976"/>
      <c r="AQ1673" s="1976"/>
      <c r="AR1673" s="1976"/>
    </row>
    <row r="1674" spans="1:44" s="1856" customFormat="1" ht="12.75" customHeight="1">
      <c r="A1674" s="1860"/>
      <c r="B1674" s="1858"/>
      <c r="C1674" s="2223"/>
      <c r="D1674" s="2223"/>
      <c r="E1674" s="2223"/>
      <c r="F1674" s="2223"/>
      <c r="G1674" s="2223"/>
      <c r="H1674" s="2223"/>
      <c r="J1674" s="2300"/>
      <c r="K1674" s="2301"/>
      <c r="L1674" s="2301"/>
      <c r="M1674" s="2301"/>
      <c r="N1674" s="2199">
        <f>MAX(J1674,K1674)</f>
        <v>0</v>
      </c>
      <c r="O1674" s="2121"/>
      <c r="P1674" s="2121"/>
      <c r="Q1674" s="2121"/>
      <c r="S1674" s="1863"/>
      <c r="T1674" s="1863"/>
      <c r="U1674" s="1863"/>
      <c r="V1674" s="2111"/>
      <c r="W1674" s="2291"/>
      <c r="X1674" s="2111"/>
      <c r="Y1674" s="1863"/>
      <c r="Z1674" s="1888" t="str">
        <f>IF(AA1674="","",IF(AA1674&lt;AC1674,"Check!!!",""))</f>
        <v/>
      </c>
      <c r="AA1674" s="1888" t="str">
        <f t="shared" ref="AA1674:AG1674" si="382">IF(AB1674="","",IF(AB1674&lt;AD1674,"Check!!!",""))</f>
        <v/>
      </c>
      <c r="AB1674" s="1888" t="str">
        <f t="shared" si="382"/>
        <v/>
      </c>
      <c r="AC1674" s="1888" t="str">
        <f t="shared" si="382"/>
        <v/>
      </c>
      <c r="AD1674" s="1888" t="str">
        <f t="shared" si="382"/>
        <v/>
      </c>
      <c r="AE1674" s="1888" t="str">
        <f t="shared" si="382"/>
        <v/>
      </c>
      <c r="AF1674" s="1888" t="str">
        <f t="shared" si="382"/>
        <v/>
      </c>
      <c r="AG1674" s="1888" t="str">
        <f t="shared" si="382"/>
        <v/>
      </c>
      <c r="AH1674" s="1863"/>
      <c r="AI1674" s="1863"/>
      <c r="AJ1674" s="1863"/>
      <c r="AK1674" s="1863"/>
      <c r="AL1674" s="1863"/>
      <c r="AM1674" s="1863"/>
      <c r="AN1674" s="1863"/>
      <c r="AO1674" s="1863"/>
      <c r="AP1674" s="1863"/>
      <c r="AQ1674" s="1863"/>
      <c r="AR1674" s="1863"/>
    </row>
    <row r="1675" spans="1:44" s="1856" customFormat="1" ht="9" customHeight="1">
      <c r="A1675" s="1860"/>
      <c r="B1675" s="1858"/>
      <c r="C1675" s="2223"/>
      <c r="D1675" s="2223"/>
      <c r="E1675" s="2223"/>
      <c r="F1675" s="2223"/>
      <c r="G1675" s="2223"/>
      <c r="H1675" s="2223"/>
      <c r="J1675" s="1857"/>
      <c r="M1675" s="2286"/>
      <c r="N1675" s="2286"/>
      <c r="O1675" s="2121"/>
      <c r="P1675" s="2121"/>
      <c r="Q1675" s="2121"/>
      <c r="S1675" s="1863"/>
      <c r="T1675" s="1863"/>
      <c r="U1675" s="1863"/>
      <c r="V1675" s="2111"/>
      <c r="W1675" s="2291"/>
      <c r="X1675" s="2111"/>
      <c r="Y1675" s="1863"/>
      <c r="Z1675" s="1888"/>
      <c r="AA1675" s="1888"/>
      <c r="AB1675" s="1888"/>
      <c r="AC1675" s="1888"/>
      <c r="AD1675" s="1888"/>
      <c r="AE1675" s="1888"/>
      <c r="AF1675" s="1888"/>
      <c r="AG1675" s="1888"/>
      <c r="AH1675" s="1863"/>
      <c r="AI1675" s="1863"/>
      <c r="AJ1675" s="1863"/>
      <c r="AK1675" s="1863"/>
      <c r="AL1675" s="1863"/>
      <c r="AM1675" s="1863"/>
      <c r="AN1675" s="1863"/>
      <c r="AO1675" s="1863"/>
      <c r="AP1675" s="1863"/>
      <c r="AQ1675" s="1863"/>
      <c r="AR1675" s="1863"/>
    </row>
    <row r="1676" spans="1:44" s="1818" customFormat="1" ht="12.75" customHeight="1">
      <c r="A1676" s="2255"/>
      <c r="B1676" s="2121"/>
      <c r="C1676" s="2223" t="s">
        <v>6603</v>
      </c>
      <c r="D1676" s="2223"/>
      <c r="E1676" s="2223"/>
      <c r="F1676" s="2223"/>
      <c r="G1676" s="2223"/>
      <c r="H1676" s="2223"/>
      <c r="I1676" s="2010">
        <f>$K$326</f>
        <v>0</v>
      </c>
      <c r="J1676" s="2288">
        <f>'Part VIII-Threshold Criteria'!J436</f>
        <v>0</v>
      </c>
      <c r="K1676" s="2299">
        <f>'Part VIII-Threshold Criteria'!K436</f>
        <v>0</v>
      </c>
      <c r="L1676" s="2299"/>
      <c r="M1676" s="2299"/>
      <c r="N1676" s="2199">
        <f>MAX(J1676,K1676)</f>
        <v>0</v>
      </c>
      <c r="O1676" s="2255" t="s">
        <v>2345</v>
      </c>
      <c r="P1676" s="2230">
        <f>'Part VIII-Threshold Criteria'!P436</f>
        <v>0</v>
      </c>
      <c r="Q1676" s="2164"/>
      <c r="S1676" s="1976"/>
      <c r="T1676" s="2111"/>
      <c r="U1676" s="2111"/>
      <c r="V1676" s="2111"/>
      <c r="W1676" s="2111"/>
      <c r="X1676" s="2111"/>
      <c r="Y1676" s="2111"/>
      <c r="Z1676" s="2111"/>
      <c r="AA1676" s="2111"/>
      <c r="AB1676" s="2111"/>
      <c r="AC1676" s="2111"/>
      <c r="AD1676" s="2111"/>
      <c r="AE1676" s="2111"/>
      <c r="AF1676" s="2111"/>
      <c r="AG1676" s="2111"/>
      <c r="AH1676" s="1976"/>
      <c r="AI1676" s="1976"/>
      <c r="AJ1676" s="1976"/>
      <c r="AK1676" s="1976"/>
      <c r="AL1676" s="1976"/>
      <c r="AM1676" s="1976"/>
      <c r="AN1676" s="1976"/>
      <c r="AO1676" s="1976"/>
      <c r="AP1676" s="1976"/>
      <c r="AQ1676" s="1976"/>
      <c r="AR1676" s="1976"/>
    </row>
    <row r="1677" spans="1:44" s="1856" customFormat="1" ht="12.75" customHeight="1">
      <c r="A1677" s="1860"/>
      <c r="C1677" s="2223"/>
      <c r="D1677" s="2223"/>
      <c r="E1677" s="2223"/>
      <c r="F1677" s="2223"/>
      <c r="G1677" s="2223"/>
      <c r="H1677" s="2223"/>
      <c r="J1677" s="2300"/>
      <c r="K1677" s="2301"/>
      <c r="L1677" s="2301"/>
      <c r="M1677" s="2301"/>
      <c r="N1677" s="2199">
        <f>MAX(J1677,K1677)</f>
        <v>0</v>
      </c>
      <c r="O1677" s="435"/>
      <c r="P1677" s="2164"/>
      <c r="Q1677" s="435"/>
      <c r="S1677" s="1863"/>
      <c r="T1677" s="2111"/>
      <c r="U1677" s="2291"/>
      <c r="V1677" s="2111"/>
      <c r="W1677" s="2291"/>
      <c r="X1677" s="2111"/>
      <c r="Y1677" s="2111"/>
      <c r="Z1677" s="2111"/>
      <c r="AA1677" s="2111"/>
      <c r="AB1677" s="2111"/>
      <c r="AC1677" s="2111"/>
      <c r="AD1677" s="2111"/>
      <c r="AE1677" s="2111"/>
      <c r="AF1677" s="2111"/>
      <c r="AG1677" s="2111"/>
      <c r="AH1677" s="1863"/>
      <c r="AI1677" s="1863"/>
      <c r="AJ1677" s="1863"/>
      <c r="AK1677" s="1863"/>
      <c r="AL1677" s="1863"/>
      <c r="AM1677" s="1863"/>
      <c r="AN1677" s="1863"/>
      <c r="AO1677" s="1863"/>
      <c r="AP1677" s="1863"/>
      <c r="AQ1677" s="1863"/>
      <c r="AR1677" s="1863"/>
    </row>
    <row r="1678" spans="1:44" s="1856" customFormat="1" ht="3" customHeight="1">
      <c r="A1678" s="1860"/>
      <c r="C1678" s="2228"/>
      <c r="D1678" s="2228"/>
      <c r="E1678" s="2228"/>
      <c r="F1678" s="2228"/>
      <c r="G1678" s="2228"/>
      <c r="H1678" s="2228"/>
      <c r="O1678" s="2121"/>
      <c r="P1678" s="2255"/>
      <c r="S1678" s="1863"/>
      <c r="T1678" s="1863"/>
      <c r="U1678" s="1863"/>
      <c r="V1678" s="2111"/>
      <c r="W1678" s="2291"/>
      <c r="X1678" s="2111"/>
      <c r="Y1678" s="1863"/>
      <c r="Z1678" s="1888"/>
      <c r="AA1678" s="1888"/>
      <c r="AB1678" s="1888"/>
      <c r="AC1678" s="1888"/>
      <c r="AD1678" s="1888"/>
      <c r="AE1678" s="1888"/>
      <c r="AF1678" s="1888"/>
      <c r="AG1678" s="1888"/>
      <c r="AH1678" s="1863"/>
      <c r="AI1678" s="1863"/>
      <c r="AJ1678" s="1863"/>
      <c r="AK1678" s="1863"/>
      <c r="AL1678" s="1863"/>
      <c r="AM1678" s="1863"/>
      <c r="AN1678" s="1863"/>
      <c r="AO1678" s="1863"/>
      <c r="AP1678" s="1863"/>
      <c r="AQ1678" s="1863"/>
      <c r="AR1678" s="1863"/>
    </row>
    <row r="1679" spans="1:44" s="1852" customFormat="1" ht="12" customHeight="1">
      <c r="A1679" s="2255"/>
      <c r="B1679" s="2298" t="s">
        <v>1178</v>
      </c>
      <c r="C1679" s="2121" t="s">
        <v>4012</v>
      </c>
      <c r="E1679" s="2121"/>
      <c r="F1679" s="2121"/>
      <c r="G1679" s="2121"/>
      <c r="J1679" s="1818"/>
      <c r="K1679" s="2121"/>
      <c r="L1679" s="2121"/>
      <c r="M1679" s="1818"/>
      <c r="N1679" s="2255"/>
      <c r="P1679" s="2255"/>
      <c r="Q1679" s="2255"/>
    </row>
    <row r="1680" spans="1:44" s="1852" customFormat="1" ht="12" customHeight="1">
      <c r="A1680" s="2255"/>
      <c r="B1680" s="2112"/>
      <c r="C1680" s="2121" t="s">
        <v>6499</v>
      </c>
      <c r="E1680" s="2121"/>
      <c r="F1680" s="2121"/>
      <c r="L1680" s="2121"/>
      <c r="M1680" s="2121"/>
      <c r="O1680" s="2255" t="s">
        <v>2325</v>
      </c>
      <c r="P1680" s="2230" t="str">
        <f>'Part VIII-Threshold Criteria'!P440</f>
        <v>&lt;&lt;Select&gt;&gt;</v>
      </c>
      <c r="Q1680" s="2164"/>
    </row>
    <row r="1681" spans="1:31" s="1852" customFormat="1" ht="12" customHeight="1">
      <c r="A1681" s="1818"/>
      <c r="D1681" s="2112" t="s">
        <v>6500</v>
      </c>
      <c r="E1681" s="2270" t="s">
        <v>2348</v>
      </c>
      <c r="F1681" s="2112" t="s">
        <v>3427</v>
      </c>
      <c r="G1681" s="2111">
        <f>'Part VIII-Threshold Criteria'!G441</f>
        <v>0</v>
      </c>
      <c r="H1681" s="2111"/>
      <c r="I1681" s="2111"/>
      <c r="J1681" s="2111"/>
      <c r="K1681" s="2111"/>
      <c r="L1681" s="2270"/>
    </row>
    <row r="1682" spans="1:31" s="1852" customFormat="1" ht="12" customHeight="1">
      <c r="D1682" s="2112"/>
      <c r="E1682" s="2270" t="s">
        <v>4140</v>
      </c>
      <c r="F1682" s="2112" t="s">
        <v>4141</v>
      </c>
      <c r="G1682" s="2111" t="str">
        <f>'Part VIII-Threshold Criteria'!G442</f>
        <v>&lt;&lt; Select &gt;&gt;</v>
      </c>
      <c r="H1682" s="2111"/>
      <c r="I1682" s="2111"/>
      <c r="J1682" s="2112" t="s">
        <v>3967</v>
      </c>
      <c r="M1682" s="2111">
        <f>'Part VIII-Threshold Criteria'!M442</f>
        <v>0</v>
      </c>
      <c r="N1682" s="2111"/>
      <c r="O1682" s="2111"/>
      <c r="P1682" s="2111"/>
      <c r="Q1682" s="2111"/>
    </row>
    <row r="1683" spans="1:31" s="1852" customFormat="1" ht="12" customHeight="1">
      <c r="A1683" s="1818"/>
      <c r="C1683" s="2112" t="s">
        <v>6498</v>
      </c>
      <c r="E1683" s="2121"/>
      <c r="F1683" s="2121"/>
      <c r="G1683" s="2121"/>
      <c r="H1683" s="2121"/>
      <c r="I1683" s="2121"/>
      <c r="J1683" s="2121"/>
      <c r="K1683" s="2121"/>
      <c r="L1683" s="2121"/>
      <c r="M1683" s="2121"/>
      <c r="N1683" s="2121"/>
      <c r="O1683" s="2121"/>
      <c r="P1683" s="2121"/>
      <c r="Q1683" s="2121"/>
    </row>
    <row r="1684" spans="1:31" s="1852" customFormat="1" ht="44.45" customHeight="1">
      <c r="B1684" s="1951" t="str">
        <f>'Part VIII-Threshold Criteria'!B444</f>
        <v>N/A</v>
      </c>
      <c r="C1684" s="1951"/>
      <c r="D1684" s="1951"/>
      <c r="E1684" s="1951"/>
      <c r="F1684" s="1951"/>
      <c r="G1684" s="1951"/>
      <c r="H1684" s="1951"/>
      <c r="I1684" s="1951"/>
      <c r="J1684" s="1951"/>
      <c r="K1684" s="1951"/>
      <c r="L1684" s="1951"/>
      <c r="M1684" s="1951"/>
      <c r="N1684" s="1951"/>
      <c r="O1684" s="1951"/>
      <c r="P1684" s="1951"/>
      <c r="Q1684" s="1951"/>
      <c r="R1684" s="1855" t="s">
        <v>3963</v>
      </c>
      <c r="U1684" s="1719"/>
      <c r="V1684" s="1719"/>
      <c r="W1684" s="1719"/>
      <c r="X1684" s="1719"/>
      <c r="Y1684" s="1719"/>
      <c r="Z1684" s="1719"/>
      <c r="AA1684" s="1719"/>
      <c r="AB1684" s="1719"/>
      <c r="AC1684" s="1719"/>
      <c r="AD1684" s="1719"/>
      <c r="AE1684" s="1719"/>
    </row>
    <row r="1685" spans="1:31" s="1852" customFormat="1" ht="3" customHeight="1">
      <c r="A1685" s="2112"/>
      <c r="B1685" s="2112"/>
      <c r="C1685" s="2112"/>
      <c r="D1685" s="2112"/>
      <c r="E1685" s="2112"/>
      <c r="F1685" s="2112"/>
      <c r="G1685" s="2112"/>
      <c r="H1685" s="2112"/>
      <c r="I1685" s="2112"/>
      <c r="J1685" s="2112"/>
      <c r="K1685" s="2112"/>
      <c r="L1685" s="2112"/>
      <c r="M1685" s="2112"/>
      <c r="N1685" s="2112"/>
      <c r="O1685" s="2112"/>
      <c r="P1685" s="2112"/>
      <c r="Q1685" s="2112"/>
    </row>
    <row r="1686" spans="1:31" s="1852" customFormat="1" ht="12.75" customHeight="1">
      <c r="A1686" s="2224" t="s">
        <v>1896</v>
      </c>
      <c r="B1686" s="2223" t="s">
        <v>4240</v>
      </c>
      <c r="C1686" s="2223"/>
      <c r="D1686" s="2223"/>
      <c r="E1686" s="2223"/>
      <c r="F1686" s="2223"/>
      <c r="G1686" s="2223"/>
      <c r="H1686" s="2223"/>
      <c r="I1686" s="2223"/>
      <c r="J1686" s="2223"/>
      <c r="K1686" s="2223"/>
      <c r="L1686" s="2223"/>
      <c r="M1686" s="2223"/>
      <c r="N1686" s="2223"/>
    </row>
    <row r="1687" spans="1:31" s="1852" customFormat="1" ht="12" customHeight="1">
      <c r="A1687" s="2224"/>
      <c r="B1687" s="2228" t="s">
        <v>4144</v>
      </c>
      <c r="C1687" s="2228"/>
      <c r="D1687" s="2228"/>
      <c r="E1687" s="2228"/>
      <c r="F1687" s="2228"/>
      <c r="G1687" s="2228"/>
      <c r="H1687" s="2228"/>
      <c r="I1687" s="2228"/>
      <c r="J1687" s="2228"/>
      <c r="K1687" s="2228"/>
      <c r="L1687" s="2228"/>
      <c r="M1687" s="2228"/>
      <c r="N1687" s="2228"/>
    </row>
    <row r="1688" spans="1:31" s="1852" customFormat="1" ht="48" customHeight="1">
      <c r="B1688" s="2223" t="s">
        <v>7154</v>
      </c>
      <c r="C1688" s="2223"/>
      <c r="D1688" s="2223"/>
      <c r="E1688" s="2223"/>
      <c r="F1688" s="2223"/>
      <c r="G1688" s="2223"/>
      <c r="H1688" s="2223"/>
      <c r="I1688" s="2223"/>
      <c r="J1688" s="2223"/>
      <c r="K1688" s="2223"/>
      <c r="L1688" s="2223"/>
      <c r="M1688" s="2223"/>
      <c r="N1688" s="2223"/>
      <c r="O1688" s="2224" t="s">
        <v>1896</v>
      </c>
      <c r="P1688" s="2264">
        <f>'Part VIII-Threshold Criteria'!P448</f>
        <v>0</v>
      </c>
      <c r="Q1688" s="2252"/>
    </row>
    <row r="1689" spans="1:31" s="1852" customFormat="1" ht="12" customHeight="1">
      <c r="B1689" s="2170" t="s">
        <v>3373</v>
      </c>
      <c r="D1689" s="2170"/>
      <c r="E1689" s="2170"/>
      <c r="F1689" s="2170"/>
      <c r="G1689" s="2170"/>
      <c r="H1689" s="2121"/>
      <c r="I1689" s="2164"/>
      <c r="J1689" s="2164"/>
      <c r="K1689" s="2164"/>
    </row>
    <row r="1690" spans="1:31" s="1852" customFormat="1" ht="33.6" customHeight="1">
      <c r="A1690" s="2226" t="str">
        <f>'Part VIII-Threshold Criteria'!A450</f>
        <v>The proposed site is currently vacant; therefore, relocation will not be necessary.</v>
      </c>
      <c r="B1690" s="2226"/>
      <c r="C1690" s="2226"/>
      <c r="D1690" s="2226"/>
      <c r="E1690" s="2226"/>
      <c r="F1690" s="2226"/>
      <c r="G1690" s="2226"/>
      <c r="H1690" s="2226"/>
      <c r="I1690" s="2226"/>
      <c r="J1690" s="2226"/>
      <c r="K1690" s="2226"/>
      <c r="L1690" s="2226"/>
      <c r="M1690" s="2226"/>
      <c r="N1690" s="2226"/>
      <c r="O1690" s="2226"/>
      <c r="P1690" s="2226"/>
      <c r="Q1690" s="2226"/>
      <c r="U1690" s="1719"/>
      <c r="V1690" s="1719"/>
      <c r="W1690" s="1719"/>
      <c r="X1690" s="1719"/>
      <c r="Y1690" s="1719"/>
      <c r="Z1690" s="1719"/>
      <c r="AA1690" s="1719"/>
      <c r="AB1690" s="1719"/>
      <c r="AC1690" s="1719"/>
      <c r="AD1690" s="1719"/>
      <c r="AE1690" s="1719"/>
    </row>
    <row r="1691" spans="1:31" s="1852" customFormat="1" ht="12" customHeight="1">
      <c r="B1691" s="2227" t="s">
        <v>1781</v>
      </c>
      <c r="C1691" s="2227"/>
      <c r="D1691" s="2228"/>
      <c r="E1691" s="2228"/>
      <c r="F1691" s="2228"/>
      <c r="G1691" s="2228"/>
      <c r="H1691" s="2228"/>
      <c r="I1691" s="2228"/>
      <c r="J1691" s="2228"/>
      <c r="K1691" s="2228"/>
      <c r="L1691" s="2228"/>
      <c r="M1691" s="2228"/>
      <c r="N1691" s="2228"/>
      <c r="O1691" s="2228"/>
      <c r="P1691" s="2228"/>
      <c r="Q1691" s="2228"/>
    </row>
    <row r="1692" spans="1:31" s="1852" customFormat="1" ht="33.6" customHeight="1">
      <c r="A1692" s="2223"/>
      <c r="B1692" s="2223"/>
      <c r="C1692" s="2223"/>
      <c r="D1692" s="2223"/>
      <c r="E1692" s="2223"/>
      <c r="F1692" s="2223"/>
      <c r="G1692" s="2223"/>
      <c r="H1692" s="2223"/>
      <c r="I1692" s="2223"/>
      <c r="J1692" s="2223"/>
      <c r="K1692" s="2223"/>
      <c r="L1692" s="2223"/>
      <c r="M1692" s="2223"/>
      <c r="N1692" s="2223"/>
      <c r="O1692" s="2223"/>
      <c r="P1692" s="2223"/>
      <c r="Q1692" s="2223"/>
    </row>
    <row r="1693" spans="1:31" s="1852" customFormat="1" ht="3" customHeight="1">
      <c r="A1693" s="2117"/>
      <c r="B1693" s="2164"/>
      <c r="C1693" s="2228"/>
      <c r="D1693" s="2228"/>
      <c r="E1693" s="2228"/>
      <c r="F1693" s="2228"/>
      <c r="G1693" s="2228"/>
      <c r="H1693" s="2228"/>
      <c r="I1693" s="2228"/>
      <c r="J1693" s="2228"/>
      <c r="K1693" s="2228"/>
      <c r="L1693" s="2228"/>
      <c r="M1693" s="2228"/>
      <c r="Q1693" s="2117"/>
    </row>
    <row r="1694" spans="1:31" s="1852" customFormat="1" ht="14.1" customHeight="1">
      <c r="A1694" s="2105" t="s">
        <v>3533</v>
      </c>
      <c r="B1694" s="1818" t="s">
        <v>2620</v>
      </c>
      <c r="C1694" s="1818"/>
      <c r="D1694" s="435"/>
      <c r="E1694" s="2228"/>
      <c r="F1694" s="2228"/>
      <c r="G1694" s="2228"/>
      <c r="H1694" s="2228"/>
      <c r="O1694" s="2224" t="s">
        <v>1782</v>
      </c>
      <c r="P1694" s="1719"/>
      <c r="Q1694" s="1719"/>
    </row>
    <row r="1695" spans="1:31" s="1852" customFormat="1" ht="14.1" customHeight="1">
      <c r="B1695" s="435" t="s">
        <v>4084</v>
      </c>
      <c r="C1695" s="1818"/>
      <c r="D1695" s="435"/>
      <c r="E1695" s="2228"/>
      <c r="F1695" s="2228"/>
      <c r="G1695" s="2228"/>
      <c r="H1695" s="2228"/>
    </row>
    <row r="1696" spans="1:31" s="2158" customFormat="1" ht="21.75" customHeight="1">
      <c r="A1696" s="2224" t="s">
        <v>1894</v>
      </c>
      <c r="B1696" s="2223" t="s">
        <v>3457</v>
      </c>
      <c r="C1696" s="2223"/>
      <c r="D1696" s="2223"/>
      <c r="E1696" s="2223"/>
      <c r="F1696" s="2223"/>
      <c r="G1696" s="2223"/>
      <c r="H1696" s="2223"/>
      <c r="I1696" s="2223"/>
      <c r="J1696" s="2223"/>
      <c r="K1696" s="2223"/>
      <c r="L1696" s="2223"/>
      <c r="M1696" s="2223"/>
      <c r="N1696" s="2223"/>
      <c r="O1696" s="2224" t="s">
        <v>1894</v>
      </c>
      <c r="P1696" s="2264" t="str">
        <f>'Part VIII-Threshold Criteria'!P456</f>
        <v>Agree</v>
      </c>
      <c r="Q1696" s="2252"/>
    </row>
    <row r="1697" spans="1:31" s="2158" customFormat="1" ht="22.5" customHeight="1">
      <c r="A1697" s="2224" t="s">
        <v>1896</v>
      </c>
      <c r="B1697" s="2223" t="s">
        <v>3456</v>
      </c>
      <c r="C1697" s="2223"/>
      <c r="D1697" s="2223"/>
      <c r="E1697" s="2223"/>
      <c r="F1697" s="2223"/>
      <c r="G1697" s="2223"/>
      <c r="H1697" s="2223"/>
      <c r="I1697" s="2223"/>
      <c r="J1697" s="2223"/>
      <c r="K1697" s="2223"/>
      <c r="L1697" s="2223"/>
      <c r="M1697" s="2223"/>
      <c r="N1697" s="2223"/>
      <c r="O1697" s="2224" t="s">
        <v>1896</v>
      </c>
      <c r="P1697" s="2264" t="str">
        <f>'Part VIII-Threshold Criteria'!P457</f>
        <v>Agree</v>
      </c>
      <c r="Q1697" s="2252"/>
    </row>
    <row r="1698" spans="1:31" s="2158" customFormat="1" ht="22.5" customHeight="1">
      <c r="B1698" s="2228" t="s">
        <v>1658</v>
      </c>
      <c r="C1698" s="2223" t="s">
        <v>4050</v>
      </c>
      <c r="D1698" s="2223"/>
      <c r="E1698" s="2223"/>
      <c r="F1698" s="2223"/>
      <c r="G1698" s="2223"/>
      <c r="H1698" s="2223"/>
      <c r="I1698" s="2223"/>
      <c r="J1698" s="2223"/>
      <c r="K1698" s="2223"/>
      <c r="L1698" s="2223"/>
      <c r="M1698" s="2223"/>
      <c r="N1698" s="2223"/>
      <c r="O1698" s="2224" t="s">
        <v>1658</v>
      </c>
      <c r="P1698" s="2264" t="str">
        <f>'Part VIII-Threshold Criteria'!P458</f>
        <v>Agree</v>
      </c>
      <c r="Q1698" s="2252"/>
    </row>
    <row r="1699" spans="1:31" s="1818" customFormat="1" ht="12" customHeight="1">
      <c r="B1699" s="2228" t="s">
        <v>1659</v>
      </c>
      <c r="C1699" s="435" t="s">
        <v>4051</v>
      </c>
      <c r="D1699" s="435"/>
      <c r="E1699" s="435"/>
      <c r="F1699" s="435"/>
      <c r="G1699" s="435"/>
      <c r="H1699" s="435"/>
      <c r="I1699" s="435"/>
      <c r="J1699" s="435"/>
      <c r="K1699" s="435"/>
      <c r="L1699" s="435"/>
      <c r="M1699" s="435"/>
      <c r="N1699" s="435"/>
      <c r="O1699" s="2255" t="s">
        <v>1659</v>
      </c>
      <c r="P1699" s="2230" t="str">
        <f>'Part VIII-Threshold Criteria'!P459</f>
        <v>Agree</v>
      </c>
      <c r="Q1699" s="2164"/>
    </row>
    <row r="1700" spans="1:31" s="2158" customFormat="1" ht="33" customHeight="1">
      <c r="B1700" s="2228" t="s">
        <v>1660</v>
      </c>
      <c r="C1700" s="2223" t="s">
        <v>4052</v>
      </c>
      <c r="D1700" s="2223"/>
      <c r="E1700" s="2223"/>
      <c r="F1700" s="2223"/>
      <c r="G1700" s="2223"/>
      <c r="H1700" s="2223"/>
      <c r="I1700" s="2223"/>
      <c r="J1700" s="2223"/>
      <c r="K1700" s="2223"/>
      <c r="L1700" s="2223"/>
      <c r="M1700" s="2223"/>
      <c r="N1700" s="2223"/>
      <c r="O1700" s="2224" t="s">
        <v>1660</v>
      </c>
      <c r="P1700" s="2264" t="str">
        <f>'Part VIII-Threshold Criteria'!P460</f>
        <v>Agree</v>
      </c>
      <c r="Q1700" s="2252"/>
    </row>
    <row r="1701" spans="1:31" s="2158" customFormat="1" ht="22.5" customHeight="1">
      <c r="B1701" s="2228" t="s">
        <v>2261</v>
      </c>
      <c r="C1701" s="2223" t="s">
        <v>4053</v>
      </c>
      <c r="D1701" s="2223"/>
      <c r="E1701" s="2223"/>
      <c r="F1701" s="2223"/>
      <c r="G1701" s="2223"/>
      <c r="H1701" s="2223"/>
      <c r="I1701" s="2223"/>
      <c r="J1701" s="2223"/>
      <c r="K1701" s="2223"/>
      <c r="L1701" s="2223"/>
      <c r="M1701" s="2223"/>
      <c r="N1701" s="2223"/>
      <c r="O1701" s="2224" t="s">
        <v>2261</v>
      </c>
      <c r="P1701" s="2264" t="str">
        <f>'Part VIII-Threshold Criteria'!P461</f>
        <v>Agree</v>
      </c>
      <c r="Q1701" s="2252"/>
    </row>
    <row r="1702" spans="1:31" s="2158" customFormat="1" ht="22.5" customHeight="1">
      <c r="A1702" s="2224" t="s">
        <v>719</v>
      </c>
      <c r="B1702" s="2223" t="s">
        <v>3458</v>
      </c>
      <c r="C1702" s="2223"/>
      <c r="D1702" s="2223"/>
      <c r="E1702" s="2223"/>
      <c r="F1702" s="2223"/>
      <c r="G1702" s="2223"/>
      <c r="H1702" s="2223"/>
      <c r="I1702" s="2223"/>
      <c r="J1702" s="2223"/>
      <c r="K1702" s="2223"/>
      <c r="L1702" s="2223"/>
      <c r="M1702" s="2223"/>
      <c r="N1702" s="2223"/>
      <c r="O1702" s="2224" t="s">
        <v>719</v>
      </c>
      <c r="P1702" s="2264" t="str">
        <f>'Part VIII-Threshold Criteria'!P462</f>
        <v>Agree</v>
      </c>
      <c r="Q1702" s="2252"/>
    </row>
    <row r="1703" spans="1:31" s="2158" customFormat="1" ht="22.5" customHeight="1">
      <c r="A1703" s="2224" t="s">
        <v>2022</v>
      </c>
      <c r="B1703" s="2223" t="s">
        <v>4111</v>
      </c>
      <c r="C1703" s="2223"/>
      <c r="D1703" s="2223"/>
      <c r="E1703" s="2223"/>
      <c r="F1703" s="2223"/>
      <c r="G1703" s="2223"/>
      <c r="H1703" s="2223"/>
      <c r="I1703" s="2223"/>
      <c r="J1703" s="2223"/>
      <c r="K1703" s="2223"/>
      <c r="L1703" s="2223"/>
      <c r="M1703" s="2223"/>
      <c r="N1703" s="2223"/>
      <c r="O1703" s="2224" t="s">
        <v>2022</v>
      </c>
      <c r="P1703" s="2264" t="str">
        <f>'Part VIII-Threshold Criteria'!P463</f>
        <v>Agree</v>
      </c>
      <c r="Q1703" s="2252"/>
    </row>
    <row r="1704" spans="1:31" s="2158" customFormat="1" ht="21.75" customHeight="1">
      <c r="A1704" s="2224" t="s">
        <v>1656</v>
      </c>
      <c r="B1704" s="2223" t="s">
        <v>4112</v>
      </c>
      <c r="C1704" s="2223"/>
      <c r="D1704" s="2223"/>
      <c r="E1704" s="2223"/>
      <c r="F1704" s="2223"/>
      <c r="G1704" s="2223"/>
      <c r="H1704" s="2223"/>
      <c r="I1704" s="2223"/>
      <c r="J1704" s="2223"/>
      <c r="K1704" s="2223"/>
      <c r="L1704" s="2223"/>
      <c r="M1704" s="2223"/>
      <c r="N1704" s="2223"/>
      <c r="O1704" s="2224" t="s">
        <v>1656</v>
      </c>
      <c r="P1704" s="2264" t="str">
        <f>'Part VIII-Threshold Criteria'!P464</f>
        <v>Agree</v>
      </c>
      <c r="Q1704" s="2252"/>
    </row>
    <row r="1705" spans="1:31" s="2158" customFormat="1" ht="21.75" customHeight="1">
      <c r="A1705" s="2224" t="s">
        <v>1657</v>
      </c>
      <c r="B1705" s="2223" t="s">
        <v>4155</v>
      </c>
      <c r="C1705" s="2223"/>
      <c r="D1705" s="2223"/>
      <c r="E1705" s="2223"/>
      <c r="F1705" s="2223"/>
      <c r="G1705" s="2223"/>
      <c r="H1705" s="2223"/>
      <c r="I1705" s="2223"/>
      <c r="J1705" s="2223"/>
      <c r="K1705" s="2223"/>
      <c r="L1705" s="2223"/>
      <c r="M1705" s="2223"/>
      <c r="N1705" s="2223"/>
      <c r="O1705" s="2224" t="s">
        <v>1657</v>
      </c>
      <c r="P1705" s="2264" t="str">
        <f>'Part VIII-Threshold Criteria'!P465</f>
        <v>Agree</v>
      </c>
      <c r="Q1705" s="2252"/>
    </row>
    <row r="1706" spans="1:31" s="1852" customFormat="1" ht="11.25" customHeight="1">
      <c r="B1706" s="2170" t="s">
        <v>3373</v>
      </c>
      <c r="D1706" s="2170"/>
      <c r="E1706" s="2170"/>
      <c r="F1706" s="2170"/>
      <c r="G1706" s="2170"/>
      <c r="H1706" s="2121"/>
      <c r="I1706" s="2164"/>
      <c r="J1706" s="2164"/>
      <c r="K1706" s="2164"/>
      <c r="L1706" s="2117"/>
      <c r="M1706" s="2117"/>
      <c r="N1706" s="2117"/>
      <c r="O1706" s="2117"/>
      <c r="P1706" s="2117"/>
      <c r="Q1706" s="2117"/>
    </row>
    <row r="1707" spans="1:31" s="1852" customFormat="1" ht="12.75" customHeight="1">
      <c r="A1707" s="2226" t="str">
        <f>'Part VIII-Threshold Criteria'!A467</f>
        <v xml:space="preserve">If selected the applicant agrees to adhere to the AFFH Marketing plan that meets all of the above criteria and strategies.  </v>
      </c>
      <c r="B1707" s="2226"/>
      <c r="C1707" s="2226"/>
      <c r="D1707" s="2226"/>
      <c r="E1707" s="2226"/>
      <c r="F1707" s="2226"/>
      <c r="G1707" s="2226"/>
      <c r="H1707" s="2226"/>
      <c r="I1707" s="2226"/>
      <c r="J1707" s="2226"/>
      <c r="K1707" s="2226"/>
      <c r="L1707" s="2226"/>
      <c r="M1707" s="2226"/>
      <c r="N1707" s="2226"/>
      <c r="O1707" s="2226"/>
      <c r="P1707" s="2226"/>
      <c r="Q1707" s="2226"/>
      <c r="R1707" s="1855" t="s">
        <v>1208</v>
      </c>
      <c r="S1707" s="1855"/>
      <c r="U1707" s="1719"/>
      <c r="V1707" s="1719"/>
      <c r="W1707" s="1719"/>
      <c r="X1707" s="1719"/>
      <c r="Y1707" s="1719"/>
      <c r="Z1707" s="1719"/>
      <c r="AA1707" s="1719"/>
      <c r="AB1707" s="1719"/>
      <c r="AC1707" s="1719"/>
      <c r="AD1707" s="1719"/>
      <c r="AE1707" s="1719"/>
    </row>
    <row r="1708" spans="1:31" s="1852" customFormat="1" ht="11.25" customHeight="1">
      <c r="B1708" s="2227" t="s">
        <v>1781</v>
      </c>
      <c r="C1708" s="2227"/>
      <c r="D1708" s="2228"/>
      <c r="E1708" s="2228"/>
      <c r="F1708" s="2228"/>
      <c r="G1708" s="2228"/>
      <c r="H1708" s="2228"/>
      <c r="I1708" s="2228"/>
      <c r="J1708" s="2228"/>
      <c r="K1708" s="2228"/>
      <c r="L1708" s="2228"/>
      <c r="M1708" s="2228"/>
      <c r="N1708" s="2228"/>
      <c r="O1708" s="2228"/>
      <c r="P1708" s="2228"/>
      <c r="Q1708" s="2228"/>
    </row>
    <row r="1709" spans="1:31" s="1852" customFormat="1" ht="12.75" customHeight="1">
      <c r="A1709" s="2223"/>
      <c r="B1709" s="2223"/>
      <c r="C1709" s="2223"/>
      <c r="D1709" s="2223"/>
      <c r="E1709" s="2223"/>
      <c r="F1709" s="2223"/>
      <c r="G1709" s="2223"/>
      <c r="H1709" s="2223"/>
      <c r="I1709" s="2223"/>
      <c r="J1709" s="2223"/>
      <c r="K1709" s="2223"/>
      <c r="L1709" s="2223"/>
      <c r="M1709" s="2223"/>
      <c r="N1709" s="2223"/>
      <c r="O1709" s="2223"/>
      <c r="P1709" s="2223"/>
      <c r="Q1709" s="2223"/>
    </row>
    <row r="1710" spans="1:31" s="1852" customFormat="1" ht="3" customHeight="1">
      <c r="A1710" s="2117"/>
      <c r="B1710" s="2164"/>
      <c r="C1710" s="2228"/>
      <c r="D1710" s="2228"/>
      <c r="E1710" s="2228"/>
      <c r="F1710" s="2228"/>
      <c r="G1710" s="2228"/>
      <c r="H1710" s="2228"/>
      <c r="I1710" s="2228"/>
      <c r="J1710" s="2228"/>
      <c r="K1710" s="2228"/>
      <c r="L1710" s="2228"/>
      <c r="M1710" s="2228"/>
      <c r="Q1710" s="2117"/>
    </row>
    <row r="1711" spans="1:31" s="1852" customFormat="1" ht="14.1" customHeight="1">
      <c r="A1711" s="2105" t="s">
        <v>3968</v>
      </c>
      <c r="B1711" s="1818"/>
      <c r="C1711" s="1818" t="s">
        <v>2526</v>
      </c>
      <c r="D1711" s="435"/>
      <c r="E1711" s="2228"/>
      <c r="F1711" s="2228"/>
      <c r="G1711" s="2228"/>
      <c r="H1711" s="2228"/>
      <c r="J1711" s="2228"/>
      <c r="K1711" s="2228"/>
      <c r="L1711" s="2228"/>
      <c r="M1711" s="2228"/>
      <c r="O1711" s="2224" t="s">
        <v>1782</v>
      </c>
      <c r="P1711" s="1719"/>
      <c r="Q1711" s="1719"/>
    </row>
    <row r="1712" spans="1:31" s="1852" customFormat="1" ht="11.25" customHeight="1">
      <c r="A1712" s="2105"/>
      <c r="B1712" s="2170" t="s">
        <v>3373</v>
      </c>
      <c r="D1712" s="2170"/>
      <c r="E1712" s="2170"/>
      <c r="F1712" s="2170"/>
      <c r="G1712" s="2170"/>
      <c r="H1712" s="2121"/>
      <c r="I1712" s="2164"/>
      <c r="J1712" s="2164"/>
      <c r="K1712" s="2164"/>
      <c r="L1712" s="2117"/>
      <c r="M1712" s="2117"/>
      <c r="N1712" s="2117"/>
      <c r="O1712" s="2117"/>
      <c r="P1712" s="2117"/>
      <c r="Q1712" s="2117"/>
    </row>
    <row r="1713" spans="1:31" s="1852" customFormat="1" ht="12" customHeight="1">
      <c r="A1713" s="2226" t="str">
        <f>'Part VIII-Threshold Criteria'!A473</f>
        <v>Funding of this development will not result in a waste of DCA resources. Additionally, it should be noted that none of the Project Team members have made conditional promises or financial commitments to the Local Government in order to obtain support.</v>
      </c>
      <c r="B1713" s="2226"/>
      <c r="C1713" s="2226"/>
      <c r="D1713" s="2226"/>
      <c r="E1713" s="2226"/>
      <c r="F1713" s="2226"/>
      <c r="G1713" s="2226"/>
      <c r="H1713" s="2226"/>
      <c r="I1713" s="2226"/>
      <c r="J1713" s="2226"/>
      <c r="K1713" s="2226"/>
      <c r="L1713" s="2226"/>
      <c r="M1713" s="2226"/>
      <c r="N1713" s="2226"/>
      <c r="O1713" s="2226"/>
      <c r="P1713" s="2226"/>
      <c r="Q1713" s="2226"/>
      <c r="R1713" s="1855" t="s">
        <v>1208</v>
      </c>
      <c r="S1713" s="1855"/>
      <c r="U1713" s="1719"/>
      <c r="V1713" s="1719"/>
      <c r="W1713" s="1719"/>
      <c r="X1713" s="1719"/>
      <c r="Y1713" s="1719"/>
      <c r="Z1713" s="1719"/>
      <c r="AA1713" s="1719"/>
      <c r="AB1713" s="1719"/>
      <c r="AC1713" s="1719"/>
      <c r="AD1713" s="1719"/>
      <c r="AE1713" s="1719"/>
    </row>
    <row r="1714" spans="1:31" s="1852" customFormat="1" ht="11.25" customHeight="1">
      <c r="B1714" s="2227" t="s">
        <v>1781</v>
      </c>
      <c r="C1714" s="2227"/>
      <c r="D1714" s="2228"/>
      <c r="E1714" s="2228"/>
      <c r="F1714" s="2228"/>
      <c r="G1714" s="2228"/>
      <c r="H1714" s="2228"/>
      <c r="I1714" s="2228"/>
      <c r="J1714" s="2228"/>
      <c r="K1714" s="2228"/>
      <c r="L1714" s="2228"/>
      <c r="M1714" s="2228"/>
      <c r="N1714" s="2228"/>
      <c r="O1714" s="2228"/>
      <c r="P1714" s="2228"/>
      <c r="Q1714" s="2228"/>
    </row>
    <row r="1715" spans="1:31" s="1852" customFormat="1" ht="12" customHeight="1">
      <c r="A1715" s="2223"/>
      <c r="B1715" s="2223"/>
      <c r="C1715" s="2223"/>
      <c r="D1715" s="2223"/>
      <c r="E1715" s="2223"/>
      <c r="F1715" s="2223"/>
      <c r="G1715" s="2223"/>
      <c r="H1715" s="2223"/>
      <c r="I1715" s="2223"/>
      <c r="J1715" s="2223"/>
      <c r="K1715" s="2223"/>
      <c r="L1715" s="2223"/>
      <c r="M1715" s="2223"/>
      <c r="N1715" s="2223"/>
      <c r="O1715" s="2223"/>
      <c r="P1715" s="2223"/>
      <c r="Q1715" s="2223"/>
    </row>
    <row r="1720" spans="1:31" s="1852" customFormat="1" ht="14.1" customHeight="1">
      <c r="A1720" s="1818" t="str">
        <f>CONCATENATE("PART NINE - SCORING CRITERIA","  -  ",'Part I-Project Information'!$O$7," ",'Part I-Project Information'!$F$35,", ",'Part I-Project Information'!F1710,", ",'Part I-Project Information'!J1711," County")</f>
        <v>PART NINE - SCORING CRITERIA  -  2021-015 The Peaks at Turnberry, ,  County</v>
      </c>
      <c r="B1720" s="1818"/>
      <c r="C1720" s="1818"/>
      <c r="D1720" s="1818"/>
      <c r="E1720" s="1818"/>
      <c r="F1720" s="1818"/>
      <c r="G1720" s="1818"/>
      <c r="H1720" s="1818"/>
      <c r="I1720" s="1818"/>
      <c r="J1720" s="1818"/>
      <c r="K1720" s="1818"/>
      <c r="L1720" s="1818"/>
      <c r="M1720" s="1818"/>
      <c r="N1720" s="1818"/>
      <c r="O1720" s="1818"/>
      <c r="P1720" s="1818"/>
      <c r="Q1720" s="1862"/>
      <c r="R1720" s="1862"/>
      <c r="S1720" s="1862"/>
    </row>
    <row r="1721" spans="1:31" s="1852" customFormat="1" ht="4.3499999999999996" customHeight="1">
      <c r="A1721" s="435"/>
      <c r="B1721" s="435"/>
      <c r="C1721" s="2302"/>
      <c r="D1721" s="435"/>
      <c r="E1721" s="435"/>
      <c r="F1721" s="435"/>
      <c r="G1721" s="435"/>
      <c r="H1721" s="435"/>
      <c r="I1721" s="435"/>
      <c r="J1721" s="435"/>
      <c r="K1721" s="435"/>
      <c r="L1721" s="435"/>
      <c r="M1721" s="2164"/>
      <c r="N1721" s="2108"/>
      <c r="O1721" s="2108"/>
      <c r="P1721" s="2108"/>
      <c r="Q1721" s="1862"/>
      <c r="R1721" s="1862"/>
      <c r="S1721" s="1862"/>
    </row>
    <row r="1722" spans="1:31" s="1818" customFormat="1" ht="12" customHeight="1">
      <c r="A1722" s="1864" t="s">
        <v>7155</v>
      </c>
      <c r="B1722" s="1864"/>
      <c r="C1722" s="1864"/>
      <c r="D1722" s="1864"/>
      <c r="E1722" s="1864"/>
      <c r="F1722" s="1864"/>
      <c r="G1722" s="1864"/>
      <c r="H1722" s="1864"/>
      <c r="I1722" s="1864"/>
      <c r="J1722" s="1864"/>
      <c r="K1722" s="1864"/>
      <c r="L1722" s="1864"/>
      <c r="M1722" s="2108"/>
      <c r="N1722" s="2108"/>
      <c r="O1722" s="2108" t="s">
        <v>2118</v>
      </c>
      <c r="P1722" s="2108" t="s">
        <v>245</v>
      </c>
      <c r="Q1722" s="1862"/>
      <c r="R1722" s="1862"/>
      <c r="S1722" s="1862"/>
    </row>
    <row r="1723" spans="1:31" s="2244" customFormat="1" ht="12" customHeight="1">
      <c r="A1723" s="1864"/>
      <c r="B1723" s="1864"/>
      <c r="C1723" s="1864"/>
      <c r="D1723" s="1864"/>
      <c r="E1723" s="1864"/>
      <c r="F1723" s="1864"/>
      <c r="G1723" s="1864"/>
      <c r="H1723" s="1864"/>
      <c r="I1723" s="1864"/>
      <c r="J1723" s="1864"/>
      <c r="K1723" s="1864"/>
      <c r="L1723" s="1864"/>
      <c r="M1723" s="2108"/>
      <c r="N1723" s="1818"/>
      <c r="O1723" s="2108" t="s">
        <v>2119</v>
      </c>
      <c r="P1723" s="2108" t="s">
        <v>2119</v>
      </c>
      <c r="Q1723" s="1862"/>
      <c r="R1723" s="1862"/>
      <c r="S1723" s="1862"/>
      <c r="T1723" s="1818"/>
      <c r="U1723" s="1818"/>
      <c r="V1723" s="1818"/>
    </row>
    <row r="1724" spans="1:31" s="2244" customFormat="1" ht="3" customHeight="1">
      <c r="A1724" s="1818"/>
      <c r="B1724" s="1818"/>
      <c r="C1724" s="1818"/>
      <c r="D1724" s="1818"/>
      <c r="E1724" s="1818"/>
      <c r="F1724" s="1818"/>
      <c r="G1724" s="1818"/>
      <c r="H1724" s="1818"/>
      <c r="I1724" s="1818"/>
      <c r="J1724" s="1818"/>
      <c r="K1724" s="1818"/>
      <c r="M1724" s="2051"/>
      <c r="N1724" s="1818"/>
      <c r="O1724" s="2108"/>
      <c r="P1724" s="2051"/>
      <c r="Q1724" s="1862"/>
      <c r="R1724" s="1862"/>
      <c r="S1724" s="1862"/>
    </row>
    <row r="1725" spans="1:31" s="2244" customFormat="1" ht="13.5" customHeight="1">
      <c r="A1725" s="1818"/>
      <c r="B1725" s="1974" t="str">
        <f>'Part I-Project Information'!$B$7</f>
        <v>2021 Core App
May 10 Rev</v>
      </c>
      <c r="C1725" s="1974"/>
      <c r="D1725" s="1974"/>
      <c r="E1725" s="1974"/>
      <c r="F1725" s="1974"/>
      <c r="G1725" s="1818"/>
      <c r="H1725" s="1818"/>
      <c r="I1725" s="1818"/>
      <c r="J1725" s="1818"/>
      <c r="L1725" s="2221" t="s">
        <v>1180</v>
      </c>
      <c r="M1725" s="2192"/>
      <c r="N1725" s="2192"/>
      <c r="O1725" s="2303">
        <f>O2120</f>
        <v>67</v>
      </c>
      <c r="P1725" s="2303">
        <f>P2120</f>
        <v>20</v>
      </c>
      <c r="Q1725" s="1862"/>
      <c r="R1725" s="1862"/>
      <c r="S1725" s="1862"/>
    </row>
    <row r="1726" spans="1:31" s="2274" customFormat="1" ht="3.6" customHeight="1">
      <c r="A1726" s="1818"/>
      <c r="B1726" s="2255"/>
      <c r="C1726" s="435"/>
      <c r="D1726" s="1719"/>
      <c r="E1726" s="1719"/>
      <c r="F1726" s="1719"/>
      <c r="G1726" s="1719"/>
      <c r="H1726" s="1719"/>
      <c r="I1726" s="1719"/>
      <c r="J1726" s="1719"/>
      <c r="K1726" s="1719"/>
      <c r="L1726" s="1818"/>
      <c r="M1726" s="2108"/>
      <c r="N1726" s="2051"/>
      <c r="O1726" s="2192"/>
      <c r="P1726" s="2108"/>
      <c r="R1726" s="1818"/>
      <c r="S1726" s="1818"/>
    </row>
    <row r="1727" spans="1:31" s="1818" customFormat="1" ht="12" customHeight="1">
      <c r="A1727" s="2304" t="s">
        <v>6319</v>
      </c>
      <c r="B1727" s="2304"/>
      <c r="C1727" s="2304"/>
      <c r="D1727" s="435" t="s">
        <v>6320</v>
      </c>
      <c r="E1727" s="435"/>
      <c r="F1727" s="435"/>
      <c r="G1727" s="435"/>
      <c r="H1727" s="435"/>
      <c r="I1727" s="435"/>
      <c r="J1727" s="435"/>
      <c r="K1727" s="435"/>
      <c r="L1727" s="435"/>
      <c r="M1727" s="435"/>
      <c r="O1727" s="2122">
        <f>'Part IX Scoring Criteria'!O8</f>
        <v>0</v>
      </c>
      <c r="P1727" s="2110"/>
      <c r="Q1727" s="435" t="s">
        <v>7156</v>
      </c>
      <c r="R1727" s="2225"/>
      <c r="S1727" s="2225"/>
    </row>
    <row r="1728" spans="1:31" s="1818" customFormat="1" ht="12" customHeight="1">
      <c r="A1728" s="2304"/>
      <c r="B1728" s="2304"/>
      <c r="C1728" s="2304"/>
      <c r="D1728" s="435"/>
      <c r="E1728" s="435"/>
      <c r="F1728" s="435"/>
      <c r="G1728" s="435"/>
      <c r="H1728" s="435"/>
      <c r="I1728" s="435"/>
      <c r="J1728" s="435"/>
      <c r="K1728" s="435"/>
      <c r="L1728" s="435"/>
      <c r="M1728" s="435"/>
      <c r="N1728" s="2305"/>
      <c r="O1728" s="2242"/>
      <c r="P1728" s="2242"/>
      <c r="R1728" s="2225"/>
      <c r="S1728" s="2225"/>
    </row>
    <row r="1729" spans="1:22" s="2274" customFormat="1" ht="3" customHeight="1">
      <c r="A1729" s="1818"/>
      <c r="B1729" s="2255"/>
      <c r="C1729" s="435"/>
      <c r="D1729" s="1719"/>
      <c r="E1729" s="1719"/>
      <c r="F1729" s="1719"/>
      <c r="G1729" s="1719"/>
      <c r="H1729" s="1719"/>
      <c r="I1729" s="1719"/>
      <c r="J1729" s="1719"/>
      <c r="K1729" s="1719"/>
      <c r="L1729" s="1818"/>
      <c r="M1729" s="2108"/>
      <c r="N1729" s="2051"/>
      <c r="O1729" s="2192"/>
      <c r="P1729" s="2108"/>
      <c r="R1729" s="1818"/>
      <c r="S1729" s="1818"/>
    </row>
    <row r="1730" spans="1:22" s="1818" customFormat="1" ht="12" customHeight="1">
      <c r="B1730" s="1905" t="s">
        <v>7082</v>
      </c>
      <c r="C1730" s="1905"/>
      <c r="D1730" s="1905"/>
      <c r="E1730" s="1905"/>
      <c r="F1730" s="1905"/>
      <c r="G1730" s="1905"/>
      <c r="H1730" s="1905"/>
      <c r="I1730" s="1905"/>
      <c r="J1730" s="1905"/>
      <c r="K1730" s="1905"/>
      <c r="L1730" s="1905"/>
      <c r="M1730" s="1905"/>
      <c r="N1730" s="1905"/>
      <c r="O1730" s="1905"/>
      <c r="P1730" s="1905"/>
      <c r="Q1730" s="435"/>
      <c r="R1730" s="2225"/>
      <c r="S1730" s="2225"/>
    </row>
    <row r="1731" spans="1:22" s="1818" customFormat="1" ht="2.25" customHeight="1">
      <c r="A1731" s="2304"/>
      <c r="D1731" s="435"/>
      <c r="E1731" s="435"/>
      <c r="F1731" s="435"/>
      <c r="G1731" s="2156"/>
      <c r="H1731" s="1864"/>
      <c r="I1731" s="2156"/>
      <c r="J1731" s="2156"/>
      <c r="K1731" s="2156"/>
      <c r="L1731" s="2156"/>
      <c r="M1731" s="2156"/>
      <c r="N1731" s="2156"/>
      <c r="O1731" s="2156"/>
      <c r="P1731" s="2156"/>
      <c r="Q1731" s="435"/>
      <c r="R1731" s="2225"/>
      <c r="S1731" s="2225"/>
    </row>
    <row r="1732" spans="1:22" s="1818" customFormat="1" ht="12" customHeight="1">
      <c r="A1732" s="2306" t="s">
        <v>586</v>
      </c>
      <c r="B1732" s="2153" t="s">
        <v>6371</v>
      </c>
      <c r="D1732" s="435"/>
      <c r="E1732" s="435"/>
      <c r="F1732" s="435"/>
      <c r="G1732" s="2156"/>
      <c r="H1732" s="1864"/>
      <c r="I1732" s="2156"/>
      <c r="J1732" s="2156"/>
      <c r="K1732" s="2156"/>
      <c r="L1732" s="2156"/>
      <c r="M1732" s="2156"/>
      <c r="N1732" s="2156"/>
      <c r="O1732" s="2156"/>
      <c r="P1732" s="2156"/>
      <c r="Q1732" s="435"/>
      <c r="R1732" s="2225"/>
      <c r="S1732" s="2225"/>
    </row>
    <row r="1733" spans="1:22" s="1818" customFormat="1" ht="12" customHeight="1">
      <c r="A1733" s="2304" t="s">
        <v>6372</v>
      </c>
      <c r="D1733" s="435"/>
      <c r="E1733" s="435"/>
      <c r="F1733" s="435"/>
      <c r="G1733" s="2156"/>
      <c r="H1733" s="1864" t="s">
        <v>7157</v>
      </c>
      <c r="I1733" s="2156"/>
      <c r="J1733" s="2156"/>
      <c r="K1733" s="2156"/>
      <c r="L1733" s="2156"/>
      <c r="M1733" s="2305" t="s">
        <v>7158</v>
      </c>
      <c r="N1733" s="2156"/>
      <c r="O1733" s="2122">
        <f>'Part IX Scoring Criteria'!O14</f>
        <v>0</v>
      </c>
      <c r="P1733" s="2108">
        <f>IF(P1735&lt;2,0,IF(AND(P1735&gt;1,P1735&lt;5),1,IF(P1735&gt;4,P1735-3)))</f>
        <v>0</v>
      </c>
      <c r="Q1733" s="435" t="s">
        <v>7156</v>
      </c>
      <c r="R1733" s="2225"/>
      <c r="S1733" s="2225"/>
    </row>
    <row r="1734" spans="1:22" s="2274" customFormat="1" ht="3.6" customHeight="1">
      <c r="A1734" s="1818"/>
      <c r="B1734" s="2255"/>
      <c r="C1734" s="435"/>
      <c r="D1734" s="1719"/>
      <c r="E1734" s="1719"/>
      <c r="F1734" s="1719"/>
      <c r="G1734" s="1719"/>
      <c r="H1734" s="1719"/>
      <c r="I1734" s="1719"/>
      <c r="J1734" s="1719"/>
      <c r="K1734" s="1719"/>
      <c r="L1734" s="1818"/>
      <c r="M1734" s="2108"/>
      <c r="N1734" s="2051"/>
      <c r="O1734" s="2192"/>
      <c r="P1734" s="2108"/>
      <c r="R1734" s="1818"/>
      <c r="S1734" s="1818"/>
    </row>
    <row r="1735" spans="1:22" s="1818" customFormat="1" ht="10.5" customHeight="1">
      <c r="A1735" s="1967" t="s">
        <v>3546</v>
      </c>
      <c r="B1735" s="1967" t="s">
        <v>3547</v>
      </c>
      <c r="C1735" s="435"/>
      <c r="D1735" s="435"/>
      <c r="E1735" s="1967" t="s">
        <v>3554</v>
      </c>
      <c r="F1735" s="1967" t="s">
        <v>6828</v>
      </c>
      <c r="G1735" s="1967"/>
      <c r="H1735" s="1967"/>
      <c r="I1735" s="1967"/>
      <c r="J1735" s="1967"/>
      <c r="K1735" s="1967"/>
      <c r="L1735" s="1967"/>
      <c r="M1735" s="1967"/>
      <c r="N1735" s="1967"/>
      <c r="O1735" s="2305" t="s">
        <v>3975</v>
      </c>
      <c r="P1735" s="2164">
        <f>SUM(P1736:P1748)</f>
        <v>0</v>
      </c>
      <c r="Q1735" s="435" t="s">
        <v>7159</v>
      </c>
      <c r="R1735" s="435"/>
      <c r="S1735" s="435"/>
      <c r="T1735" s="435"/>
      <c r="U1735" s="435"/>
      <c r="V1735" s="435"/>
    </row>
    <row r="1736" spans="1:22" s="1818" customFormat="1" ht="10.5" customHeight="1">
      <c r="A1736" s="2307" t="s">
        <v>1713</v>
      </c>
      <c r="B1736" s="1905" t="s">
        <v>3548</v>
      </c>
      <c r="C1736" s="1905"/>
      <c r="D1736" s="1905"/>
      <c r="E1736" s="2308">
        <f>'Part IX Scoring Criteria'!E17</f>
        <v>20</v>
      </c>
      <c r="F1736" s="2229" t="str">
        <f>'Part IX Scoring Criteria'!F17</f>
        <v xml:space="preserve">Both the pedestrian and vehicular entrance to the proposed development are off of Commerical Drive thus the applicant used 189 Commerical Drive as the starting point for each desirable amenity path. The proposed site is eligble for a total of 25.50 points in this category. Please note that a map showing the site is NOT within a food dessert has been supplied. Additionally, a map showing that a Walmart Supercenter (grocery store) is within 2 miles has also been included. There are multiple parks/recreational centers of various sizes in the area, both of which we have included maps for (McCall Park and Freedom Park). The retail store, Twinkle Twinkle Little Shop, is a resale/consignment store with a variety of good (household items, clothing, etc.). Grace Academy is a private religious based school within a half a mile from the proposed site. We counted this school as a desirable amenity but it was not used in the Quality Education points calculation as it is a private school. There are no undesirable amenities in the area. </v>
      </c>
      <c r="G1736" s="2229"/>
      <c r="H1736" s="2229"/>
      <c r="I1736" s="2229"/>
      <c r="J1736" s="2229"/>
      <c r="K1736" s="2229"/>
      <c r="L1736" s="2229"/>
      <c r="M1736" s="2229"/>
      <c r="N1736" s="2229"/>
      <c r="O1736" s="2229"/>
      <c r="P1736" s="2309"/>
      <c r="Q1736" s="435"/>
      <c r="R1736" s="435"/>
      <c r="S1736" s="435"/>
      <c r="T1736" s="435"/>
      <c r="U1736" s="435"/>
      <c r="V1736" s="435"/>
    </row>
    <row r="1737" spans="1:22" s="1818" customFormat="1" ht="10.5" customHeight="1">
      <c r="A1737" s="2307" t="s">
        <v>505</v>
      </c>
      <c r="B1737" s="1905" t="s">
        <v>4244</v>
      </c>
      <c r="C1737" s="1905"/>
      <c r="D1737" s="1905"/>
      <c r="E1737" s="2308">
        <f>'Part IX Scoring Criteria'!E18</f>
        <v>2</v>
      </c>
      <c r="F1737" s="2229" t="str">
        <f>'Part IX Scoring Criteria'!F18</f>
        <v>Coastal Regional Coaches is part of the regional rural public transit program that provides general public transit service in the Georgia counties of Bryan, Bulloch, Camden, Chatham, Effingham, Glynn, Liberty, Long, McIntosh, and Screven. This service is available to anyone, for any purpose, and to any destination in the coastal region. Fares are very affordable and vary with different itineraries. Coastal Regional Coaches is a demand-response, advance reservation service that operates Monday through Friday from 7:00 A.M. until 5:00 P.M.</v>
      </c>
      <c r="G1737" s="2229"/>
      <c r="H1737" s="2229"/>
      <c r="I1737" s="2229"/>
      <c r="J1737" s="2229"/>
      <c r="K1737" s="2229"/>
      <c r="L1737" s="2229"/>
      <c r="M1737" s="2229"/>
      <c r="N1737" s="2229"/>
      <c r="O1737" s="2229"/>
      <c r="P1737" s="2309"/>
      <c r="Q1737" s="1855" t="str">
        <f>IF(OR($A$104="",$A$142="",$A$159="",$A$180="",$A$195="",$A$215="",$A$233="",$A$243="",$A$252="",$A$290="",$A$326="",$A$346="",$A$375=""),"Some Applicant Scoring Justification boxes are empty! Check to see if points claimed.","")</f>
        <v>Some Applicant Scoring Justification boxes are empty! Check to see if points claimed.</v>
      </c>
      <c r="R1737" s="1855"/>
      <c r="S1737" s="1855"/>
    </row>
    <row r="1738" spans="1:22" s="1818" customFormat="1" ht="10.5" customHeight="1">
      <c r="A1738" s="2307" t="s">
        <v>742</v>
      </c>
      <c r="B1738" s="1905" t="s">
        <v>3487</v>
      </c>
      <c r="C1738" s="1905"/>
      <c r="D1738" s="1905"/>
      <c r="E1738" s="2308">
        <f>'Part IX Scoring Criteria'!E19</f>
        <v>3</v>
      </c>
      <c r="F1738" s="2229" t="str">
        <f>'Part IX Scoring Criteria'!F19</f>
        <v xml:space="preserve">All three schools (elementary, middle, and high school) that are zoned for the proposed development site score above the CCRPI state average. The backup documentation submitted includes 2018 and 2019 CCRPI scores for each school as well as an applicant supplied chart that proves the two-year averages. We have also included maps proving the correct school for the proposed site. </v>
      </c>
      <c r="G1738" s="2229"/>
      <c r="H1738" s="2229"/>
      <c r="I1738" s="2229"/>
      <c r="J1738" s="2229"/>
      <c r="K1738" s="2229"/>
      <c r="L1738" s="2229"/>
      <c r="M1738" s="2229"/>
      <c r="N1738" s="2229"/>
      <c r="O1738" s="2229"/>
      <c r="P1738" s="2309"/>
      <c r="Q1738" s="1855"/>
      <c r="R1738" s="1855"/>
      <c r="S1738" s="1855"/>
    </row>
    <row r="1739" spans="1:22" s="1818" customFormat="1" ht="10.5" customHeight="1">
      <c r="A1739" s="2307" t="s">
        <v>281</v>
      </c>
      <c r="B1739" s="1905" t="s">
        <v>3549</v>
      </c>
      <c r="C1739" s="1905"/>
      <c r="D1739" s="1905"/>
      <c r="E1739" s="2308">
        <f>'Part IX Scoring Criteria'!E20</f>
        <v>0</v>
      </c>
      <c r="F1739" s="2229" t="str">
        <f>'Part IX Scoring Criteria'!F20</f>
        <v xml:space="preserve">The applicant is not claiming points for revitalization and does not have a third party capital investment. </v>
      </c>
      <c r="G1739" s="2229"/>
      <c r="H1739" s="2229"/>
      <c r="I1739" s="2229"/>
      <c r="J1739" s="2229"/>
      <c r="K1739" s="2229"/>
      <c r="L1739" s="2229"/>
      <c r="M1739" s="2229"/>
      <c r="N1739" s="2229"/>
      <c r="O1739" s="2229"/>
      <c r="P1739" s="2309"/>
      <c r="Q1739" s="1855"/>
      <c r="R1739" s="1855"/>
      <c r="S1739" s="1855"/>
    </row>
    <row r="1740" spans="1:22" s="1818" customFormat="1" ht="10.5" customHeight="1">
      <c r="A1740" s="2307" t="s">
        <v>407</v>
      </c>
      <c r="B1740" s="1905" t="s">
        <v>3550</v>
      </c>
      <c r="C1740" s="1905"/>
      <c r="D1740" s="1905"/>
      <c r="E1740" s="2308" t="str">
        <f>'Part IX Scoring Criteria'!E21</f>
        <v>n/a</v>
      </c>
      <c r="F1740" s="2229" t="str">
        <f>'Part IX Scoring Criteria'!F21</f>
        <v>The applicant is not claiming point in this section.</v>
      </c>
      <c r="G1740" s="2229"/>
      <c r="H1740" s="2229"/>
      <c r="I1740" s="2229"/>
      <c r="J1740" s="2229"/>
      <c r="K1740" s="2229"/>
      <c r="L1740" s="2229"/>
      <c r="M1740" s="2229"/>
      <c r="N1740" s="2229"/>
      <c r="O1740" s="2229"/>
      <c r="P1740" s="2309"/>
      <c r="Q1740" s="1855"/>
      <c r="R1740" s="1855"/>
      <c r="S1740" s="1855"/>
    </row>
    <row r="1741" spans="1:22" s="1818" customFormat="1" ht="10.5" customHeight="1">
      <c r="A1741" s="2307" t="s">
        <v>346</v>
      </c>
      <c r="B1741" s="1905" t="s">
        <v>4245</v>
      </c>
      <c r="C1741" s="1905"/>
      <c r="D1741" s="1905"/>
      <c r="E1741" s="2308">
        <f>'Part IX Scoring Criteria'!E22</f>
        <v>10</v>
      </c>
      <c r="F1741" s="2229" t="str">
        <f>'Part IX Scoring Criteria'!F22</f>
        <v xml:space="preserve">Census tract 303.05 is 7.22% below the poverty line thus is eligible for 5 points. We utilized the 2019 data set  (2019 Employment = 97.9; Income = $67,112; Life Expectancy = 74.6; Health Insurance = 93.3. All data is above 60%. Median Income is above 80th percentile. </v>
      </c>
      <c r="G1741" s="2229"/>
      <c r="H1741" s="2229"/>
      <c r="I1741" s="2229"/>
      <c r="J1741" s="2229"/>
      <c r="K1741" s="2229"/>
      <c r="L1741" s="2229"/>
      <c r="M1741" s="2229"/>
      <c r="N1741" s="2229"/>
      <c r="O1741" s="2229"/>
      <c r="P1741" s="2309"/>
      <c r="Q1741" s="1855"/>
      <c r="R1741" s="1855"/>
      <c r="S1741" s="1855"/>
    </row>
    <row r="1742" spans="1:22" s="1818" customFormat="1" ht="10.5" customHeight="1">
      <c r="A1742" s="2307" t="s">
        <v>4247</v>
      </c>
      <c r="B1742" s="1905" t="s">
        <v>3397</v>
      </c>
      <c r="C1742" s="1905"/>
      <c r="D1742" s="1905"/>
      <c r="E1742" s="2308">
        <f>'Part IX Scoring Criteria'!E23</f>
        <v>0</v>
      </c>
      <c r="F1742" s="2229" t="str">
        <f>'Part IX Scoring Criteria'!F23</f>
        <v>The applicant is not claiming points in this category.</v>
      </c>
      <c r="G1742" s="2229"/>
      <c r="H1742" s="2229"/>
      <c r="I1742" s="2229"/>
      <c r="J1742" s="2229"/>
      <c r="K1742" s="2229"/>
      <c r="L1742" s="2229"/>
      <c r="M1742" s="2229"/>
      <c r="N1742" s="2229"/>
      <c r="O1742" s="2229"/>
      <c r="P1742" s="2309"/>
      <c r="Q1742" s="1855"/>
      <c r="R1742" s="1855"/>
      <c r="S1742" s="1855"/>
    </row>
    <row r="1743" spans="1:22" s="1818" customFormat="1" ht="10.5" customHeight="1">
      <c r="A1743" s="2307" t="s">
        <v>4259</v>
      </c>
      <c r="B1743" s="1905" t="s">
        <v>4248</v>
      </c>
      <c r="C1743" s="1905"/>
      <c r="D1743" s="1905"/>
      <c r="E1743" s="2308">
        <f>'Part IX Scoring Criteria'!E24</f>
        <v>0</v>
      </c>
      <c r="F1743" s="2229" t="str">
        <f>'Part IX Scoring Criteria'!F24</f>
        <v>This development is not part of a phased development</v>
      </c>
      <c r="G1743" s="2229"/>
      <c r="H1743" s="2229"/>
      <c r="I1743" s="2229"/>
      <c r="J1743" s="2229"/>
      <c r="K1743" s="2229"/>
      <c r="L1743" s="2229"/>
      <c r="M1743" s="2229"/>
      <c r="N1743" s="2229"/>
      <c r="O1743" s="2229"/>
      <c r="P1743" s="2309"/>
      <c r="Q1743" s="1855"/>
      <c r="R1743" s="1855"/>
      <c r="S1743" s="1855"/>
    </row>
    <row r="1744" spans="1:22" s="1818" customFormat="1" ht="10.5" customHeight="1">
      <c r="A1744" s="2307" t="s">
        <v>6534</v>
      </c>
      <c r="B1744" s="1905" t="s">
        <v>4249</v>
      </c>
      <c r="C1744" s="1905"/>
      <c r="D1744" s="1905"/>
      <c r="E1744" s="2308">
        <f>'Part IX Scoring Criteria'!E25</f>
        <v>3</v>
      </c>
      <c r="F1744" s="2229" t="str">
        <f>'Part IX Scoring Criteria'!F25</f>
        <v xml:space="preserve">The last DCA property to be funded in the Effingham County political jurisdiction was Goshen Crossing II in 2012. All other recently funded developments in the area have been within the city limits of Rincon. </v>
      </c>
      <c r="G1744" s="2229"/>
      <c r="H1744" s="2229"/>
      <c r="I1744" s="2229"/>
      <c r="J1744" s="2229"/>
      <c r="K1744" s="2229"/>
      <c r="L1744" s="2229"/>
      <c r="M1744" s="2229"/>
      <c r="N1744" s="2229"/>
      <c r="O1744" s="2229"/>
      <c r="P1744" s="2309"/>
      <c r="Q1744" s="1855"/>
      <c r="R1744" s="1855"/>
      <c r="S1744" s="1855"/>
    </row>
    <row r="1745" spans="1:33" s="1818" customFormat="1" ht="10.5" customHeight="1">
      <c r="A1745" s="2307" t="s">
        <v>3523</v>
      </c>
      <c r="B1745" s="1905" t="s">
        <v>3551</v>
      </c>
      <c r="C1745" s="1905"/>
      <c r="D1745" s="1905"/>
      <c r="E1745" s="2308">
        <f>'Part IX Scoring Criteria'!E26</f>
        <v>0</v>
      </c>
      <c r="F1745" s="2229" t="str">
        <f>'Part IX Scoring Criteria'!F26</f>
        <v>The proposed development is not within a GICH community.</v>
      </c>
      <c r="G1745" s="2229"/>
      <c r="H1745" s="2229"/>
      <c r="I1745" s="2229"/>
      <c r="J1745" s="2229"/>
      <c r="K1745" s="2229"/>
      <c r="L1745" s="2229"/>
      <c r="M1745" s="2229"/>
      <c r="N1745" s="2229"/>
      <c r="O1745" s="2229"/>
      <c r="P1745" s="2309"/>
      <c r="Q1745" s="1855"/>
      <c r="R1745" s="1855"/>
      <c r="S1745" s="1855"/>
    </row>
    <row r="1746" spans="1:33" s="1818" customFormat="1" ht="10.5" customHeight="1">
      <c r="A1746" s="2307" t="s">
        <v>3521</v>
      </c>
      <c r="B1746" s="1905" t="s">
        <v>3552</v>
      </c>
      <c r="C1746" s="1905"/>
      <c r="D1746" s="1905"/>
      <c r="E1746" s="2308">
        <f>'Part IX Scoring Criteria'!E27</f>
        <v>0</v>
      </c>
      <c r="F1746" s="2229" t="str">
        <f>'Part IX Scoring Criteria'!F27</f>
        <v>The applicant has not received a loan that will qualify as "favorable financing" nor is a ground lease in place.</v>
      </c>
      <c r="G1746" s="2229"/>
      <c r="H1746" s="2229"/>
      <c r="I1746" s="2229"/>
      <c r="J1746" s="2229"/>
      <c r="K1746" s="2229"/>
      <c r="L1746" s="2229"/>
      <c r="M1746" s="2229"/>
      <c r="N1746" s="2229"/>
      <c r="O1746" s="2229"/>
      <c r="P1746" s="2309"/>
      <c r="Q1746" s="1855"/>
      <c r="R1746" s="1855"/>
      <c r="S1746" s="1855"/>
    </row>
    <row r="1747" spans="1:33" s="1818" customFormat="1" ht="10.5" customHeight="1">
      <c r="A1747" s="2307" t="s">
        <v>3521</v>
      </c>
      <c r="B1747" s="1905" t="s">
        <v>3553</v>
      </c>
      <c r="C1747" s="1905"/>
      <c r="D1747" s="1905"/>
      <c r="E1747" s="2308">
        <f>'Part IX Scoring Criteria'!E28</f>
        <v>0</v>
      </c>
      <c r="F1747" s="2229" t="str">
        <f>'Part IX Scoring Criteria'!F28</f>
        <v>The applicant is not claiming points in this category.</v>
      </c>
      <c r="G1747" s="2229"/>
      <c r="H1747" s="2229"/>
      <c r="I1747" s="2229"/>
      <c r="J1747" s="2229"/>
      <c r="K1747" s="2229"/>
      <c r="L1747" s="2229"/>
      <c r="M1747" s="2229"/>
      <c r="N1747" s="2229"/>
      <c r="O1747" s="2229"/>
      <c r="P1747" s="2309"/>
      <c r="Q1747" s="1855"/>
      <c r="R1747" s="1855"/>
      <c r="S1747" s="1855"/>
    </row>
    <row r="1748" spans="1:33" s="1818" customFormat="1" ht="10.5" customHeight="1">
      <c r="A1748" s="2307" t="s">
        <v>3528</v>
      </c>
      <c r="B1748" s="1905" t="s">
        <v>6365</v>
      </c>
      <c r="C1748" s="1905"/>
      <c r="D1748" s="1905"/>
      <c r="E1748" s="2308">
        <f>'Part IX Scoring Criteria'!E29</f>
        <v>2</v>
      </c>
      <c r="F1748" s="2229" t="str">
        <f>'Part IX Scoring Criteria'!F29</f>
        <v xml:space="preserve">The Peaks at Turnberry outside of Rincon located in Effingham County is a 48-unit multifamily development. In order to meet the DCA requirements for sufficient number of one-bedroom units without PBRA as outlined in Exhibit B of Appendix II: Scoring, there will be 12 one-bedroom units. This number of one-bedroom units exceeds the 20% required for family tenancy with a total of 25% one-bedroom units.  The property is located near public transportation that operates frequently; Coastal Regional Coaches of Georgia provides rural public transit in Effingham County. Coastal Regional Coaches of Georgia is a demand-response, advance reservation service and therefore is in proximity to The Peaks at Turnberry. The Peaks at Turnberry is located centrally in Effingham County. Its location allows for access to many healthcare services that are distinctly relevant to the family population that will be residents at the development. The health care providers consist of Effingham Family Medicine, Howard Family Dentistry, Rincon Medical Center Urgent Care, Towne Pharmacy of Rincon, and Kids First Pediatrics. All services are within 2 miles of the proposed development site and accessible by public transportation provided by Coastal Regional Coaches of Georgia. It is important to note that the property is located near retail amenities as it scores maximum points in Desirable/Undesirable Activities, subsection A. Desirable Activities. Effingham County exhibits a high concentration of both supportive housing needs and relevant services - many of these services are facilited through a local non-profit, Effingham Family Promise. For almost 40 years Family Promise has been providing support and shelter for families in danger of becoming homeless or are homeless. Effingham Family Promise’s mission is to help homes and low-income families achieve decent, safe, affordable housing while achieving sustainable independence by cooking and serving meals, assisting with resume writing or financial counseling, locating child care services, providing overnight shelter, and general assistance to families in need. We are proud to state that the applicant currently owns 5 RAD Conversions.  Vantage Management also manages several properties with an 811 program/set aside. The selected management company has worked with RAD PBRA, RAD PBV, Tenant Based Housing Choice Vouchers, 811 and the HOME program. Additionally, they have experience owning and/or managing properties serving individuals with disabilities, the formerly homeless, or other supportive housing. All of the applicants owned developments have units set aside for mobility/sensory impaired and/or homeless. Finally, please note that applicant also has long-term experience working with a referring state agency. The selected management company, Vantage Management Company, LLC, is in compliance with DCA on all developments.     </v>
      </c>
      <c r="G1748" s="2229"/>
      <c r="H1748" s="2229"/>
      <c r="I1748" s="2229"/>
      <c r="J1748" s="2229"/>
      <c r="K1748" s="2229"/>
      <c r="L1748" s="2229"/>
      <c r="M1748" s="2229"/>
      <c r="N1748" s="2229"/>
      <c r="O1748" s="2229"/>
      <c r="P1748" s="2309"/>
      <c r="Q1748" s="1855"/>
      <c r="R1748" s="1855"/>
      <c r="S1748" s="1855"/>
    </row>
    <row r="1749" spans="1:33" s="1852" customFormat="1" ht="5.25" customHeight="1">
      <c r="C1749" s="2114"/>
      <c r="D1749" s="2114"/>
      <c r="E1749" s="2114"/>
      <c r="F1749" s="2114"/>
      <c r="G1749" s="1842"/>
      <c r="H1749" s="2114"/>
      <c r="I1749" s="2114"/>
      <c r="J1749" s="2114"/>
      <c r="K1749" s="2114"/>
    </row>
    <row r="1750" spans="1:33" s="1852" customFormat="1" ht="12.75" customHeight="1">
      <c r="A1750" s="2306" t="s">
        <v>710</v>
      </c>
      <c r="B1750" s="2153" t="s">
        <v>6373</v>
      </c>
      <c r="C1750" s="2284"/>
      <c r="D1750" s="2114"/>
      <c r="E1750" s="2114"/>
      <c r="F1750" s="2114"/>
      <c r="G1750" s="2159" t="s">
        <v>6357</v>
      </c>
      <c r="H1750" s="2159"/>
      <c r="I1750" s="2159" t="s">
        <v>932</v>
      </c>
      <c r="J1750" s="2159"/>
      <c r="K1750" s="2310" t="s">
        <v>6358</v>
      </c>
      <c r="L1750" s="1973"/>
      <c r="M1750" s="1967" t="s">
        <v>6374</v>
      </c>
      <c r="N1750" s="1967"/>
      <c r="O1750" s="1967"/>
      <c r="P1750" s="1967"/>
      <c r="Q1750" s="1967"/>
      <c r="R1750" s="2311"/>
      <c r="S1750" s="2312" t="s">
        <v>6373</v>
      </c>
      <c r="T1750" s="2311"/>
      <c r="U1750" s="2311"/>
      <c r="V1750" s="2311"/>
      <c r="W1750" s="1754"/>
      <c r="X1750" s="4754" t="s">
        <v>6357</v>
      </c>
      <c r="Y1750" s="4755"/>
      <c r="Z1750" s="4754" t="s">
        <v>932</v>
      </c>
      <c r="AA1750" s="4755"/>
      <c r="AB1750" s="2313" t="s">
        <v>6358</v>
      </c>
      <c r="AC1750" s="4754" t="s">
        <v>6357</v>
      </c>
      <c r="AD1750" s="4755"/>
      <c r="AE1750" s="4754" t="s">
        <v>932</v>
      </c>
      <c r="AF1750" s="4755"/>
      <c r="AG1750" s="2313" t="s">
        <v>6358</v>
      </c>
    </row>
    <row r="1751" spans="1:33" s="1852" customFormat="1" ht="11.25" customHeight="1">
      <c r="A1751" s="2112"/>
      <c r="B1751" s="2160"/>
      <c r="C1751" s="2112"/>
      <c r="D1751" s="2112"/>
      <c r="E1751" s="2112"/>
      <c r="F1751" s="2112"/>
      <c r="G1751" s="2314">
        <v>0.09</v>
      </c>
      <c r="H1751" s="2314">
        <v>0.04</v>
      </c>
      <c r="I1751" s="2314">
        <v>0.09</v>
      </c>
      <c r="J1751" s="2314">
        <v>0.04</v>
      </c>
      <c r="K1751" s="2314">
        <v>0.09</v>
      </c>
      <c r="L1751" s="1973"/>
      <c r="M1751" s="1864" t="str">
        <f>'Part IX Scoring Criteria'!M32</f>
        <v>9% Credit Competitive Round only</v>
      </c>
      <c r="N1751" s="1864"/>
      <c r="O1751" s="1864"/>
      <c r="P1751" s="1864"/>
      <c r="Q1751" s="1967"/>
      <c r="R1751" s="1829"/>
      <c r="S1751" s="2315"/>
      <c r="T1751" s="1829"/>
      <c r="U1751" s="1829"/>
      <c r="V1751" s="1829"/>
      <c r="W1751" s="1829"/>
      <c r="X1751" s="2316">
        <v>0.09</v>
      </c>
      <c r="Y1751" s="2316">
        <v>0.04</v>
      </c>
      <c r="Z1751" s="2316">
        <v>0.09</v>
      </c>
      <c r="AA1751" s="2316">
        <v>0.04</v>
      </c>
      <c r="AB1751" s="2316">
        <v>0.09</v>
      </c>
      <c r="AC1751" s="2316">
        <v>0.09</v>
      </c>
      <c r="AD1751" s="2316">
        <v>0.04</v>
      </c>
      <c r="AE1751" s="2316">
        <v>0.09</v>
      </c>
      <c r="AF1751" s="2316">
        <v>0.04</v>
      </c>
      <c r="AG1751" s="2316">
        <v>0.09</v>
      </c>
    </row>
    <row r="1752" spans="1:33" s="1852" customFormat="1" ht="10.5" customHeight="1">
      <c r="A1752" s="2029" t="s">
        <v>712</v>
      </c>
      <c r="B1752" s="2084" t="s">
        <v>6359</v>
      </c>
      <c r="C1752" s="1967"/>
      <c r="D1752" s="2112"/>
      <c r="E1752" s="2112"/>
      <c r="F1752" s="2112"/>
      <c r="G1752" s="2145">
        <v>10</v>
      </c>
      <c r="H1752" s="2145"/>
      <c r="I1752" s="2145">
        <v>10</v>
      </c>
      <c r="J1752" s="2145"/>
      <c r="K1752" s="2145">
        <v>10</v>
      </c>
      <c r="L1752" s="1973"/>
      <c r="M1752" s="1967" t="s">
        <v>6375</v>
      </c>
      <c r="N1752" s="1973"/>
      <c r="O1752" s="1973"/>
      <c r="P1752" s="2317" t="str">
        <f>'Part IX Scoring Criteria'!P33</f>
        <v>9%</v>
      </c>
      <c r="Q1752" s="1973"/>
      <c r="R1752" s="2318" t="s">
        <v>712</v>
      </c>
      <c r="S1752" s="2319" t="s">
        <v>6359</v>
      </c>
      <c r="T1752" s="2320"/>
      <c r="U1752" s="2321"/>
      <c r="V1752" s="2321"/>
      <c r="W1752" s="2321"/>
      <c r="X1752" s="2322">
        <f>O1778</f>
        <v>10</v>
      </c>
      <c r="Y1752" s="2323"/>
      <c r="Z1752" s="2324">
        <f>O1778</f>
        <v>10</v>
      </c>
      <c r="AA1752" s="2323"/>
      <c r="AB1752" s="2325">
        <f>O1778</f>
        <v>10</v>
      </c>
      <c r="AC1752" s="2326">
        <f>P1778</f>
        <v>10</v>
      </c>
      <c r="AD1752" s="2323"/>
      <c r="AE1752" s="2324">
        <f>P1778</f>
        <v>10</v>
      </c>
      <c r="AF1752" s="2323"/>
      <c r="AG1752" s="2327">
        <f>P1778</f>
        <v>10</v>
      </c>
    </row>
    <row r="1753" spans="1:33" s="1852" customFormat="1" ht="10.5" customHeight="1">
      <c r="A1753" s="2029" t="s">
        <v>1711</v>
      </c>
      <c r="B1753" s="2084" t="s">
        <v>6360</v>
      </c>
      <c r="C1753" s="1967"/>
      <c r="D1753" s="2112"/>
      <c r="E1753" s="2112"/>
      <c r="F1753" s="2112"/>
      <c r="G1753" s="2145">
        <v>3</v>
      </c>
      <c r="H1753" s="2145">
        <v>3</v>
      </c>
      <c r="I1753" s="2145">
        <v>3</v>
      </c>
      <c r="J1753" s="2145">
        <v>3</v>
      </c>
      <c r="K1753" s="2145"/>
      <c r="L1753" s="1973"/>
      <c r="M1753" s="1967" t="s">
        <v>6379</v>
      </c>
      <c r="N1753" s="1967"/>
      <c r="O1753" s="1967"/>
      <c r="P1753" s="1967"/>
      <c r="Q1753" s="1973"/>
      <c r="R1753" s="2318" t="s">
        <v>1711</v>
      </c>
      <c r="S1753" s="2328" t="s">
        <v>6360</v>
      </c>
      <c r="T1753" s="2329"/>
      <c r="U1753" s="2330"/>
      <c r="V1753" s="2330"/>
      <c r="W1753" s="2330"/>
      <c r="X1753" s="2331">
        <f>O1803</f>
        <v>2</v>
      </c>
      <c r="Y1753" s="2332">
        <f>O1803</f>
        <v>2</v>
      </c>
      <c r="Z1753" s="2331">
        <f>O1803</f>
        <v>2</v>
      </c>
      <c r="AA1753" s="2331">
        <f>O1803</f>
        <v>2</v>
      </c>
      <c r="AB1753" s="2333"/>
      <c r="AC1753" s="2334">
        <f>P1803</f>
        <v>0</v>
      </c>
      <c r="AD1753" s="2332">
        <f>P1803</f>
        <v>0</v>
      </c>
      <c r="AE1753" s="2331">
        <f>P1803</f>
        <v>0</v>
      </c>
      <c r="AF1753" s="2332">
        <f>P1803</f>
        <v>0</v>
      </c>
      <c r="AG1753" s="2335"/>
    </row>
    <row r="1754" spans="1:33" s="1852" customFormat="1" ht="10.5" customHeight="1">
      <c r="A1754" s="2029" t="s">
        <v>1713</v>
      </c>
      <c r="B1754" s="2084" t="s">
        <v>3548</v>
      </c>
      <c r="C1754" s="1967"/>
      <c r="D1754" s="2112"/>
      <c r="E1754" s="2112"/>
      <c r="F1754" s="2112"/>
      <c r="G1754" s="2145">
        <v>20</v>
      </c>
      <c r="H1754" s="2145">
        <v>12</v>
      </c>
      <c r="I1754" s="2145"/>
      <c r="J1754" s="2145"/>
      <c r="K1754" s="2145"/>
      <c r="L1754" s="1973"/>
      <c r="M1754" s="1967" t="s">
        <v>6383</v>
      </c>
      <c r="N1754" s="1973"/>
      <c r="O1754" s="1973"/>
      <c r="P1754" s="2044" t="str">
        <f>'Part IX Scoring Criteria'!P35</f>
        <v>No</v>
      </c>
      <c r="Q1754" s="1973"/>
      <c r="R1754" s="2318" t="s">
        <v>1713</v>
      </c>
      <c r="S1754" s="2328" t="s">
        <v>3548</v>
      </c>
      <c r="T1754" s="2329"/>
      <c r="U1754" s="2330"/>
      <c r="V1754" s="2330"/>
      <c r="W1754" s="2330"/>
      <c r="X1754" s="2336">
        <f>O1817</f>
        <v>20</v>
      </c>
      <c r="Y1754" s="2337">
        <f>O1817</f>
        <v>20</v>
      </c>
      <c r="Z1754" s="2338"/>
      <c r="AA1754" s="2339"/>
      <c r="AB1754" s="2333"/>
      <c r="AC1754" s="2340">
        <f>P1817</f>
        <v>0</v>
      </c>
      <c r="AD1754" s="2337">
        <f>P1817</f>
        <v>0</v>
      </c>
      <c r="AE1754" s="2338"/>
      <c r="AF1754" s="2339"/>
      <c r="AG1754" s="2335"/>
    </row>
    <row r="1755" spans="1:33" s="1852" customFormat="1" ht="10.5" customHeight="1">
      <c r="A1755" s="2029" t="s">
        <v>505</v>
      </c>
      <c r="B1755" s="2084" t="s">
        <v>4244</v>
      </c>
      <c r="C1755" s="1967"/>
      <c r="D1755" s="2112"/>
      <c r="E1755" s="2112"/>
      <c r="F1755" s="2112"/>
      <c r="G1755" s="2145">
        <v>6</v>
      </c>
      <c r="H1755" s="2145">
        <v>4</v>
      </c>
      <c r="I1755" s="2145"/>
      <c r="J1755" s="2145"/>
      <c r="K1755" s="2145"/>
      <c r="L1755" s="1973"/>
      <c r="M1755" s="1967" t="s">
        <v>932</v>
      </c>
      <c r="N1755" s="1973"/>
      <c r="O1755" s="1973"/>
      <c r="P1755" s="2044" t="str">
        <f>'Part IX Scoring Criteria'!P36</f>
        <v>No</v>
      </c>
      <c r="Q1755" s="1973"/>
      <c r="R1755" s="2318" t="s">
        <v>505</v>
      </c>
      <c r="S1755" s="2328" t="s">
        <v>4244</v>
      </c>
      <c r="T1755" s="2329"/>
      <c r="U1755" s="2330"/>
      <c r="V1755" s="2330"/>
      <c r="W1755" s="2330"/>
      <c r="X1755" s="2336">
        <f>O1827</f>
        <v>2</v>
      </c>
      <c r="Y1755" s="2337">
        <f>O1827</f>
        <v>2</v>
      </c>
      <c r="Z1755" s="2338"/>
      <c r="AA1755" s="2339"/>
      <c r="AB1755" s="2333"/>
      <c r="AC1755" s="2340">
        <f>P1827</f>
        <v>0</v>
      </c>
      <c r="AD1755" s="2337">
        <f>P1827</f>
        <v>0</v>
      </c>
      <c r="AE1755" s="2338"/>
      <c r="AF1755" s="2339"/>
      <c r="AG1755" s="2335"/>
    </row>
    <row r="1756" spans="1:33" s="1852" customFormat="1" ht="10.5" customHeight="1">
      <c r="A1756" s="2029" t="s">
        <v>742</v>
      </c>
      <c r="B1756" s="2084" t="s">
        <v>3487</v>
      </c>
      <c r="C1756" s="1967"/>
      <c r="D1756" s="2112"/>
      <c r="E1756" s="2112"/>
      <c r="F1756" s="2112"/>
      <c r="G1756" s="2145">
        <v>3</v>
      </c>
      <c r="H1756" s="2145">
        <v>2</v>
      </c>
      <c r="I1756" s="2145"/>
      <c r="J1756" s="2145"/>
      <c r="K1756" s="2145"/>
      <c r="L1756" s="1973"/>
      <c r="M1756" s="1967" t="s">
        <v>6384</v>
      </c>
      <c r="N1756" s="1973"/>
      <c r="O1756" s="1973"/>
      <c r="P1756" s="2044" t="str">
        <f>'Part IX Scoring Criteria'!P37</f>
        <v>No</v>
      </c>
      <c r="Q1756" s="1973"/>
      <c r="R1756" s="2318" t="s">
        <v>742</v>
      </c>
      <c r="S1756" s="2328" t="s">
        <v>3487</v>
      </c>
      <c r="T1756" s="2329"/>
      <c r="U1756" s="2330"/>
      <c r="V1756" s="2330"/>
      <c r="W1756" s="2330"/>
      <c r="X1756" s="2338">
        <f>O1866</f>
        <v>3</v>
      </c>
      <c r="Y1756" s="2339">
        <f>O1866</f>
        <v>3</v>
      </c>
      <c r="Z1756" s="2338"/>
      <c r="AA1756" s="2339"/>
      <c r="AB1756" s="2333"/>
      <c r="AC1756" s="2341">
        <f>P1866</f>
        <v>0</v>
      </c>
      <c r="AD1756" s="2339">
        <f>P1866</f>
        <v>0</v>
      </c>
      <c r="AE1756" s="2338"/>
      <c r="AF1756" s="2339"/>
      <c r="AG1756" s="2335"/>
    </row>
    <row r="1757" spans="1:33" s="1852" customFormat="1" ht="10.5" customHeight="1">
      <c r="A1757" s="2029" t="s">
        <v>281</v>
      </c>
      <c r="B1757" s="2084" t="s">
        <v>3549</v>
      </c>
      <c r="C1757" s="1967"/>
      <c r="D1757" s="2112"/>
      <c r="E1757" s="2112"/>
      <c r="F1757" s="2112"/>
      <c r="G1757" s="2145">
        <v>7</v>
      </c>
      <c r="H1757" s="2145">
        <v>5</v>
      </c>
      <c r="I1757" s="2145"/>
      <c r="J1757" s="2145"/>
      <c r="K1757" s="2145"/>
      <c r="L1757" s="1973"/>
      <c r="M1757" s="1967" t="s">
        <v>2534</v>
      </c>
      <c r="N1757" s="1973"/>
      <c r="O1757" s="1973"/>
      <c r="P1757" s="2044" t="str">
        <f>'Part IX Scoring Criteria'!P38</f>
        <v>No</v>
      </c>
      <c r="Q1757" s="1973"/>
      <c r="R1757" s="2318" t="s">
        <v>281</v>
      </c>
      <c r="S1757" s="2328" t="s">
        <v>3549</v>
      </c>
      <c r="T1757" s="2329"/>
      <c r="U1757" s="2330"/>
      <c r="V1757" s="2330"/>
      <c r="W1757" s="2330"/>
      <c r="X1757" s="2331">
        <f>O1882</f>
        <v>0</v>
      </c>
      <c r="Y1757" s="2332">
        <f>O1882</f>
        <v>0</v>
      </c>
      <c r="Z1757" s="2338"/>
      <c r="AA1757" s="2339"/>
      <c r="AB1757" s="2333"/>
      <c r="AC1757" s="2334">
        <f>P1882</f>
        <v>0</v>
      </c>
      <c r="AD1757" s="2332">
        <f>P1882</f>
        <v>0</v>
      </c>
      <c r="AE1757" s="2338"/>
      <c r="AF1757" s="2339"/>
      <c r="AG1757" s="2335"/>
    </row>
    <row r="1758" spans="1:33" s="1852" customFormat="1" ht="10.5" customHeight="1">
      <c r="A1758" s="2029" t="s">
        <v>407</v>
      </c>
      <c r="B1758" s="2084" t="s">
        <v>3550</v>
      </c>
      <c r="C1758" s="1967"/>
      <c r="D1758" s="2112"/>
      <c r="E1758" s="2112"/>
      <c r="F1758" s="2112"/>
      <c r="G1758" s="2145">
        <v>3</v>
      </c>
      <c r="H1758" s="2145"/>
      <c r="I1758" s="2145"/>
      <c r="J1758" s="2145"/>
      <c r="K1758" s="2145"/>
      <c r="L1758" s="1973"/>
      <c r="M1758" s="1967" t="s">
        <v>6539</v>
      </c>
      <c r="P1758" s="2164" t="str">
        <f>'Part III-Sources of Funds'!$L$14</f>
        <v>No</v>
      </c>
      <c r="Q1758" s="1973"/>
      <c r="R1758" s="2318" t="s">
        <v>407</v>
      </c>
      <c r="S1758" s="2328" t="s">
        <v>3550</v>
      </c>
      <c r="T1758" s="2329"/>
      <c r="U1758" s="2330"/>
      <c r="V1758" s="2330"/>
      <c r="W1758" s="2330"/>
      <c r="X1758" s="2338"/>
      <c r="Y1758" s="2339"/>
      <c r="Z1758" s="2338"/>
      <c r="AA1758" s="2339"/>
      <c r="AB1758" s="2333"/>
      <c r="AC1758" s="2334">
        <f>P1903</f>
        <v>0</v>
      </c>
      <c r="AD1758" s="2339"/>
      <c r="AE1758" s="2338"/>
      <c r="AF1758" s="2339"/>
      <c r="AG1758" s="2335"/>
    </row>
    <row r="1759" spans="1:33" s="1852" customFormat="1" ht="10.5" customHeight="1">
      <c r="A1759" s="2029" t="s">
        <v>346</v>
      </c>
      <c r="B1759" s="2084" t="s">
        <v>4245</v>
      </c>
      <c r="C1759" s="1967"/>
      <c r="D1759" s="2112"/>
      <c r="E1759" s="2112"/>
      <c r="F1759" s="2112"/>
      <c r="G1759" s="2145">
        <v>10</v>
      </c>
      <c r="H1759" s="2145">
        <v>5</v>
      </c>
      <c r="I1759" s="2145"/>
      <c r="J1759" s="2145"/>
      <c r="K1759" s="2145"/>
      <c r="L1759" s="1973"/>
      <c r="M1759" s="1864" t="s">
        <v>6540</v>
      </c>
      <c r="N1759" s="1864"/>
      <c r="O1759" s="2114"/>
      <c r="P1759" s="2044" t="str">
        <f>'Part IX Scoring Criteria'!P40</f>
        <v>No</v>
      </c>
      <c r="Q1759" s="1973"/>
      <c r="R1759" s="2318" t="s">
        <v>346</v>
      </c>
      <c r="S1759" s="2328" t="s">
        <v>4245</v>
      </c>
      <c r="T1759" s="2329"/>
      <c r="U1759" s="2330"/>
      <c r="V1759" s="2330"/>
      <c r="W1759" s="2330"/>
      <c r="X1759" s="2331">
        <f>O1918</f>
        <v>10</v>
      </c>
      <c r="Y1759" s="2332">
        <f>O1918</f>
        <v>10</v>
      </c>
      <c r="Z1759" s="2338"/>
      <c r="AA1759" s="2339"/>
      <c r="AB1759" s="2333"/>
      <c r="AC1759" s="2334">
        <f>P1918</f>
        <v>0</v>
      </c>
      <c r="AD1759" s="2332">
        <f>P1918</f>
        <v>0</v>
      </c>
      <c r="AE1759" s="2338"/>
      <c r="AF1759" s="2339"/>
      <c r="AG1759" s="2335"/>
    </row>
    <row r="1760" spans="1:33" s="1852" customFormat="1" ht="10.5" customHeight="1">
      <c r="A1760" s="2029" t="s">
        <v>347</v>
      </c>
      <c r="B1760" s="2084" t="s">
        <v>6361</v>
      </c>
      <c r="C1760" s="1967"/>
      <c r="D1760" s="2112"/>
      <c r="E1760" s="2112"/>
      <c r="F1760" s="2112"/>
      <c r="G1760" s="2145">
        <v>1</v>
      </c>
      <c r="H1760" s="2145"/>
      <c r="I1760" s="2145"/>
      <c r="J1760" s="2145"/>
      <c r="K1760" s="2145"/>
      <c r="L1760" s="1973"/>
      <c r="Q1760" s="1973"/>
      <c r="R1760" s="2318" t="s">
        <v>347</v>
      </c>
      <c r="S1760" s="2328" t="s">
        <v>6361</v>
      </c>
      <c r="T1760" s="2329"/>
      <c r="U1760" s="2330"/>
      <c r="V1760" s="2330"/>
      <c r="W1760" s="2330"/>
      <c r="X1760" s="2331">
        <f>O1939</f>
        <v>1</v>
      </c>
      <c r="Y1760" s="2339"/>
      <c r="Z1760" s="2338"/>
      <c r="AA1760" s="2339"/>
      <c r="AB1760" s="2333"/>
      <c r="AC1760" s="2334">
        <f>P1939</f>
        <v>0</v>
      </c>
      <c r="AD1760" s="2339"/>
      <c r="AE1760" s="2338"/>
      <c r="AF1760" s="2339"/>
      <c r="AG1760" s="2335"/>
    </row>
    <row r="1761" spans="1:33" s="1852" customFormat="1" ht="10.5" customHeight="1">
      <c r="A1761" s="2029" t="s">
        <v>348</v>
      </c>
      <c r="B1761" s="2084" t="s">
        <v>3397</v>
      </c>
      <c r="C1761" s="1967"/>
      <c r="D1761" s="2112"/>
      <c r="E1761" s="2112"/>
      <c r="F1761" s="2112"/>
      <c r="G1761" s="2145">
        <v>10</v>
      </c>
      <c r="H1761" s="2145">
        <v>5</v>
      </c>
      <c r="I1761" s="2145"/>
      <c r="J1761" s="2145"/>
      <c r="K1761" s="2145"/>
      <c r="L1761" s="1973"/>
      <c r="P1761" s="2029" t="s">
        <v>6547</v>
      </c>
      <c r="Q1761" s="1973"/>
      <c r="R1761" s="2318" t="s">
        <v>348</v>
      </c>
      <c r="S1761" s="2328" t="s">
        <v>3397</v>
      </c>
      <c r="T1761" s="2329"/>
      <c r="U1761" s="2330"/>
      <c r="V1761" s="2330"/>
      <c r="W1761" s="2330"/>
      <c r="X1761" s="2331">
        <f>O1947</f>
        <v>0</v>
      </c>
      <c r="Y1761" s="2332">
        <f>O1947</f>
        <v>0</v>
      </c>
      <c r="Z1761" s="2338"/>
      <c r="AA1761" s="2339"/>
      <c r="AB1761" s="2333"/>
      <c r="AC1761" s="2334">
        <f>P1947</f>
        <v>0</v>
      </c>
      <c r="AD1761" s="2332">
        <f>P1947</f>
        <v>0</v>
      </c>
      <c r="AE1761" s="2338"/>
      <c r="AF1761" s="2339"/>
      <c r="AG1761" s="2335"/>
    </row>
    <row r="1762" spans="1:33" s="1852" customFormat="1" ht="10.5" customHeight="1">
      <c r="A1762" s="2029" t="s">
        <v>1648</v>
      </c>
      <c r="B1762" s="2084" t="s">
        <v>6362</v>
      </c>
      <c r="C1762" s="1967"/>
      <c r="D1762" s="2112"/>
      <c r="E1762" s="2112"/>
      <c r="F1762" s="2112"/>
      <c r="G1762" s="2145">
        <v>3</v>
      </c>
      <c r="H1762" s="2145"/>
      <c r="I1762" s="2145"/>
      <c r="J1762" s="2145"/>
      <c r="K1762" s="2145"/>
      <c r="L1762" s="1973"/>
      <c r="M1762" s="435" t="str">
        <f>'Part IX Scoring Criteria'!M43</f>
        <v>New Supply</v>
      </c>
      <c r="N1762" s="435"/>
      <c r="O1762" s="435"/>
      <c r="P1762" s="435"/>
      <c r="Q1762" s="1973"/>
      <c r="R1762" s="2318" t="s">
        <v>1648</v>
      </c>
      <c r="S1762" s="2328" t="s">
        <v>6362</v>
      </c>
      <c r="T1762" s="2329"/>
      <c r="U1762" s="2330"/>
      <c r="V1762" s="2330"/>
      <c r="W1762" s="2330"/>
      <c r="X1762" s="2331">
        <f>O1956</f>
        <v>0</v>
      </c>
      <c r="Y1762" s="2339"/>
      <c r="Z1762" s="2338"/>
      <c r="AA1762" s="2339"/>
      <c r="AB1762" s="2333"/>
      <c r="AC1762" s="2334">
        <f>P1956</f>
        <v>0</v>
      </c>
      <c r="AD1762" s="2339"/>
      <c r="AE1762" s="2338"/>
      <c r="AF1762" s="2339"/>
      <c r="AG1762" s="2335"/>
    </row>
    <row r="1763" spans="1:33" s="1852" customFormat="1" ht="10.5" customHeight="1">
      <c r="A1763" s="2029" t="s">
        <v>3522</v>
      </c>
      <c r="B1763" s="2084" t="s">
        <v>4249</v>
      </c>
      <c r="C1763" s="1967"/>
      <c r="D1763" s="2112"/>
      <c r="E1763" s="2112"/>
      <c r="F1763" s="2112"/>
      <c r="G1763" s="2145">
        <v>5</v>
      </c>
      <c r="H1763" s="2145"/>
      <c r="I1763" s="2145"/>
      <c r="J1763" s="2145"/>
      <c r="K1763" s="2145"/>
      <c r="L1763" s="1973"/>
      <c r="P1763" s="2029" t="s">
        <v>3381</v>
      </c>
      <c r="Q1763" s="1973"/>
      <c r="R1763" s="2318" t="s">
        <v>3522</v>
      </c>
      <c r="S1763" s="2328" t="s">
        <v>4249</v>
      </c>
      <c r="T1763" s="2329"/>
      <c r="U1763" s="2330"/>
      <c r="V1763" s="2330"/>
      <c r="W1763" s="2330"/>
      <c r="X1763" s="2331">
        <f>O1966</f>
        <v>3</v>
      </c>
      <c r="Y1763" s="2339"/>
      <c r="Z1763" s="2338"/>
      <c r="AA1763" s="2339"/>
      <c r="AB1763" s="2333"/>
      <c r="AC1763" s="2334">
        <f>P1966</f>
        <v>0</v>
      </c>
      <c r="AD1763" s="2339"/>
      <c r="AE1763" s="2338"/>
      <c r="AF1763" s="2339"/>
      <c r="AG1763" s="2335"/>
    </row>
    <row r="1764" spans="1:33" s="1852" customFormat="1" ht="10.5" customHeight="1">
      <c r="A1764" s="2029" t="s">
        <v>2150</v>
      </c>
      <c r="B1764" s="2084" t="s">
        <v>3969</v>
      </c>
      <c r="C1764" s="1967"/>
      <c r="D1764" s="2112"/>
      <c r="E1764" s="2112"/>
      <c r="F1764" s="2112"/>
      <c r="G1764" s="2145">
        <v>4</v>
      </c>
      <c r="H1764" s="2145">
        <v>4</v>
      </c>
      <c r="I1764" s="2145">
        <v>4</v>
      </c>
      <c r="J1764" s="2145">
        <v>4</v>
      </c>
      <c r="K1764" s="2145">
        <v>4</v>
      </c>
      <c r="L1764" s="2342"/>
      <c r="M1764" s="1967" t="s">
        <v>7160</v>
      </c>
      <c r="N1764" s="1973"/>
      <c r="P1764" s="2343">
        <f>'Part IX Scoring Criteria'!P45</f>
        <v>48</v>
      </c>
      <c r="R1764" s="2318" t="s">
        <v>2150</v>
      </c>
      <c r="S1764" s="2328" t="s">
        <v>3969</v>
      </c>
      <c r="T1764" s="2329"/>
      <c r="U1764" s="2330"/>
      <c r="V1764" s="2330"/>
      <c r="W1764" s="2330"/>
      <c r="X1764" s="2331">
        <f>O1975</f>
        <v>4</v>
      </c>
      <c r="Y1764" s="2332">
        <f>O1975</f>
        <v>4</v>
      </c>
      <c r="Z1764" s="2331">
        <f>O1975</f>
        <v>4</v>
      </c>
      <c r="AA1764" s="2332">
        <f>O1975</f>
        <v>4</v>
      </c>
      <c r="AB1764" s="2344">
        <f>O1975</f>
        <v>4</v>
      </c>
      <c r="AC1764" s="2334">
        <f>P1975</f>
        <v>0</v>
      </c>
      <c r="AD1764" s="2332">
        <f>P1975</f>
        <v>0</v>
      </c>
      <c r="AE1764" s="2331">
        <f>P1975</f>
        <v>0</v>
      </c>
      <c r="AF1764" s="2332">
        <f>P1975</f>
        <v>0</v>
      </c>
      <c r="AG1764" s="2345">
        <f>P1975</f>
        <v>0</v>
      </c>
    </row>
    <row r="1765" spans="1:33" s="1852" customFormat="1" ht="10.5" customHeight="1">
      <c r="A1765" s="2029" t="s">
        <v>3522</v>
      </c>
      <c r="B1765" s="2084" t="s">
        <v>6363</v>
      </c>
      <c r="C1765" s="1967"/>
      <c r="D1765" s="2112"/>
      <c r="E1765" s="2112"/>
      <c r="F1765" s="2112"/>
      <c r="G1765" s="2145">
        <v>2</v>
      </c>
      <c r="H1765" s="2145"/>
      <c r="I1765" s="2145">
        <v>2</v>
      </c>
      <c r="J1765" s="2145"/>
      <c r="K1765" s="2145"/>
      <c r="L1765" s="1973"/>
      <c r="M1765" s="1967" t="s">
        <v>6577</v>
      </c>
      <c r="N1765" s="1875"/>
      <c r="O1765" s="1875"/>
      <c r="P1765" s="2343">
        <f>'Part IX Scoring Criteria'!P46</f>
        <v>0</v>
      </c>
      <c r="Q1765" s="1973"/>
      <c r="R1765" s="2318" t="s">
        <v>3522</v>
      </c>
      <c r="S1765" s="2328" t="s">
        <v>6363</v>
      </c>
      <c r="T1765" s="2329"/>
      <c r="U1765" s="2330"/>
      <c r="V1765" s="2330"/>
      <c r="W1765" s="2330"/>
      <c r="X1765" s="2331"/>
      <c r="Y1765" s="2339"/>
      <c r="Z1765" s="2338"/>
      <c r="AA1765" s="2339"/>
      <c r="AB1765" s="2333"/>
      <c r="AC1765" s="2341">
        <f>P1988</f>
        <v>0</v>
      </c>
      <c r="AD1765" s="2339"/>
      <c r="AE1765" s="2338">
        <f>P1988</f>
        <v>0</v>
      </c>
      <c r="AF1765" s="2339"/>
      <c r="AG1765" s="2335"/>
    </row>
    <row r="1766" spans="1:33" s="1852" customFormat="1" ht="10.5" customHeight="1">
      <c r="A1766" s="2029" t="s">
        <v>3523</v>
      </c>
      <c r="B1766" s="2084" t="s">
        <v>3551</v>
      </c>
      <c r="C1766" s="1967"/>
      <c r="D1766" s="2112"/>
      <c r="E1766" s="2112"/>
      <c r="F1766" s="2112"/>
      <c r="G1766" s="2145">
        <v>2</v>
      </c>
      <c r="H1766" s="2145"/>
      <c r="I1766" s="2145">
        <v>2</v>
      </c>
      <c r="J1766" s="2145"/>
      <c r="K1766" s="2145">
        <v>2</v>
      </c>
      <c r="L1766" s="1973"/>
      <c r="M1766" s="2127" t="s">
        <v>7083</v>
      </c>
      <c r="N1766" s="2127"/>
      <c r="O1766" s="2127"/>
      <c r="P1766" s="2127"/>
      <c r="Q1766" s="458"/>
      <c r="R1766" s="2318" t="s">
        <v>3523</v>
      </c>
      <c r="S1766" s="2328" t="s">
        <v>3551</v>
      </c>
      <c r="T1766" s="2329"/>
      <c r="U1766" s="2330"/>
      <c r="V1766" s="2330"/>
      <c r="W1766" s="2330"/>
      <c r="X1766" s="2331">
        <f>O2005</f>
        <v>0</v>
      </c>
      <c r="Y1766" s="2339"/>
      <c r="Z1766" s="2331">
        <f>O2005</f>
        <v>0</v>
      </c>
      <c r="AA1766" s="2339"/>
      <c r="AB1766" s="2344">
        <f>O2005</f>
        <v>0</v>
      </c>
      <c r="AC1766" s="2334">
        <f>P2005</f>
        <v>0</v>
      </c>
      <c r="AD1766" s="2339"/>
      <c r="AE1766" s="2331">
        <f>P2005</f>
        <v>0</v>
      </c>
      <c r="AF1766" s="2339"/>
      <c r="AG1766" s="2345">
        <f>P2005</f>
        <v>0</v>
      </c>
    </row>
    <row r="1767" spans="1:33" s="1852" customFormat="1" ht="10.5" customHeight="1">
      <c r="A1767" s="2029" t="s">
        <v>3521</v>
      </c>
      <c r="B1767" s="2084" t="s">
        <v>3552</v>
      </c>
      <c r="C1767" s="1967"/>
      <c r="D1767" s="2112"/>
      <c r="E1767" s="2112"/>
      <c r="F1767" s="2112"/>
      <c r="G1767" s="2145">
        <v>4</v>
      </c>
      <c r="H1767" s="2145">
        <v>4</v>
      </c>
      <c r="I1767" s="2145">
        <v>4</v>
      </c>
      <c r="J1767" s="2145">
        <v>4</v>
      </c>
      <c r="K1767" s="2145">
        <v>4</v>
      </c>
      <c r="L1767" s="1973"/>
      <c r="M1767" s="2127"/>
      <c r="N1767" s="2127"/>
      <c r="O1767" s="2127"/>
      <c r="P1767" s="2127"/>
      <c r="R1767" s="2318" t="s">
        <v>3521</v>
      </c>
      <c r="S1767" s="2328" t="s">
        <v>3552</v>
      </c>
      <c r="T1767" s="2329"/>
      <c r="U1767" s="2330"/>
      <c r="V1767" s="2330"/>
      <c r="W1767" s="2330"/>
      <c r="X1767" s="2331">
        <f>O2013</f>
        <v>0</v>
      </c>
      <c r="Y1767" s="2332">
        <f>O2013</f>
        <v>0</v>
      </c>
      <c r="Z1767" s="2331">
        <f>O2013</f>
        <v>0</v>
      </c>
      <c r="AA1767" s="2332">
        <f>O2013</f>
        <v>0</v>
      </c>
      <c r="AB1767" s="2344">
        <f>O2013</f>
        <v>0</v>
      </c>
      <c r="AC1767" s="2334">
        <f>P2013</f>
        <v>0</v>
      </c>
      <c r="AD1767" s="2332">
        <f>P2013</f>
        <v>0</v>
      </c>
      <c r="AE1767" s="2331">
        <f>P2013</f>
        <v>0</v>
      </c>
      <c r="AF1767" s="2332">
        <f>P2013</f>
        <v>0</v>
      </c>
      <c r="AG1767" s="2345">
        <f>P2013</f>
        <v>0</v>
      </c>
    </row>
    <row r="1768" spans="1:33" s="1852" customFormat="1" ht="10.5" customHeight="1">
      <c r="A1768" s="2029" t="s">
        <v>3524</v>
      </c>
      <c r="B1768" s="2084" t="s">
        <v>3553</v>
      </c>
      <c r="C1768" s="1967"/>
      <c r="D1768" s="2112"/>
      <c r="E1768" s="2112"/>
      <c r="F1768" s="2112"/>
      <c r="G1768" s="2145">
        <v>2</v>
      </c>
      <c r="H1768" s="2145"/>
      <c r="I1768" s="2145"/>
      <c r="J1768" s="2145"/>
      <c r="K1768" s="2145"/>
      <c r="L1768" s="1973"/>
      <c r="M1768" s="2127"/>
      <c r="N1768" s="2127"/>
      <c r="O1768" s="2127"/>
      <c r="P1768" s="2127"/>
      <c r="R1768" s="2318" t="s">
        <v>3524</v>
      </c>
      <c r="S1768" s="2328" t="s">
        <v>3553</v>
      </c>
      <c r="T1768" s="2329"/>
      <c r="U1768" s="2330"/>
      <c r="V1768" s="2330"/>
      <c r="W1768" s="2330"/>
      <c r="X1768" s="2338">
        <f>O2049</f>
        <v>0</v>
      </c>
      <c r="Y1768" s="2339"/>
      <c r="Z1768" s="2338"/>
      <c r="AA1768" s="2339"/>
      <c r="AB1768" s="2333"/>
      <c r="AC1768" s="2341">
        <f>P2049</f>
        <v>0</v>
      </c>
      <c r="AD1768" s="2339"/>
      <c r="AE1768" s="2338"/>
      <c r="AF1768" s="2339"/>
      <c r="AG1768" s="2335"/>
    </row>
    <row r="1769" spans="1:33" s="1852" customFormat="1" ht="10.5" customHeight="1">
      <c r="A1769" s="2029" t="s">
        <v>3525</v>
      </c>
      <c r="B1769" s="2084" t="s">
        <v>6364</v>
      </c>
      <c r="C1769" s="1967"/>
      <c r="D1769" s="2112"/>
      <c r="E1769" s="2112"/>
      <c r="F1769" s="2112"/>
      <c r="G1769" s="2145">
        <v>10</v>
      </c>
      <c r="H1769" s="2145">
        <v>10</v>
      </c>
      <c r="I1769" s="2145">
        <v>10</v>
      </c>
      <c r="J1769" s="2145">
        <v>10</v>
      </c>
      <c r="K1769" s="2145">
        <v>10</v>
      </c>
      <c r="L1769" s="1973"/>
      <c r="M1769" s="2127"/>
      <c r="N1769" s="2127"/>
      <c r="O1769" s="2127"/>
      <c r="P1769" s="2127"/>
      <c r="R1769" s="2318" t="s">
        <v>3525</v>
      </c>
      <c r="S1769" s="2328" t="s">
        <v>6364</v>
      </c>
      <c r="T1769" s="2329"/>
      <c r="U1769" s="2330"/>
      <c r="V1769" s="2330"/>
      <c r="W1769" s="2330"/>
      <c r="X1769" s="2331">
        <f>O2069</f>
        <v>10</v>
      </c>
      <c r="Y1769" s="2332">
        <f>O2069</f>
        <v>10</v>
      </c>
      <c r="Z1769" s="2331">
        <f>O2069</f>
        <v>10</v>
      </c>
      <c r="AA1769" s="2332">
        <f>O2069</f>
        <v>10</v>
      </c>
      <c r="AB1769" s="2344">
        <f>O2069</f>
        <v>10</v>
      </c>
      <c r="AC1769" s="2334">
        <f>P2069</f>
        <v>10</v>
      </c>
      <c r="AD1769" s="2332">
        <f>P2069</f>
        <v>10</v>
      </c>
      <c r="AE1769" s="2331">
        <f>P2069</f>
        <v>10</v>
      </c>
      <c r="AF1769" s="2332">
        <f>P2069</f>
        <v>10</v>
      </c>
      <c r="AG1769" s="2345">
        <f>P2069</f>
        <v>10</v>
      </c>
    </row>
    <row r="1770" spans="1:33" s="1852" customFormat="1" ht="10.5" customHeight="1">
      <c r="A1770" s="2029" t="s">
        <v>3528</v>
      </c>
      <c r="B1770" s="2084" t="s">
        <v>6365</v>
      </c>
      <c r="C1770" s="1967"/>
      <c r="D1770" s="2112"/>
      <c r="E1770" s="2112"/>
      <c r="F1770" s="2112"/>
      <c r="G1770" s="2145">
        <v>2</v>
      </c>
      <c r="H1770" s="2145"/>
      <c r="I1770" s="2145">
        <v>2</v>
      </c>
      <c r="J1770" s="2145"/>
      <c r="K1770" s="2145"/>
      <c r="L1770" s="1973"/>
      <c r="M1770" s="2127"/>
      <c r="N1770" s="2127"/>
      <c r="O1770" s="2127"/>
      <c r="P1770" s="2127"/>
      <c r="R1770" s="2318" t="s">
        <v>3528</v>
      </c>
      <c r="S1770" s="2328" t="s">
        <v>6365</v>
      </c>
      <c r="T1770" s="2329"/>
      <c r="U1770" s="2330"/>
      <c r="V1770" s="2330"/>
      <c r="W1770" s="2330"/>
      <c r="X1770" s="2331">
        <f>O2077</f>
        <v>2</v>
      </c>
      <c r="Y1770" s="2339"/>
      <c r="Z1770" s="2331">
        <f>O2077</f>
        <v>2</v>
      </c>
      <c r="AA1770" s="2339"/>
      <c r="AB1770" s="2333"/>
      <c r="AC1770" s="2334">
        <f>P2077</f>
        <v>0</v>
      </c>
      <c r="AD1770" s="2339"/>
      <c r="AE1770" s="2331">
        <f>P2077</f>
        <v>0</v>
      </c>
      <c r="AF1770" s="2339"/>
      <c r="AG1770" s="2335"/>
    </row>
    <row r="1771" spans="1:33" s="1852" customFormat="1" ht="10.5" customHeight="1">
      <c r="A1771" s="2029" t="s">
        <v>3529</v>
      </c>
      <c r="B1771" s="2084" t="s">
        <v>6366</v>
      </c>
      <c r="C1771" s="1967"/>
      <c r="D1771" s="2112"/>
      <c r="E1771" s="2112"/>
      <c r="F1771" s="2112"/>
      <c r="G1771" s="2145"/>
      <c r="H1771" s="2145"/>
      <c r="I1771" s="2145">
        <v>6</v>
      </c>
      <c r="J1771" s="2145">
        <v>6</v>
      </c>
      <c r="K1771" s="2145">
        <v>6</v>
      </c>
      <c r="L1771" s="1973"/>
      <c r="M1771" s="2127"/>
      <c r="N1771" s="2127"/>
      <c r="O1771" s="2127"/>
      <c r="P1771" s="2127"/>
      <c r="R1771" s="2318" t="s">
        <v>3529</v>
      </c>
      <c r="S1771" s="2328" t="s">
        <v>6366</v>
      </c>
      <c r="T1771" s="2329"/>
      <c r="U1771" s="2330"/>
      <c r="V1771" s="2330"/>
      <c r="W1771" s="2330"/>
      <c r="X1771" s="2338"/>
      <c r="Y1771" s="2339"/>
      <c r="Z1771" s="2331">
        <f>O2098</f>
        <v>0</v>
      </c>
      <c r="AA1771" s="2332">
        <f>O2098</f>
        <v>0</v>
      </c>
      <c r="AB1771" s="2344">
        <f>O2098</f>
        <v>0</v>
      </c>
      <c r="AC1771" s="2341"/>
      <c r="AD1771" s="2339"/>
      <c r="AE1771" s="2331">
        <f>P2098</f>
        <v>0</v>
      </c>
      <c r="AF1771" s="2332">
        <f>P2098</f>
        <v>0</v>
      </c>
      <c r="AG1771" s="2345">
        <f>P2098</f>
        <v>0</v>
      </c>
    </row>
    <row r="1772" spans="1:33" s="1852" customFormat="1" ht="10.5" customHeight="1">
      <c r="A1772" s="2029" t="s">
        <v>3530</v>
      </c>
      <c r="B1772" s="2084" t="s">
        <v>6367</v>
      </c>
      <c r="C1772" s="1967"/>
      <c r="D1772" s="2112"/>
      <c r="E1772" s="2112"/>
      <c r="F1772" s="2112"/>
      <c r="G1772" s="2145"/>
      <c r="H1772" s="2145"/>
      <c r="I1772" s="2145">
        <v>6</v>
      </c>
      <c r="J1772" s="2145"/>
      <c r="K1772" s="2145"/>
      <c r="L1772" s="1973"/>
      <c r="M1772" s="2070" t="str">
        <f>'Part IX Scoring Criteria'!M53</f>
        <v>New Supply</v>
      </c>
      <c r="N1772" s="2070"/>
      <c r="O1772" s="2070"/>
      <c r="P1772" s="2070"/>
      <c r="Q1772" s="1973"/>
      <c r="R1772" s="2318" t="s">
        <v>3530</v>
      </c>
      <c r="S1772" s="2328" t="s">
        <v>6367</v>
      </c>
      <c r="T1772" s="2329"/>
      <c r="U1772" s="2330"/>
      <c r="V1772" s="2330"/>
      <c r="W1772" s="2330"/>
      <c r="X1772" s="2338"/>
      <c r="Y1772" s="2339"/>
      <c r="Z1772" s="2338">
        <f>O2102</f>
        <v>0</v>
      </c>
      <c r="AA1772" s="2339"/>
      <c r="AB1772" s="2333"/>
      <c r="AC1772" s="2341"/>
      <c r="AD1772" s="2339"/>
      <c r="AE1772" s="2338">
        <f>P2102</f>
        <v>0</v>
      </c>
      <c r="AF1772" s="2339"/>
      <c r="AG1772" s="2335"/>
    </row>
    <row r="1773" spans="1:33" s="1852" customFormat="1" ht="10.5" customHeight="1">
      <c r="A1773" s="2029" t="s">
        <v>3531</v>
      </c>
      <c r="B1773" s="2084" t="s">
        <v>6368</v>
      </c>
      <c r="C1773" s="1967"/>
      <c r="D1773" s="2112"/>
      <c r="E1773" s="2112"/>
      <c r="F1773" s="2112"/>
      <c r="G1773" s="2145"/>
      <c r="H1773" s="2145"/>
      <c r="I1773" s="2145"/>
      <c r="J1773" s="2145">
        <v>4</v>
      </c>
      <c r="K1773" s="2145"/>
      <c r="L1773" s="1973"/>
      <c r="Q1773" s="1973"/>
      <c r="R1773" s="2318" t="s">
        <v>3531</v>
      </c>
      <c r="S1773" s="2328" t="s">
        <v>6368</v>
      </c>
      <c r="T1773" s="2329"/>
      <c r="U1773" s="2330"/>
      <c r="V1773" s="2330"/>
      <c r="W1773" s="2330"/>
      <c r="X1773" s="2338"/>
      <c r="Y1773" s="2339"/>
      <c r="Z1773" s="2338"/>
      <c r="AA1773" s="2332">
        <f>O2106</f>
        <v>0</v>
      </c>
      <c r="AB1773" s="2333"/>
      <c r="AC1773" s="2341"/>
      <c r="AD1773" s="2339"/>
      <c r="AE1773" s="2338"/>
      <c r="AF1773" s="2332">
        <f>P2106</f>
        <v>0</v>
      </c>
      <c r="AG1773" s="2335"/>
    </row>
    <row r="1774" spans="1:33" s="1852" customFormat="1" ht="10.5" customHeight="1">
      <c r="A1774" s="2029" t="s">
        <v>3532</v>
      </c>
      <c r="B1774" s="2084" t="s">
        <v>6369</v>
      </c>
      <c r="C1774" s="1967"/>
      <c r="D1774" s="2112"/>
      <c r="E1774" s="2112"/>
      <c r="F1774" s="2112"/>
      <c r="G1774" s="2145"/>
      <c r="H1774" s="2145"/>
      <c r="I1774" s="2145">
        <v>2</v>
      </c>
      <c r="J1774" s="2145"/>
      <c r="K1774" s="2145">
        <v>2</v>
      </c>
      <c r="L1774" s="1973"/>
      <c r="M1774" s="1967" t="s">
        <v>6376</v>
      </c>
      <c r="N1774" s="1967"/>
      <c r="O1774" s="1967"/>
      <c r="P1774" s="1967"/>
      <c r="Q1774" s="1973"/>
      <c r="R1774" s="2318" t="s">
        <v>3532</v>
      </c>
      <c r="S1774" s="2328" t="s">
        <v>6369</v>
      </c>
      <c r="T1774" s="2329"/>
      <c r="U1774" s="2330"/>
      <c r="V1774" s="2330"/>
      <c r="W1774" s="2330"/>
      <c r="X1774" s="2338"/>
      <c r="Y1774" s="2339"/>
      <c r="Z1774" s="2331">
        <f>O2110</f>
        <v>0</v>
      </c>
      <c r="AA1774" s="2339"/>
      <c r="AB1774" s="2344">
        <f>O2110</f>
        <v>0</v>
      </c>
      <c r="AC1774" s="2341"/>
      <c r="AD1774" s="2339"/>
      <c r="AE1774" s="2331">
        <f>P2110</f>
        <v>0</v>
      </c>
      <c r="AF1774" s="2339"/>
      <c r="AG1774" s="2345">
        <f>P2110</f>
        <v>0</v>
      </c>
    </row>
    <row r="1775" spans="1:33" s="1852" customFormat="1" ht="10.5" customHeight="1">
      <c r="A1775" s="2029" t="s">
        <v>3533</v>
      </c>
      <c r="B1775" s="2084" t="s">
        <v>6370</v>
      </c>
      <c r="C1775" s="1967"/>
      <c r="D1775" s="2112"/>
      <c r="E1775" s="2112"/>
      <c r="F1775" s="2112"/>
      <c r="G1775" s="2145"/>
      <c r="H1775" s="2145">
        <v>16</v>
      </c>
      <c r="I1775" s="2145"/>
      <c r="J1775" s="2145">
        <v>16</v>
      </c>
      <c r="K1775" s="2145"/>
      <c r="L1775" s="1973"/>
      <c r="M1775" s="1864" t="str">
        <f>'Part I-Project Information'!$H$105</f>
        <v>Rural</v>
      </c>
      <c r="N1775" s="1864"/>
      <c r="O1775" s="1864"/>
      <c r="P1775" s="1864"/>
      <c r="Q1775" s="1973"/>
      <c r="R1775" s="2318" t="s">
        <v>3533</v>
      </c>
      <c r="S1775" s="2346" t="s">
        <v>6370</v>
      </c>
      <c r="T1775" s="2347"/>
      <c r="U1775" s="2348"/>
      <c r="V1775" s="2348"/>
      <c r="W1775" s="2348"/>
      <c r="X1775" s="2349"/>
      <c r="Y1775" s="2350">
        <f>O2114</f>
        <v>0</v>
      </c>
      <c r="Z1775" s="2349"/>
      <c r="AA1775" s="2350">
        <f>O2114</f>
        <v>0</v>
      </c>
      <c r="AB1775" s="2351"/>
      <c r="AC1775" s="2352"/>
      <c r="AD1775" s="2350">
        <f>P2114</f>
        <v>0</v>
      </c>
      <c r="AE1775" s="2349"/>
      <c r="AF1775" s="2350">
        <f>P2114</f>
        <v>0</v>
      </c>
      <c r="AG1775" s="2353"/>
    </row>
    <row r="1776" spans="1:33" s="2274" customFormat="1" ht="2.25" customHeight="1">
      <c r="A1776" s="1818"/>
      <c r="B1776" s="2255"/>
      <c r="C1776" s="435"/>
      <c r="D1776" s="1719"/>
      <c r="E1776" s="1719"/>
      <c r="F1776" s="1719"/>
      <c r="G1776" s="1719"/>
      <c r="H1776" s="1719"/>
      <c r="I1776" s="1719"/>
      <c r="J1776" s="1719"/>
      <c r="K1776" s="1719"/>
      <c r="L1776" s="1818"/>
      <c r="M1776" s="2108"/>
      <c r="N1776" s="2051"/>
      <c r="O1776" s="2192"/>
      <c r="P1776" s="2108"/>
      <c r="R1776" s="2354"/>
      <c r="S1776" s="2354"/>
      <c r="T1776" s="2355"/>
      <c r="U1776" s="2355"/>
      <c r="V1776" s="2355"/>
      <c r="W1776" s="2355"/>
      <c r="X1776" s="2355"/>
      <c r="Y1776" s="2355"/>
      <c r="Z1776" s="2355"/>
      <c r="AA1776" s="2355"/>
      <c r="AB1776" s="2355"/>
      <c r="AC1776" s="2355"/>
      <c r="AD1776" s="2355"/>
      <c r="AE1776" s="2355"/>
      <c r="AF1776" s="2355"/>
      <c r="AG1776" s="2355"/>
    </row>
    <row r="1777" spans="1:33" s="2274" customFormat="1" ht="6" customHeight="1">
      <c r="A1777" s="1818"/>
      <c r="B1777" s="2255"/>
      <c r="C1777" s="435"/>
      <c r="D1777" s="1719" t="s">
        <v>6535</v>
      </c>
      <c r="E1777" s="1719"/>
      <c r="F1777" s="1719"/>
      <c r="G1777" s="2200">
        <f>SUM(G1752:G1775)</f>
        <v>107</v>
      </c>
      <c r="H1777" s="2200">
        <f t="shared" ref="H1777:K1777" si="383">SUM(H1752:H1775)</f>
        <v>70</v>
      </c>
      <c r="I1777" s="2200">
        <f t="shared" si="383"/>
        <v>51</v>
      </c>
      <c r="J1777" s="2200">
        <f t="shared" si="383"/>
        <v>47</v>
      </c>
      <c r="K1777" s="2200">
        <f t="shared" si="383"/>
        <v>38</v>
      </c>
      <c r="L1777" s="1818"/>
      <c r="M1777" s="2108"/>
      <c r="N1777" s="2051"/>
      <c r="O1777" s="2192"/>
      <c r="P1777" s="2108"/>
      <c r="R1777" s="2354"/>
      <c r="S1777" s="2354"/>
      <c r="T1777" s="2355"/>
      <c r="U1777" s="2355"/>
      <c r="V1777" s="2355"/>
      <c r="W1777" s="2355"/>
      <c r="X1777" s="2356">
        <f>SUM(X1752:X1775)</f>
        <v>67</v>
      </c>
      <c r="Y1777" s="2356">
        <f t="shared" ref="Y1777:AB1777" si="384">SUM(Y1752:Y1775)</f>
        <v>51</v>
      </c>
      <c r="Z1777" s="2356">
        <f t="shared" si="384"/>
        <v>28</v>
      </c>
      <c r="AA1777" s="2356">
        <f t="shared" si="384"/>
        <v>16</v>
      </c>
      <c r="AB1777" s="2356">
        <f t="shared" si="384"/>
        <v>24</v>
      </c>
      <c r="AC1777" s="2356">
        <f>SUM(AC1752:AC1775)</f>
        <v>20</v>
      </c>
      <c r="AD1777" s="2356">
        <f t="shared" ref="AD1777:AG1777" si="385">SUM(AD1752:AD1775)</f>
        <v>10</v>
      </c>
      <c r="AE1777" s="2356">
        <f t="shared" si="385"/>
        <v>20</v>
      </c>
      <c r="AF1777" s="2356">
        <f t="shared" si="385"/>
        <v>10</v>
      </c>
      <c r="AG1777" s="2356">
        <f t="shared" si="385"/>
        <v>20</v>
      </c>
    </row>
    <row r="1778" spans="1:33" s="1818" customFormat="1" ht="13.5" customHeight="1">
      <c r="A1778" s="2306" t="s">
        <v>712</v>
      </c>
      <c r="B1778" s="2153" t="s">
        <v>2607</v>
      </c>
      <c r="F1778" s="435"/>
      <c r="G1778" s="435"/>
      <c r="H1778" s="1864" t="s">
        <v>7161</v>
      </c>
      <c r="M1778" s="2108">
        <v>10</v>
      </c>
      <c r="N1778" s="2357"/>
      <c r="O1778" s="2192">
        <v>10</v>
      </c>
      <c r="P1778" s="2192">
        <f>MIN($M1778, $M1778-P1781-P1786-P1782)</f>
        <v>10</v>
      </c>
      <c r="Q1778" s="2108" t="s">
        <v>422</v>
      </c>
      <c r="R1778" s="435"/>
    </row>
    <row r="1779" spans="1:33" s="2274" customFormat="1" ht="3.6" customHeight="1">
      <c r="A1779" s="1818"/>
      <c r="B1779" s="2255"/>
      <c r="C1779" s="435"/>
      <c r="D1779" s="1719"/>
      <c r="E1779" s="1719"/>
      <c r="F1779" s="1719"/>
      <c r="G1779" s="1719"/>
      <c r="H1779" s="1719"/>
      <c r="I1779" s="1719"/>
      <c r="J1779" s="1719"/>
      <c r="K1779" s="1719"/>
      <c r="L1779" s="1818"/>
      <c r="M1779" s="2108"/>
      <c r="N1779" s="2051"/>
      <c r="O1779" s="2192"/>
      <c r="P1779" s="2108"/>
      <c r="R1779" s="1818"/>
      <c r="S1779" s="1818"/>
    </row>
    <row r="1780" spans="1:33" s="1818" customFormat="1" ht="12.75" customHeight="1">
      <c r="A1780" s="2141" t="s">
        <v>1894</v>
      </c>
      <c r="B1780" s="1719" t="s">
        <v>3970</v>
      </c>
      <c r="D1780" s="1719"/>
      <c r="E1780" s="1719"/>
      <c r="F1780" s="2164"/>
      <c r="N1780" s="2255" t="s">
        <v>1894</v>
      </c>
      <c r="P1780" s="2172">
        <f>SUM(P1781:P1783)</f>
        <v>0</v>
      </c>
      <c r="Q1780" s="435" t="s">
        <v>7162</v>
      </c>
    </row>
    <row r="1781" spans="1:33" s="2274" customFormat="1" ht="12.75" customHeight="1">
      <c r="A1781" s="2141"/>
      <c r="B1781" s="2358" t="s">
        <v>1897</v>
      </c>
      <c r="C1781" s="1719" t="s">
        <v>3973</v>
      </c>
      <c r="D1781" s="1719"/>
      <c r="E1781" s="1719"/>
      <c r="F1781" s="2164"/>
      <c r="H1781" s="1864" t="s">
        <v>3299</v>
      </c>
      <c r="J1781" s="2156"/>
      <c r="N1781" s="2359" t="s">
        <v>1897</v>
      </c>
      <c r="P1781" s="2172">
        <f>F1789</f>
        <v>0</v>
      </c>
    </row>
    <row r="1782" spans="1:33" s="2274" customFormat="1" ht="12.75" customHeight="1">
      <c r="A1782" s="2141"/>
      <c r="B1782" s="2358" t="s">
        <v>1899</v>
      </c>
      <c r="C1782" s="1719" t="s">
        <v>7163</v>
      </c>
      <c r="D1782" s="1719"/>
      <c r="E1782" s="1719"/>
      <c r="F1782" s="2164"/>
      <c r="H1782" s="1864" t="s">
        <v>3971</v>
      </c>
      <c r="J1782" s="2156"/>
      <c r="N1782" s="2359" t="s">
        <v>1899</v>
      </c>
      <c r="P1782" s="2172">
        <f>J1789</f>
        <v>0</v>
      </c>
    </row>
    <row r="1783" spans="1:33" s="2274" customFormat="1" ht="12.75" customHeight="1">
      <c r="A1783" s="2141"/>
      <c r="B1783" s="2358" t="s">
        <v>2417</v>
      </c>
      <c r="C1783" s="1719" t="s">
        <v>3972</v>
      </c>
      <c r="D1783" s="1719"/>
      <c r="E1783" s="1719"/>
      <c r="F1783" s="2164"/>
      <c r="H1783" s="1864" t="s">
        <v>3976</v>
      </c>
      <c r="J1783" s="2156"/>
      <c r="N1783" s="2359" t="s">
        <v>2417</v>
      </c>
      <c r="P1783" s="2122"/>
    </row>
    <row r="1784" spans="1:33" s="2274" customFormat="1" ht="12.75" customHeight="1">
      <c r="C1784" s="1905" t="s">
        <v>7084</v>
      </c>
      <c r="D1784" s="1905"/>
      <c r="E1784" s="1905"/>
      <c r="F1784" s="1905"/>
      <c r="G1784" s="1905"/>
      <c r="H1784" s="1905"/>
      <c r="I1784" s="1905"/>
      <c r="J1784" s="1905"/>
      <c r="K1784" s="1905"/>
      <c r="L1784" s="1905"/>
      <c r="M1784" s="1905"/>
      <c r="N1784" s="1905"/>
      <c r="O1784" s="1905"/>
      <c r="P1784" s="1905"/>
      <c r="Q1784" s="1855"/>
      <c r="R1784" s="1855"/>
    </row>
    <row r="1785" spans="1:33" s="2274" customFormat="1" ht="3" customHeight="1">
      <c r="A1785" s="2164"/>
      <c r="B1785" s="2360"/>
      <c r="C1785" s="2361"/>
      <c r="D1785" s="2223"/>
      <c r="K1785" s="2261"/>
      <c r="L1785" s="2261"/>
      <c r="M1785" s="2117"/>
      <c r="N1785" s="2359"/>
      <c r="O1785" s="2362"/>
      <c r="P1785" s="2362"/>
    </row>
    <row r="1786" spans="1:33" s="1818" customFormat="1" ht="12.75" customHeight="1">
      <c r="A1786" s="2141" t="s">
        <v>1896</v>
      </c>
      <c r="B1786" s="1719" t="s">
        <v>696</v>
      </c>
      <c r="D1786" s="1719"/>
      <c r="E1786" s="1719"/>
      <c r="F1786" s="2164"/>
      <c r="H1786" s="1864" t="s">
        <v>7164</v>
      </c>
      <c r="J1786" s="2156"/>
      <c r="M1786" s="2108"/>
      <c r="N1786" s="2255" t="s">
        <v>1896</v>
      </c>
      <c r="P1786" s="2172">
        <f>O1789</f>
        <v>0</v>
      </c>
      <c r="Q1786" s="435" t="s">
        <v>7162</v>
      </c>
    </row>
    <row r="1787" spans="1:33" s="2274" customFormat="1" ht="3" customHeight="1">
      <c r="A1787" s="2164"/>
      <c r="B1787" s="2360"/>
      <c r="C1787" s="2361"/>
      <c r="D1787" s="2223"/>
      <c r="K1787" s="2261"/>
      <c r="L1787" s="2261"/>
      <c r="M1787" s="2117"/>
      <c r="N1787" s="2359"/>
      <c r="O1787" s="2362"/>
      <c r="P1787" s="2362"/>
    </row>
    <row r="1788" spans="1:33" s="1818" customFormat="1" ht="12.75" customHeight="1">
      <c r="A1788" s="1875" t="s">
        <v>7085</v>
      </c>
      <c r="B1788" s="1875"/>
      <c r="C1788" s="1875"/>
      <c r="D1788" s="1875"/>
      <c r="E1788" s="1875"/>
      <c r="F1788" s="2044" t="s">
        <v>3545</v>
      </c>
      <c r="G1788" s="435" t="s">
        <v>7086</v>
      </c>
      <c r="H1788" s="435"/>
      <c r="I1788" s="435"/>
      <c r="J1788" s="2044" t="s">
        <v>3545</v>
      </c>
      <c r="K1788" s="2112" t="s">
        <v>7087</v>
      </c>
      <c r="L1788" s="2112"/>
      <c r="M1788" s="2112"/>
      <c r="N1788" s="2112"/>
      <c r="O1788" s="1864" t="s">
        <v>3545</v>
      </c>
      <c r="P1788" s="1864"/>
      <c r="R1788" s="2225"/>
      <c r="S1788" s="2225"/>
    </row>
    <row r="1789" spans="1:33" s="1818" customFormat="1" ht="12.75" customHeight="1">
      <c r="A1789" s="1875"/>
      <c r="B1789" s="1875"/>
      <c r="C1789" s="1875"/>
      <c r="D1789" s="1875"/>
      <c r="E1789" s="1875"/>
      <c r="F1789" s="2108">
        <f>SUM(F1790:F1801)</f>
        <v>0</v>
      </c>
      <c r="G1789" s="435"/>
      <c r="H1789" s="435"/>
      <c r="I1789" s="435"/>
      <c r="J1789" s="2108">
        <f>SUM(J1790:J1801)</f>
        <v>0</v>
      </c>
      <c r="K1789" s="2112"/>
      <c r="L1789" s="2112"/>
      <c r="M1789" s="2112"/>
      <c r="N1789" s="2112"/>
      <c r="O1789" s="1818">
        <f>SUM(O1790:O1801)</f>
        <v>0</v>
      </c>
      <c r="Q1789" s="2225"/>
      <c r="R1789" s="2225"/>
    </row>
    <row r="1790" spans="1:33" s="1818" customFormat="1" ht="24.75" customHeight="1">
      <c r="A1790" s="1905">
        <v>1</v>
      </c>
      <c r="B1790" s="1905"/>
      <c r="C1790" s="1905"/>
      <c r="D1790" s="1905"/>
      <c r="E1790" s="1905"/>
      <c r="F1790" s="2309"/>
      <c r="G1790" s="1905">
        <v>1</v>
      </c>
      <c r="H1790" s="1905"/>
      <c r="I1790" s="1905"/>
      <c r="J1790" s="2252" t="s">
        <v>1654</v>
      </c>
      <c r="K1790" s="1905">
        <v>1</v>
      </c>
      <c r="L1790" s="1905"/>
      <c r="M1790" s="1905"/>
      <c r="N1790" s="1905"/>
      <c r="O1790" s="2223" t="s">
        <v>1654</v>
      </c>
      <c r="P1790" s="2223"/>
      <c r="Q1790" s="1855" t="s">
        <v>1208</v>
      </c>
      <c r="R1790" s="2225"/>
    </row>
    <row r="1791" spans="1:33" s="1818" customFormat="1" ht="24.75" customHeight="1">
      <c r="A1791" s="1905">
        <v>2</v>
      </c>
      <c r="B1791" s="1905"/>
      <c r="C1791" s="1905"/>
      <c r="D1791" s="1905"/>
      <c r="E1791" s="1905"/>
      <c r="F1791" s="2309"/>
      <c r="G1791" s="1905">
        <v>2</v>
      </c>
      <c r="H1791" s="1905"/>
      <c r="I1791" s="1905"/>
      <c r="J1791" s="2309"/>
      <c r="K1791" s="1905">
        <v>2</v>
      </c>
      <c r="L1791" s="1905"/>
      <c r="M1791" s="1905"/>
      <c r="N1791" s="1905"/>
      <c r="O1791" s="2158"/>
      <c r="P1791" s="2158"/>
      <c r="Q1791" s="1855"/>
      <c r="R1791" s="2225"/>
    </row>
    <row r="1792" spans="1:33" s="1818" customFormat="1" ht="24.75" customHeight="1">
      <c r="A1792" s="1905">
        <v>3</v>
      </c>
      <c r="B1792" s="1905"/>
      <c r="C1792" s="1905"/>
      <c r="D1792" s="1905"/>
      <c r="E1792" s="1905"/>
      <c r="F1792" s="2309"/>
      <c r="G1792" s="1905">
        <v>3</v>
      </c>
      <c r="H1792" s="1905"/>
      <c r="I1792" s="1905"/>
      <c r="J1792" s="2028" t="s">
        <v>2693</v>
      </c>
      <c r="K1792" s="1905">
        <v>3</v>
      </c>
      <c r="L1792" s="1905"/>
      <c r="M1792" s="1905"/>
      <c r="N1792" s="1905"/>
      <c r="O1792" s="2223" t="s">
        <v>2693</v>
      </c>
      <c r="P1792" s="2223"/>
      <c r="Q1792" s="1818" t="s">
        <v>7165</v>
      </c>
      <c r="S1792" s="435"/>
      <c r="T1792" s="435"/>
    </row>
    <row r="1793" spans="1:20" s="1818" customFormat="1" ht="24.75" customHeight="1">
      <c r="A1793" s="1905">
        <v>4</v>
      </c>
      <c r="B1793" s="1905"/>
      <c r="C1793" s="1905"/>
      <c r="D1793" s="1905"/>
      <c r="E1793" s="1905"/>
      <c r="F1793" s="2309"/>
      <c r="G1793" s="1905">
        <v>4</v>
      </c>
      <c r="H1793" s="1905"/>
      <c r="I1793" s="1905"/>
      <c r="J1793" s="2309"/>
      <c r="K1793" s="1905">
        <v>4</v>
      </c>
      <c r="L1793" s="1905"/>
      <c r="M1793" s="1905"/>
      <c r="N1793" s="1905"/>
      <c r="O1793" s="2223" t="s">
        <v>2693</v>
      </c>
      <c r="P1793" s="2223"/>
      <c r="S1793" s="435"/>
      <c r="T1793" s="435"/>
    </row>
    <row r="1794" spans="1:20" s="1818" customFormat="1" ht="24.75" customHeight="1">
      <c r="A1794" s="1905">
        <v>5</v>
      </c>
      <c r="B1794" s="1905"/>
      <c r="C1794" s="1905"/>
      <c r="D1794" s="1905"/>
      <c r="E1794" s="1905"/>
      <c r="F1794" s="2309"/>
      <c r="G1794" s="1905">
        <v>5</v>
      </c>
      <c r="H1794" s="1905"/>
      <c r="I1794" s="1905"/>
      <c r="J1794" s="2028" t="s">
        <v>3266</v>
      </c>
      <c r="K1794" s="1905">
        <v>5</v>
      </c>
      <c r="L1794" s="1905"/>
      <c r="M1794" s="1905"/>
      <c r="N1794" s="1905"/>
      <c r="O1794" s="2158"/>
      <c r="P1794" s="2158"/>
      <c r="S1794" s="435"/>
      <c r="T1794" s="435"/>
    </row>
    <row r="1795" spans="1:20" s="1818" customFormat="1" ht="24" customHeight="1">
      <c r="A1795" s="1905">
        <v>6</v>
      </c>
      <c r="B1795" s="1905"/>
      <c r="C1795" s="1905"/>
      <c r="D1795" s="1905"/>
      <c r="E1795" s="1905"/>
      <c r="F1795" s="2309"/>
      <c r="G1795" s="1905">
        <v>6</v>
      </c>
      <c r="H1795" s="1905"/>
      <c r="I1795" s="1905"/>
      <c r="J1795" s="2309"/>
      <c r="K1795" s="1905">
        <v>6</v>
      </c>
      <c r="L1795" s="1905"/>
      <c r="M1795" s="1905"/>
      <c r="N1795" s="1905"/>
      <c r="O1795" s="2158"/>
      <c r="P1795" s="2158"/>
    </row>
    <row r="1796" spans="1:20" s="1818" customFormat="1" ht="24.75" customHeight="1">
      <c r="A1796" s="1905">
        <v>7</v>
      </c>
      <c r="B1796" s="1905"/>
      <c r="C1796" s="1905"/>
      <c r="D1796" s="1905"/>
      <c r="E1796" s="1905"/>
      <c r="F1796" s="2309"/>
      <c r="G1796" s="1905">
        <v>7</v>
      </c>
      <c r="H1796" s="1905"/>
      <c r="I1796" s="1905"/>
      <c r="J1796" s="2028" t="s">
        <v>3267</v>
      </c>
      <c r="K1796" s="1905">
        <v>7</v>
      </c>
      <c r="L1796" s="1905"/>
      <c r="M1796" s="1905"/>
      <c r="N1796" s="1905"/>
      <c r="O1796" s="2158"/>
      <c r="P1796" s="2158"/>
      <c r="Q1796" s="2225"/>
      <c r="R1796" s="2225"/>
    </row>
    <row r="1797" spans="1:20" s="1818" customFormat="1" ht="24.75" customHeight="1">
      <c r="A1797" s="1905">
        <v>8</v>
      </c>
      <c r="B1797" s="1905"/>
      <c r="C1797" s="1905"/>
      <c r="D1797" s="1905"/>
      <c r="E1797" s="1905"/>
      <c r="F1797" s="2309"/>
      <c r="G1797" s="1905">
        <v>8</v>
      </c>
      <c r="H1797" s="1905"/>
      <c r="I1797" s="1905"/>
      <c r="J1797" s="2309"/>
      <c r="K1797" s="1905">
        <v>8</v>
      </c>
      <c r="L1797" s="1905"/>
      <c r="M1797" s="1905"/>
      <c r="N1797" s="1905"/>
      <c r="O1797" s="2158"/>
      <c r="P1797" s="2158"/>
      <c r="Q1797" s="2225"/>
      <c r="R1797" s="2225"/>
    </row>
    <row r="1798" spans="1:20" s="1818" customFormat="1" ht="24.75" customHeight="1">
      <c r="A1798" s="1905">
        <v>9</v>
      </c>
      <c r="B1798" s="1905"/>
      <c r="C1798" s="1905"/>
      <c r="D1798" s="1905"/>
      <c r="E1798" s="1905"/>
      <c r="F1798" s="2309"/>
      <c r="G1798" s="1905">
        <v>9</v>
      </c>
      <c r="H1798" s="1905"/>
      <c r="I1798" s="1905"/>
      <c r="J1798" s="2028" t="s">
        <v>3268</v>
      </c>
      <c r="K1798" s="1905">
        <v>9</v>
      </c>
      <c r="L1798" s="1905"/>
      <c r="M1798" s="1905"/>
      <c r="N1798" s="1905"/>
      <c r="O1798" s="2158"/>
      <c r="P1798" s="2158"/>
      <c r="Q1798" s="2225"/>
      <c r="R1798" s="2225"/>
    </row>
    <row r="1799" spans="1:20" s="1818" customFormat="1" ht="24.75" customHeight="1">
      <c r="A1799" s="1905">
        <v>10</v>
      </c>
      <c r="B1799" s="1905"/>
      <c r="C1799" s="1905"/>
      <c r="D1799" s="1905"/>
      <c r="E1799" s="1905"/>
      <c r="F1799" s="2309"/>
      <c r="G1799" s="1905">
        <v>10</v>
      </c>
      <c r="H1799" s="1905"/>
      <c r="I1799" s="1905"/>
      <c r="J1799" s="2309"/>
      <c r="K1799" s="1905">
        <v>10</v>
      </c>
      <c r="L1799" s="1905"/>
      <c r="M1799" s="1905"/>
      <c r="N1799" s="1905"/>
      <c r="O1799" s="2158"/>
      <c r="P1799" s="2158"/>
      <c r="Q1799" s="2225"/>
    </row>
    <row r="1800" spans="1:20" s="1818" customFormat="1" ht="24.75" customHeight="1">
      <c r="A1800" s="1905">
        <v>11</v>
      </c>
      <c r="B1800" s="1905"/>
      <c r="C1800" s="1905"/>
      <c r="D1800" s="1905"/>
      <c r="E1800" s="1905"/>
      <c r="F1800" s="2309"/>
      <c r="G1800" s="1905">
        <v>11</v>
      </c>
      <c r="H1800" s="1905"/>
      <c r="I1800" s="1905"/>
      <c r="J1800" s="2028" t="s">
        <v>3269</v>
      </c>
      <c r="K1800" s="1905">
        <v>11</v>
      </c>
      <c r="L1800" s="1905"/>
      <c r="M1800" s="1905"/>
      <c r="N1800" s="1905"/>
      <c r="O1800" s="2158"/>
      <c r="P1800" s="2158"/>
      <c r="Q1800" s="2225"/>
      <c r="R1800" s="2225"/>
    </row>
    <row r="1801" spans="1:20" s="1818" customFormat="1" ht="24.75" customHeight="1">
      <c r="A1801" s="1905">
        <v>12</v>
      </c>
      <c r="B1801" s="1905"/>
      <c r="C1801" s="1905"/>
      <c r="D1801" s="1905"/>
      <c r="E1801" s="1905"/>
      <c r="F1801" s="2309"/>
      <c r="G1801" s="1905">
        <v>12</v>
      </c>
      <c r="H1801" s="1905"/>
      <c r="I1801" s="1905"/>
      <c r="J1801" s="2309"/>
      <c r="K1801" s="1905">
        <v>12</v>
      </c>
      <c r="L1801" s="1905"/>
      <c r="M1801" s="1905"/>
      <c r="N1801" s="1905"/>
      <c r="O1801" s="2158"/>
      <c r="P1801" s="2158"/>
    </row>
    <row r="1802" spans="1:20" s="2274" customFormat="1" ht="3" customHeight="1">
      <c r="D1802" s="435"/>
      <c r="E1802" s="435"/>
      <c r="F1802" s="2108"/>
      <c r="G1802" s="2108"/>
      <c r="H1802" s="2108"/>
      <c r="I1802" s="2108"/>
      <c r="J1802" s="2121"/>
      <c r="K1802" s="2121"/>
      <c r="L1802" s="2121"/>
      <c r="M1802" s="2164"/>
      <c r="N1802" s="2108"/>
      <c r="O1802" s="2051"/>
      <c r="P1802" s="2192"/>
    </row>
    <row r="1803" spans="1:20" s="2284" customFormat="1" ht="13.5" customHeight="1">
      <c r="A1803" s="2306" t="s">
        <v>1711</v>
      </c>
      <c r="B1803" s="2153" t="s">
        <v>3270</v>
      </c>
      <c r="E1803" s="435"/>
      <c r="G1803" s="435"/>
      <c r="I1803" s="1864" t="s">
        <v>6545</v>
      </c>
      <c r="J1803" s="2363" t="str">
        <f>'Part IX Scoring Criteria'!J84</f>
        <v>9%</v>
      </c>
      <c r="K1803" s="2044" t="s">
        <v>367</v>
      </c>
      <c r="L1803" s="2044" t="str">
        <f>$M$1762</f>
        <v>New Supply</v>
      </c>
      <c r="M1803" s="2108">
        <v>3</v>
      </c>
      <c r="N1803" s="2108"/>
      <c r="O1803" s="2192">
        <f>'Part IX Scoring Criteria'!O84</f>
        <v>2</v>
      </c>
      <c r="P1803" s="2192">
        <f>'Part IX Scoring Criteria'!P84</f>
        <v>0</v>
      </c>
      <c r="Q1803" s="2108" t="s">
        <v>422</v>
      </c>
      <c r="S1803" s="1967"/>
    </row>
    <row r="1804" spans="1:20" s="2274" customFormat="1" ht="2.25" customHeight="1">
      <c r="A1804" s="2364"/>
      <c r="B1804" s="2154"/>
      <c r="E1804" s="435"/>
      <c r="F1804" s="2274" t="s">
        <v>3983</v>
      </c>
      <c r="G1804" s="2112"/>
      <c r="H1804" s="435"/>
      <c r="I1804" s="2156"/>
      <c r="K1804" s="2029"/>
      <c r="L1804" s="2365"/>
      <c r="M1804" s="2108"/>
      <c r="N1804" s="2108"/>
      <c r="O1804" s="2192"/>
      <c r="P1804" s="2192"/>
      <c r="Q1804" s="2108"/>
      <c r="R1804" s="2366"/>
    </row>
    <row r="1805" spans="1:20" s="2274" customFormat="1" ht="13.5" customHeight="1">
      <c r="A1805" s="2141" t="s">
        <v>1894</v>
      </c>
      <c r="B1805" s="2115" t="s">
        <v>7166</v>
      </c>
      <c r="E1805" s="435"/>
      <c r="G1805" s="2112"/>
      <c r="H1805" s="2112" t="s">
        <v>4068</v>
      </c>
      <c r="I1805" s="2367" t="str">
        <f>'Part I-Project Information'!$K$94</f>
        <v>Income Averaging</v>
      </c>
      <c r="M1805" s="2108"/>
      <c r="N1805" s="2108"/>
      <c r="Q1805" s="2108"/>
      <c r="R1805" s="2366"/>
    </row>
    <row r="1806" spans="1:20" s="2284" customFormat="1" ht="9" customHeight="1">
      <c r="A1806" s="2141"/>
      <c r="B1806" s="1719" t="s">
        <v>3977</v>
      </c>
      <c r="C1806" s="1719"/>
      <c r="D1806" s="1719"/>
      <c r="E1806" s="1719"/>
      <c r="F1806" s="1719"/>
      <c r="G1806" s="1719"/>
      <c r="H1806" s="1719"/>
      <c r="I1806" s="1719"/>
      <c r="J1806" s="1719"/>
      <c r="K1806" s="1719"/>
      <c r="L1806" s="1719"/>
      <c r="M1806" s="2108"/>
      <c r="N1806" s="2108"/>
      <c r="Q1806" s="2108"/>
      <c r="R1806" s="2366"/>
    </row>
    <row r="1807" spans="1:20" s="2284" customFormat="1" ht="13.5" customHeight="1">
      <c r="B1807" s="1719"/>
      <c r="C1807" s="1719"/>
      <c r="D1807" s="1719"/>
      <c r="E1807" s="1719"/>
      <c r="F1807" s="1719"/>
      <c r="G1807" s="1719"/>
      <c r="H1807" s="1719"/>
      <c r="I1807" s="1719"/>
      <c r="J1807" s="1719"/>
      <c r="K1807" s="1719"/>
      <c r="L1807" s="1719"/>
      <c r="M1807" s="2117">
        <v>2</v>
      </c>
      <c r="N1807" s="2359" t="s">
        <v>1894</v>
      </c>
      <c r="O1807" s="2192">
        <f>'Part IX Scoring Criteria'!O88</f>
        <v>2</v>
      </c>
      <c r="P1807" s="2192">
        <f>'Part IX Scoring Criteria'!P88</f>
        <v>0</v>
      </c>
    </row>
    <row r="1808" spans="1:20" s="2284" customFormat="1" ht="13.5" customHeight="1">
      <c r="A1808" s="2141"/>
      <c r="B1808" s="2368" t="s">
        <v>1897</v>
      </c>
      <c r="C1808" s="2369" t="s">
        <v>3978</v>
      </c>
      <c r="D1808" s="435"/>
      <c r="H1808" s="435" t="s">
        <v>3979</v>
      </c>
      <c r="I1808" s="1864"/>
      <c r="J1808" s="2370">
        <f>'Part VI-Revenues &amp; Expenses'!B1721</f>
        <v>0</v>
      </c>
      <c r="L1808" s="1875" t="str">
        <f>IF(AND(O1808&gt;0,O1809&gt;0), "CHOOSE EITHER A OR B, NOT BOTH!", "")</f>
        <v/>
      </c>
      <c r="M1808" s="2117">
        <v>2</v>
      </c>
      <c r="N1808" s="2360" t="s">
        <v>1897</v>
      </c>
      <c r="O1808" s="2371">
        <f>'Part IX Scoring Criteria'!O89</f>
        <v>2</v>
      </c>
      <c r="P1808" s="2192"/>
      <c r="Q1808" s="2282" t="str">
        <f>IF(OR($O1808=$M1808,$O1808=0,$O1808=""),"","*CHECK!*")</f>
        <v/>
      </c>
      <c r="R1808" s="1858" t="s">
        <v>4267</v>
      </c>
    </row>
    <row r="1809" spans="1:18" s="2284" customFormat="1" ht="13.5" customHeight="1">
      <c r="A1809" s="2255" t="s">
        <v>3105</v>
      </c>
      <c r="B1809" s="2368" t="s">
        <v>1899</v>
      </c>
      <c r="C1809" s="2369" t="s">
        <v>3980</v>
      </c>
      <c r="D1809" s="435"/>
      <c r="I1809" s="1864"/>
      <c r="K1809" s="435"/>
      <c r="L1809" s="1875"/>
      <c r="M1809" s="2117">
        <v>2</v>
      </c>
      <c r="N1809" s="2360" t="s">
        <v>1899</v>
      </c>
      <c r="O1809" s="2371">
        <f>'Part IX Scoring Criteria'!O90</f>
        <v>0</v>
      </c>
      <c r="P1809" s="2192"/>
      <c r="Q1809" s="2282" t="str">
        <f>IF(OR($O1809=$M1809,$O1809=0,$O1809=""),"","*CHECK!*")</f>
        <v/>
      </c>
      <c r="R1809" s="1858" t="s">
        <v>4267</v>
      </c>
    </row>
    <row r="1810" spans="1:18" s="2274" customFormat="1" ht="6.75" customHeight="1">
      <c r="A1810" s="2164"/>
      <c r="B1810" s="2360"/>
      <c r="C1810" s="2361"/>
      <c r="D1810" s="2223"/>
      <c r="K1810" s="2261"/>
      <c r="L1810" s="2261"/>
      <c r="M1810" s="2117"/>
      <c r="N1810" s="2359"/>
      <c r="O1810" s="2362"/>
      <c r="P1810" s="2362"/>
    </row>
    <row r="1811" spans="1:18" s="2274" customFormat="1" ht="13.5" customHeight="1">
      <c r="A1811" s="2141" t="s">
        <v>1896</v>
      </c>
      <c r="B1811" s="2115" t="s">
        <v>7167</v>
      </c>
      <c r="E1811" s="2112"/>
      <c r="H1811" s="1864" t="s">
        <v>3981</v>
      </c>
      <c r="I1811" s="1864"/>
      <c r="J1811" s="2372" t="s">
        <v>3982</v>
      </c>
      <c r="M1811" s="2117">
        <v>3</v>
      </c>
      <c r="N1811" s="2224" t="s">
        <v>1896</v>
      </c>
      <c r="O1811" s="2192">
        <f>'Part IX Scoring Criteria'!O92</f>
        <v>0</v>
      </c>
      <c r="P1811" s="2192">
        <f>'Part IX Scoring Criteria'!P92</f>
        <v>0</v>
      </c>
    </row>
    <row r="1812" spans="1:18" s="2274" customFormat="1" ht="13.5" customHeight="1">
      <c r="A1812" s="2373"/>
      <c r="B1812" s="2368" t="s">
        <v>1897</v>
      </c>
      <c r="C1812" s="2374">
        <v>0.3</v>
      </c>
      <c r="D1812" s="1905" t="s">
        <v>3301</v>
      </c>
      <c r="E1812" s="2112"/>
      <c r="F1812" s="2290"/>
      <c r="H1812" s="2375">
        <f>'Part IX Scoring Criteria'!H93</f>
        <v>0</v>
      </c>
      <c r="I1812" s="2376"/>
      <c r="J1812" s="2377">
        <f>'Part VI-Revenues &amp; Expenses'!P1736</f>
        <v>0</v>
      </c>
      <c r="K1812" s="2261">
        <f>IF(OR('Part VI-Revenues &amp; Expenses'!$P$65="", 'Part VI-Revenues &amp; Expenses'!$P$65=0),0,H1812/'Part VI-Revenues &amp; Expenses'!$P$65)</f>
        <v>0</v>
      </c>
      <c r="L1812" s="2261">
        <f>IF(OR('Part VI-Revenues &amp; Expenses'!$P$65="", 'Part VI-Revenues &amp; Expenses'!$P$65=0),0,I1812/'Part VI-Revenues &amp; Expenses'!$P$65)</f>
        <v>0</v>
      </c>
      <c r="M1812" s="2117"/>
      <c r="N1812" s="2359" t="s">
        <v>1897</v>
      </c>
      <c r="O1812" s="2362" t="str">
        <f>IF(AND(K1812 &gt;= $C$93,O1813="Yes"),"Yes","No")</f>
        <v>No</v>
      </c>
      <c r="P1812" s="2362" t="str">
        <f>IF(AND(L1812 &gt;= $C$93,P1813="Yes"),"Yes","No")</f>
        <v>No</v>
      </c>
    </row>
    <row r="1813" spans="1:18" s="2274" customFormat="1" ht="13.5" customHeight="1">
      <c r="A1813" s="2164"/>
      <c r="B1813" s="2368" t="s">
        <v>1899</v>
      </c>
      <c r="C1813" s="2168" t="s">
        <v>3470</v>
      </c>
      <c r="E1813" s="2378"/>
      <c r="F1813" s="2290"/>
      <c r="I1813" s="2302"/>
      <c r="J1813" s="2302"/>
      <c r="K1813" s="2302"/>
      <c r="L1813" s="2302"/>
      <c r="M1813" s="2302"/>
      <c r="N1813" s="2359" t="s">
        <v>1899</v>
      </c>
      <c r="O1813" s="2230" t="str">
        <f>'Part IX Scoring Criteria'!O94</f>
        <v>No</v>
      </c>
      <c r="P1813" s="2164"/>
    </row>
    <row r="1814" spans="1:18" s="2274" customFormat="1" ht="10.5" customHeight="1">
      <c r="A1814" s="1818"/>
      <c r="B1814" s="2156" t="s">
        <v>1781</v>
      </c>
      <c r="D1814" s="2227"/>
      <c r="E1814" s="2228"/>
      <c r="F1814" s="2228"/>
      <c r="G1814" s="2228"/>
      <c r="H1814" s="2228"/>
      <c r="I1814" s="2228"/>
      <c r="J1814" s="2228"/>
      <c r="K1814" s="2228"/>
      <c r="L1814" s="2228"/>
      <c r="M1814" s="2228"/>
      <c r="N1814" s="2309"/>
      <c r="O1814" s="2309"/>
      <c r="P1814" s="2108"/>
    </row>
    <row r="1815" spans="1:18" s="2274" customFormat="1" ht="22.5" customHeight="1">
      <c r="A1815" s="2223"/>
      <c r="B1815" s="2223"/>
      <c r="C1815" s="2223"/>
      <c r="D1815" s="2223"/>
      <c r="E1815" s="2223"/>
      <c r="F1815" s="2223"/>
      <c r="G1815" s="2223"/>
      <c r="H1815" s="2223"/>
      <c r="I1815" s="2223"/>
      <c r="J1815" s="2223"/>
      <c r="K1815" s="2223"/>
      <c r="L1815" s="2223"/>
      <c r="M1815" s="2223"/>
      <c r="N1815" s="2223"/>
      <c r="O1815" s="2223"/>
      <c r="P1815" s="2223"/>
      <c r="Q1815" s="1855"/>
    </row>
    <row r="1816" spans="1:18" s="1852" customFormat="1" ht="7.5" customHeight="1">
      <c r="N1816" s="2051"/>
      <c r="O1816" s="2051"/>
      <c r="P1816" s="2051"/>
    </row>
    <row r="1817" spans="1:18" s="2274" customFormat="1" ht="13.5" customHeight="1">
      <c r="A1817" s="2306" t="s">
        <v>1713</v>
      </c>
      <c r="B1817" s="2153" t="s">
        <v>3520</v>
      </c>
      <c r="D1817" s="2379"/>
      <c r="K1817" s="2044" t="s">
        <v>367</v>
      </c>
      <c r="L1817" s="2044" t="str">
        <f>$M$1762</f>
        <v>New Supply</v>
      </c>
      <c r="M1817" s="2108">
        <v>20</v>
      </c>
      <c r="N1817" s="2255"/>
      <c r="O1817" s="2303">
        <f>'Part IX Scoring Criteria'!O98</f>
        <v>20</v>
      </c>
      <c r="P1817" s="2303">
        <f>'Part IX Scoring Criteria'!P98</f>
        <v>0</v>
      </c>
      <c r="Q1817" s="2108" t="s">
        <v>422</v>
      </c>
    </row>
    <row r="1818" spans="1:18" s="2274" customFormat="1" ht="15">
      <c r="A1818" s="1818"/>
      <c r="B1818" s="1912" t="s">
        <v>3386</v>
      </c>
      <c r="D1818" s="435"/>
      <c r="E1818" s="435"/>
      <c r="F1818" s="2108"/>
      <c r="G1818" s="2108"/>
      <c r="H1818" s="1864"/>
      <c r="I1818" s="1864"/>
      <c r="J1818" s="1864"/>
      <c r="K1818" s="1864"/>
      <c r="L1818" s="1864"/>
      <c r="M1818" s="2164"/>
      <c r="N1818" s="2108"/>
      <c r="O1818" s="2051"/>
      <c r="P1818" s="2192"/>
    </row>
    <row r="1819" spans="1:18" s="2284" customFormat="1" ht="12.75" customHeight="1">
      <c r="A1819" s="2141"/>
      <c r="B1819" s="435" t="s">
        <v>3423</v>
      </c>
      <c r="D1819" s="1818"/>
      <c r="N1819" s="2255"/>
      <c r="O1819" s="2230" t="str">
        <f>'Part IX Scoring Criteria'!O100</f>
        <v>Yes</v>
      </c>
      <c r="P1819" s="2164"/>
    </row>
    <row r="1820" spans="1:18" s="2284" customFormat="1" ht="12.75" customHeight="1">
      <c r="A1820" s="2141" t="s">
        <v>1894</v>
      </c>
      <c r="B1820" s="1719" t="s">
        <v>1788</v>
      </c>
      <c r="C1820" s="1818"/>
      <c r="D1820" s="1818"/>
      <c r="F1820" s="1856"/>
      <c r="H1820" s="2009" t="s">
        <v>2566</v>
      </c>
      <c r="I1820" s="1864" t="s">
        <v>7168</v>
      </c>
      <c r="J1820" s="1864"/>
      <c r="K1820" s="1864"/>
      <c r="L1820" s="1864"/>
      <c r="M1820" s="2108">
        <v>20</v>
      </c>
      <c r="N1820" s="2360" t="s">
        <v>1894</v>
      </c>
      <c r="O1820" s="2380">
        <f>'Part IX Scoring Criteria'!O101</f>
        <v>20</v>
      </c>
      <c r="P1820" s="2303"/>
      <c r="Q1820" s="2282"/>
      <c r="R1820" s="1858" t="s">
        <v>4267</v>
      </c>
    </row>
    <row r="1821" spans="1:18" s="2284" customFormat="1" ht="12.75" customHeight="1">
      <c r="A1821" s="2141" t="s">
        <v>1896</v>
      </c>
      <c r="B1821" s="1719" t="s">
        <v>3417</v>
      </c>
      <c r="D1821" s="2381"/>
      <c r="F1821" s="2003"/>
      <c r="H1821" s="2009" t="s">
        <v>3486</v>
      </c>
      <c r="I1821" s="1864"/>
      <c r="J1821" s="1864"/>
      <c r="K1821" s="1864"/>
      <c r="L1821" s="1864"/>
      <c r="M1821" s="2164" t="s">
        <v>1192</v>
      </c>
      <c r="N1821" s="2255" t="s">
        <v>1896</v>
      </c>
      <c r="O1821" s="2380">
        <f>'Part IX Scoring Criteria'!O102</f>
        <v>0</v>
      </c>
      <c r="P1821" s="2303"/>
      <c r="R1821" s="1858" t="s">
        <v>4267</v>
      </c>
    </row>
    <row r="1822" spans="1:18" s="2274" customFormat="1" ht="12.75" customHeight="1">
      <c r="A1822" s="1818"/>
      <c r="B1822" s="2156" t="s">
        <v>3374</v>
      </c>
      <c r="C1822" s="1818"/>
      <c r="D1822" s="1719"/>
      <c r="E1822" s="1719"/>
      <c r="F1822" s="1719"/>
      <c r="G1822" s="1719"/>
      <c r="H1822" s="435"/>
      <c r="I1822" s="1864"/>
      <c r="J1822" s="1864"/>
      <c r="K1822" s="1864"/>
      <c r="L1822" s="1864"/>
      <c r="M1822" s="2108"/>
      <c r="N1822" s="2051"/>
      <c r="O1822" s="2192"/>
      <c r="P1822" s="2051"/>
    </row>
    <row r="1823" spans="1:18" s="2274" customFormat="1" ht="90" customHeight="1">
      <c r="A1823" s="2226" t="str">
        <f>'Part IX Scoring Criteria'!A104</f>
        <v xml:space="preserve">Both the pedestrian and vehicular entrance to the proposed development are off of Commerical Drive thus the applicant used 189 Commerical Drive as the starting point for each desirable amenity path. The proposed site is eligble for a total of 25.50 points in this category. Please note that a map showing the site is NOT within a food dessert has been supplied. Additionally, a map showing that a Walmart Supercenter (grocery store) is within 2 miles has also been included. There are multiple parks/recreational centers of various sizes in the area, both of which we have included maps for (McCall Park and Freedom Park). The retail store, Twinkle Twinkle Little Shop, is a resale/consignment store with a variety of good (household items, clothing, etc.). Grace Academy is a private religious based school within a half a mile from the proposed site. We counted this school as a desirable amenity but it was not used in the Quality Education points calculation as it is a private school. There are no undesirable amenities in the area. </v>
      </c>
      <c r="B1823" s="2226"/>
      <c r="C1823" s="2226"/>
      <c r="D1823" s="2226"/>
      <c r="E1823" s="2226"/>
      <c r="F1823" s="2226"/>
      <c r="G1823" s="2226"/>
      <c r="H1823" s="2226"/>
      <c r="I1823" s="2226"/>
      <c r="J1823" s="2226"/>
      <c r="K1823" s="2226"/>
      <c r="L1823" s="2226"/>
      <c r="M1823" s="2226"/>
      <c r="N1823" s="2226"/>
      <c r="O1823" s="2226"/>
      <c r="P1823" s="2226"/>
      <c r="Q1823" s="1855" t="s">
        <v>1208</v>
      </c>
      <c r="R1823" s="1855"/>
    </row>
    <row r="1824" spans="1:18" s="2274" customFormat="1" ht="11.45" customHeight="1">
      <c r="A1824" s="1818"/>
      <c r="B1824" s="2156" t="s">
        <v>1781</v>
      </c>
      <c r="C1824" s="1818"/>
      <c r="D1824" s="2227"/>
      <c r="E1824" s="2228"/>
      <c r="F1824" s="2228"/>
      <c r="G1824" s="2228"/>
      <c r="H1824" s="2228"/>
      <c r="I1824" s="2228"/>
      <c r="J1824" s="2228"/>
      <c r="K1824" s="2228"/>
      <c r="L1824" s="2228"/>
      <c r="M1824" s="2228"/>
      <c r="N1824" s="2309"/>
      <c r="O1824" s="2309"/>
      <c r="P1824" s="2108"/>
    </row>
    <row r="1825" spans="1:21" s="2274" customFormat="1" ht="90" customHeight="1">
      <c r="A1825" s="2223"/>
      <c r="B1825" s="2223"/>
      <c r="C1825" s="2223"/>
      <c r="D1825" s="2223"/>
      <c r="E1825" s="2223"/>
      <c r="F1825" s="2223"/>
      <c r="G1825" s="2223"/>
      <c r="H1825" s="2223"/>
      <c r="I1825" s="2223"/>
      <c r="J1825" s="2223"/>
      <c r="K1825" s="2223"/>
      <c r="L1825" s="2223"/>
      <c r="M1825" s="2223"/>
      <c r="N1825" s="2223"/>
      <c r="O1825" s="2223"/>
      <c r="P1825" s="2223"/>
      <c r="Q1825" s="1855"/>
      <c r="R1825" s="1855"/>
    </row>
    <row r="1826" spans="1:21" s="1852" customFormat="1" ht="7.5" customHeight="1">
      <c r="M1826" s="1818"/>
      <c r="N1826" s="2108"/>
      <c r="O1826" s="2108"/>
      <c r="P1826" s="2108"/>
    </row>
    <row r="1827" spans="1:21" s="2274" customFormat="1" ht="13.5" customHeight="1">
      <c r="A1827" s="2306" t="s">
        <v>505</v>
      </c>
      <c r="B1827" s="2153" t="s">
        <v>2503</v>
      </c>
      <c r="D1827" s="2379"/>
      <c r="H1827" s="2382" t="s">
        <v>6385</v>
      </c>
      <c r="I1827" s="1912" t="s">
        <v>6376</v>
      </c>
      <c r="J1827" s="2044">
        <f>$M$56</f>
        <v>0</v>
      </c>
      <c r="K1827" s="2044" t="s">
        <v>367</v>
      </c>
      <c r="L1827" s="2044" t="str">
        <f>$M$1762</f>
        <v>New Supply</v>
      </c>
      <c r="M1827" s="2108">
        <v>6</v>
      </c>
      <c r="N1827" s="2255"/>
      <c r="O1827" s="2303">
        <f>'Part IX Scoring Criteria'!O108</f>
        <v>2</v>
      </c>
      <c r="P1827" s="2303">
        <f>'Part IX Scoring Criteria'!P108</f>
        <v>0</v>
      </c>
      <c r="Q1827" s="2108" t="s">
        <v>422</v>
      </c>
      <c r="R1827" s="2244" t="s">
        <v>7169</v>
      </c>
      <c r="S1827" s="2244"/>
      <c r="T1827" s="2244"/>
      <c r="U1827" s="2244"/>
    </row>
    <row r="1828" spans="1:21" s="2274" customFormat="1" ht="17.25" customHeight="1">
      <c r="A1828" s="2306"/>
      <c r="B1828" s="1719" t="s">
        <v>3471</v>
      </c>
      <c r="D1828" s="2379"/>
      <c r="H1828" s="1719"/>
      <c r="M1828" s="2108"/>
      <c r="N1828" s="2255"/>
      <c r="O1828" s="2383" t="s">
        <v>3271</v>
      </c>
      <c r="P1828" s="2383" t="s">
        <v>3272</v>
      </c>
      <c r="Q1828" s="2108"/>
      <c r="R1828" s="2244"/>
      <c r="S1828" s="2244"/>
      <c r="T1828" s="2244"/>
      <c r="U1828" s="2244"/>
    </row>
    <row r="1829" spans="1:21" s="2274" customFormat="1" ht="11.25" customHeight="1">
      <c r="A1829" s="2306"/>
      <c r="B1829" s="2384" t="s">
        <v>1897</v>
      </c>
      <c r="C1829" s="435" t="s">
        <v>3986</v>
      </c>
      <c r="D1829" s="2381"/>
      <c r="E1829" s="2284"/>
      <c r="F1829" s="2284"/>
      <c r="G1829" s="2284"/>
      <c r="H1829" s="2156"/>
      <c r="I1829" s="2156"/>
      <c r="M1829" s="2108"/>
      <c r="N1829" s="2255"/>
      <c r="O1829" s="2230" t="str">
        <f>'Part IX Scoring Criteria'!O110</f>
        <v>Yes</v>
      </c>
      <c r="P1829" s="2164"/>
      <c r="Q1829" s="2108"/>
      <c r="R1829" s="2244"/>
      <c r="S1829" s="2244"/>
      <c r="T1829" s="2244"/>
      <c r="U1829" s="2244"/>
    </row>
    <row r="1830" spans="1:21" s="2274" customFormat="1" ht="11.25" customHeight="1">
      <c r="A1830" s="2306"/>
      <c r="B1830" s="2384" t="s">
        <v>1899</v>
      </c>
      <c r="C1830" s="435" t="s">
        <v>3987</v>
      </c>
      <c r="D1830" s="2381"/>
      <c r="E1830" s="2284"/>
      <c r="F1830" s="2284"/>
      <c r="G1830" s="2284"/>
      <c r="H1830" s="2156"/>
      <c r="I1830" s="2156"/>
      <c r="J1830" s="1719"/>
      <c r="K1830" s="1719"/>
      <c r="L1830" s="2284"/>
      <c r="M1830" s="2284"/>
      <c r="N1830" s="2255"/>
      <c r="O1830" s="2230" t="str">
        <f>'Part IX Scoring Criteria'!O111</f>
        <v>Yes</v>
      </c>
      <c r="P1830" s="2164"/>
      <c r="Q1830" s="2108"/>
      <c r="R1830" s="2244"/>
      <c r="S1830" s="2244"/>
      <c r="T1830" s="2244"/>
      <c r="U1830" s="2244"/>
    </row>
    <row r="1831" spans="1:21" s="2274" customFormat="1" ht="11.25" customHeight="1">
      <c r="A1831" s="2306"/>
      <c r="B1831" s="2384" t="s">
        <v>2417</v>
      </c>
      <c r="C1831" s="435" t="s">
        <v>6389</v>
      </c>
      <c r="D1831" s="2381"/>
      <c r="E1831" s="2284"/>
      <c r="F1831" s="2284"/>
      <c r="G1831" s="2284"/>
      <c r="H1831" s="2156"/>
      <c r="I1831" s="2156"/>
      <c r="J1831" s="1719"/>
      <c r="K1831" s="1719"/>
      <c r="L1831" s="2284"/>
      <c r="M1831" s="2284"/>
      <c r="N1831" s="2255"/>
      <c r="O1831" s="2230" t="str">
        <f>'Part IX Scoring Criteria'!O112</f>
        <v>N/a</v>
      </c>
      <c r="P1831" s="2164"/>
      <c r="Q1831" s="2108"/>
      <c r="R1831" s="2244"/>
      <c r="S1831" s="2244"/>
      <c r="T1831" s="2244"/>
      <c r="U1831" s="2244"/>
    </row>
    <row r="1832" spans="1:21" s="2274" customFormat="1" ht="11.25" customHeight="1">
      <c r="A1832" s="2306"/>
      <c r="B1832" s="2384" t="s">
        <v>1178</v>
      </c>
      <c r="C1832" s="435" t="s">
        <v>7170</v>
      </c>
      <c r="D1832" s="2381"/>
      <c r="E1832" s="2284"/>
      <c r="F1832" s="2284"/>
      <c r="G1832" s="2284"/>
      <c r="H1832" s="2156"/>
      <c r="I1832" s="2156"/>
      <c r="J1832" s="1719"/>
      <c r="K1832" s="1719"/>
      <c r="L1832" s="2284"/>
      <c r="M1832" s="2284"/>
      <c r="N1832" s="2255"/>
      <c r="O1832" s="2230" t="str">
        <f>'Part IX Scoring Criteria'!O113</f>
        <v>N/a</v>
      </c>
      <c r="P1832" s="2164"/>
      <c r="Q1832" s="2108"/>
      <c r="R1832" s="2244"/>
      <c r="S1832" s="2244"/>
      <c r="T1832" s="2244"/>
      <c r="U1832" s="2244"/>
    </row>
    <row r="1833" spans="1:21" s="2274" customFormat="1" ht="11.25" customHeight="1">
      <c r="A1833" s="2306"/>
      <c r="B1833" s="2384">
        <v>5</v>
      </c>
      <c r="C1833" s="435" t="s">
        <v>6550</v>
      </c>
      <c r="D1833" s="2381"/>
      <c r="E1833" s="2284"/>
      <c r="F1833" s="2284"/>
      <c r="G1833" s="2284"/>
      <c r="H1833" s="2156"/>
      <c r="I1833" s="2156"/>
      <c r="J1833" s="1719"/>
      <c r="K1833" s="1719"/>
      <c r="L1833" s="2284"/>
      <c r="M1833" s="2284"/>
      <c r="N1833" s="2255"/>
      <c r="O1833" s="2230" t="str">
        <f>'Part IX Scoring Criteria'!O114</f>
        <v>N/a</v>
      </c>
      <c r="P1833" s="2164"/>
      <c r="Q1833" s="2108"/>
      <c r="R1833" s="2244"/>
      <c r="S1833" s="2244"/>
      <c r="T1833" s="2244"/>
      <c r="U1833" s="2244"/>
    </row>
    <row r="1834" spans="1:21" s="2274" customFormat="1" ht="3" customHeight="1">
      <c r="A1834" s="2306"/>
      <c r="B1834" s="2153"/>
      <c r="D1834" s="2379"/>
      <c r="H1834" s="2156"/>
      <c r="I1834" s="2156"/>
      <c r="J1834" s="1719"/>
      <c r="K1834" s="1719"/>
      <c r="M1834" s="2108"/>
      <c r="N1834" s="2255"/>
      <c r="O1834" s="2192"/>
      <c r="P1834" s="2192"/>
      <c r="Q1834" s="2108"/>
      <c r="R1834" s="2244"/>
      <c r="S1834" s="2244"/>
      <c r="T1834" s="2244"/>
      <c r="U1834" s="2244"/>
    </row>
    <row r="1835" spans="1:21" s="2274" customFormat="1" ht="13.5" customHeight="1">
      <c r="A1835" s="2306"/>
      <c r="B1835" s="1719" t="s">
        <v>3475</v>
      </c>
      <c r="D1835" s="2379"/>
      <c r="F1835" s="1719" t="s">
        <v>3348</v>
      </c>
      <c r="G1835" s="1719"/>
      <c r="H1835" s="1719"/>
      <c r="I1835" s="1719"/>
      <c r="J1835" s="1719" t="s">
        <v>3349</v>
      </c>
      <c r="K1835" s="1719"/>
      <c r="L1835" s="1719"/>
      <c r="M1835" s="1719"/>
      <c r="N1835" s="2255"/>
      <c r="O1835" s="2385" t="s">
        <v>7171</v>
      </c>
      <c r="P1835" s="2385"/>
      <c r="Q1835" s="2108"/>
      <c r="R1835" s="2244"/>
      <c r="S1835" s="2244"/>
      <c r="T1835" s="2244"/>
      <c r="U1835" s="2244"/>
    </row>
    <row r="1836" spans="1:21" s="2274" customFormat="1" ht="12.75" customHeight="1">
      <c r="A1836" s="2306"/>
      <c r="C1836" s="1719" t="s">
        <v>3474</v>
      </c>
      <c r="D1836" s="1989"/>
      <c r="E1836" s="1875"/>
      <c r="F1836" s="1872">
        <f>'Part IX Scoring Criteria'!F117</f>
        <v>0</v>
      </c>
      <c r="G1836" s="1872"/>
      <c r="H1836" s="2386"/>
      <c r="I1836" s="2386"/>
      <c r="J1836" s="1872">
        <f>'Part IX Scoring Criteria'!J117</f>
        <v>0</v>
      </c>
      <c r="K1836" s="1872"/>
      <c r="L1836" s="2386"/>
      <c r="M1836" s="2386"/>
      <c r="N1836" s="2255"/>
      <c r="Q1836" s="2108"/>
      <c r="R1836" s="2244"/>
      <c r="S1836" s="2244"/>
      <c r="T1836" s="2244"/>
      <c r="U1836" s="2244"/>
    </row>
    <row r="1837" spans="1:21" s="2274" customFormat="1" ht="12.75" customHeight="1">
      <c r="A1837" s="2387" t="s">
        <v>3544</v>
      </c>
      <c r="B1837" s="2387"/>
      <c r="E1837" s="2255" t="s">
        <v>6391</v>
      </c>
      <c r="F1837" s="1872">
        <f>'Part IX Scoring Criteria'!F118</f>
        <v>0</v>
      </c>
      <c r="G1837" s="1872"/>
      <c r="H1837" s="2386"/>
      <c r="I1837" s="2386"/>
      <c r="J1837" s="1872">
        <f>'Part IX Scoring Criteria'!J118</f>
        <v>0</v>
      </c>
      <c r="K1837" s="1872"/>
      <c r="L1837" s="2386"/>
      <c r="M1837" s="2386"/>
      <c r="N1837" s="2255"/>
      <c r="O1837" s="2388">
        <f>'Part IX Scoring Criteria'!O118</f>
        <v>0</v>
      </c>
      <c r="P1837" s="2389"/>
      <c r="Q1837" s="2108"/>
      <c r="R1837" s="2244"/>
      <c r="S1837" s="2244"/>
      <c r="T1837" s="2244"/>
      <c r="U1837" s="2244"/>
    </row>
    <row r="1838" spans="1:21" s="2274" customFormat="1" ht="12.75" customHeight="1">
      <c r="A1838" s="2387"/>
      <c r="B1838" s="2387"/>
      <c r="C1838" s="1719" t="s">
        <v>3518</v>
      </c>
      <c r="D1838" s="1989"/>
      <c r="E1838" s="1875"/>
      <c r="F1838" s="1872">
        <f>'Part IX Scoring Criteria'!F119</f>
        <v>0</v>
      </c>
      <c r="G1838" s="1872"/>
      <c r="H1838" s="2386"/>
      <c r="I1838" s="2386"/>
      <c r="J1838" s="1872">
        <f>'Part IX Scoring Criteria'!J119</f>
        <v>0</v>
      </c>
      <c r="K1838" s="1872"/>
      <c r="L1838" s="2386"/>
      <c r="M1838" s="2386"/>
      <c r="N1838" s="2255"/>
      <c r="O1838" s="2255"/>
      <c r="P1838" s="2255"/>
      <c r="Q1838" s="2108"/>
      <c r="R1838" s="2244"/>
      <c r="S1838" s="2244"/>
      <c r="T1838" s="2244"/>
      <c r="U1838" s="2244"/>
    </row>
    <row r="1839" spans="1:21" s="2274" customFormat="1" ht="12.75" customHeight="1">
      <c r="A1839" s="2387"/>
      <c r="B1839" s="2387"/>
      <c r="E1839" s="2255" t="s">
        <v>3517</v>
      </c>
      <c r="F1839" s="1872">
        <f>'Part IX Scoring Criteria'!F120</f>
        <v>0</v>
      </c>
      <c r="G1839" s="1872"/>
      <c r="H1839" s="2386"/>
      <c r="I1839" s="2386"/>
      <c r="J1839" s="1872">
        <f>'Part IX Scoring Criteria'!J120</f>
        <v>0</v>
      </c>
      <c r="K1839" s="1872"/>
      <c r="L1839" s="2386"/>
      <c r="M1839" s="2386"/>
      <c r="N1839" s="2255"/>
      <c r="O1839" s="2388">
        <f>'Part IX Scoring Criteria'!O120</f>
        <v>0</v>
      </c>
      <c r="P1839" s="2389"/>
      <c r="Q1839" s="2108"/>
      <c r="R1839" s="2244"/>
      <c r="S1839" s="2244"/>
      <c r="T1839" s="2244"/>
      <c r="U1839" s="2244"/>
    </row>
    <row r="1840" spans="1:21" s="2274" customFormat="1" ht="9" customHeight="1">
      <c r="A1840" s="2306"/>
      <c r="B1840" s="2153"/>
      <c r="D1840" s="2379"/>
      <c r="H1840" s="2156"/>
      <c r="I1840" s="2156"/>
      <c r="J1840" s="1719"/>
      <c r="K1840" s="1719"/>
      <c r="M1840" s="2108"/>
      <c r="N1840" s="2255"/>
      <c r="O1840" s="2192"/>
      <c r="P1840" s="2192"/>
      <c r="Q1840" s="2108"/>
      <c r="R1840" s="2244"/>
      <c r="S1840" s="2244"/>
      <c r="T1840" s="2244"/>
      <c r="U1840" s="2244"/>
    </row>
    <row r="1841" spans="1:21" s="2274" customFormat="1" ht="12.6" customHeight="1">
      <c r="A1841" s="2390" t="s">
        <v>6386</v>
      </c>
      <c r="B1841" s="2153"/>
      <c r="D1841" s="2379"/>
      <c r="F1841" s="2170" t="s">
        <v>7172</v>
      </c>
      <c r="I1841" s="1818" t="str">
        <f>IF(AND(O1843&gt;0,O1850&gt;0),"Pick A or B, not both!","")</f>
        <v/>
      </c>
      <c r="J1841" s="1818"/>
      <c r="K1841" s="1818" t="str">
        <f>IF(AND(P1843&gt;0,P1850&gt;0),"Pick A or B, not both!","")</f>
        <v/>
      </c>
      <c r="L1841" s="1818"/>
      <c r="M1841" s="2108"/>
      <c r="N1841" s="2108"/>
      <c r="O1841" s="2108"/>
      <c r="P1841" s="2108"/>
      <c r="Q1841" s="2108"/>
      <c r="R1841" s="2244"/>
      <c r="S1841" s="2244"/>
      <c r="T1841" s="2244"/>
      <c r="U1841" s="2244"/>
    </row>
    <row r="1842" spans="1:21" s="2274" customFormat="1" ht="2.25" customHeight="1">
      <c r="A1842" s="2390"/>
      <c r="B1842" s="2153"/>
      <c r="D1842" s="2379"/>
      <c r="F1842" s="2170"/>
      <c r="M1842" s="2108"/>
      <c r="N1842" s="2108"/>
      <c r="O1842" s="2108"/>
      <c r="P1842" s="2108"/>
      <c r="Q1842" s="2108"/>
      <c r="R1842" s="2244"/>
      <c r="S1842" s="2244"/>
      <c r="T1842" s="2244"/>
      <c r="U1842" s="2244"/>
    </row>
    <row r="1843" spans="1:21" s="2274" customFormat="1" ht="12.6" customHeight="1">
      <c r="A1843" s="2257" t="s">
        <v>1894</v>
      </c>
      <c r="B1843" s="1719" t="s">
        <v>3370</v>
      </c>
      <c r="D1843" s="2379"/>
      <c r="F1843" s="2156" t="s">
        <v>7173</v>
      </c>
      <c r="M1843" s="2108">
        <v>6</v>
      </c>
      <c r="N1843" s="2359" t="s">
        <v>1894</v>
      </c>
      <c r="O1843" s="2192">
        <f>'Part IX Scoring Criteria'!O124</f>
        <v>0</v>
      </c>
      <c r="P1843" s="2192">
        <f>'Part IX Scoring Criteria'!P124</f>
        <v>0</v>
      </c>
      <c r="Q1843" s="2108"/>
    </row>
    <row r="1844" spans="1:21" s="2274" customFormat="1" ht="12.6" customHeight="1">
      <c r="A1844" s="2257"/>
      <c r="B1844" s="435" t="s">
        <v>6393</v>
      </c>
      <c r="D1844" s="2379"/>
      <c r="F1844" s="2156"/>
      <c r="M1844" s="2108"/>
      <c r="N1844" s="2359"/>
      <c r="O1844" s="2230" t="str">
        <f>'Part IX Scoring Criteria'!O125</f>
        <v>N/a</v>
      </c>
      <c r="P1844" s="2164"/>
      <c r="Q1844" s="2108"/>
    </row>
    <row r="1845" spans="1:21" s="2391" customFormat="1" ht="36.75" customHeight="1">
      <c r="B1845" s="2392" t="s">
        <v>1897</v>
      </c>
      <c r="C1845" s="2223" t="s">
        <v>7174</v>
      </c>
      <c r="D1845" s="2223"/>
      <c r="E1845" s="2223"/>
      <c r="F1845" s="2223"/>
      <c r="G1845" s="2223"/>
      <c r="H1845" s="2223"/>
      <c r="I1845" s="2003" t="s">
        <v>7175</v>
      </c>
      <c r="J1845" s="2003"/>
      <c r="K1845" s="2003"/>
      <c r="L1845" s="2003"/>
      <c r="M1845" s="2309">
        <v>6</v>
      </c>
      <c r="N1845" s="2392" t="s">
        <v>1897</v>
      </c>
      <c r="O1845" s="2393">
        <f>'Part IX Scoring Criteria'!O126</f>
        <v>0</v>
      </c>
      <c r="P1845" s="2394"/>
      <c r="Q1845" s="2282"/>
      <c r="R1845" s="1858" t="s">
        <v>4267</v>
      </c>
    </row>
    <row r="1846" spans="1:21" s="2391" customFormat="1" ht="12" customHeight="1">
      <c r="A1846" s="2164" t="s">
        <v>1304</v>
      </c>
      <c r="B1846" s="2392" t="s">
        <v>1899</v>
      </c>
      <c r="C1846" s="2223" t="s">
        <v>6388</v>
      </c>
      <c r="D1846" s="2223"/>
      <c r="E1846" s="2223"/>
      <c r="F1846" s="2223"/>
      <c r="G1846" s="2223"/>
      <c r="I1846" s="2003"/>
      <c r="J1846" s="2003"/>
      <c r="K1846" s="2003"/>
      <c r="L1846" s="2003"/>
      <c r="M1846" s="2108">
        <v>5</v>
      </c>
      <c r="N1846" s="2384" t="s">
        <v>1899</v>
      </c>
      <c r="O1846" s="2380">
        <f>'Part IX Scoring Criteria'!O127</f>
        <v>0</v>
      </c>
      <c r="P1846" s="2303"/>
      <c r="Q1846" s="2282"/>
      <c r="R1846" s="1858" t="s">
        <v>4267</v>
      </c>
    </row>
    <row r="1847" spans="1:21" s="2391" customFormat="1" ht="12" customHeight="1">
      <c r="B1847" s="2392"/>
      <c r="C1847" s="2223"/>
      <c r="D1847" s="2223"/>
      <c r="E1847" s="2223"/>
      <c r="F1847" s="2223"/>
      <c r="G1847" s="1864" t="s">
        <v>6392</v>
      </c>
      <c r="H1847" s="1864"/>
      <c r="I1847" s="2003"/>
      <c r="J1847" s="2003"/>
      <c r="K1847" s="2003"/>
      <c r="L1847" s="2003"/>
      <c r="M1847" s="435" t="str">
        <f>IF(AND(O1846&gt;0,O1845&gt;0),"Pick A1 or A2!","")</f>
        <v/>
      </c>
      <c r="N1847" s="435"/>
      <c r="O1847" s="435"/>
      <c r="P1847" s="435"/>
      <c r="Q1847" s="2282"/>
      <c r="R1847" s="2044" t="s">
        <v>6569</v>
      </c>
      <c r="S1847" s="2044" t="s">
        <v>6387</v>
      </c>
    </row>
    <row r="1848" spans="1:21" s="2391" customFormat="1" ht="12" customHeight="1">
      <c r="B1848" s="2392"/>
      <c r="C1848" s="2223"/>
      <c r="D1848" s="2223"/>
      <c r="E1848" s="2223"/>
      <c r="F1848" s="2223"/>
      <c r="G1848" s="2395">
        <f>'Part IX Scoring Criteria'!G129</f>
        <v>0</v>
      </c>
      <c r="H1848" s="2396"/>
      <c r="I1848" s="2003"/>
      <c r="J1848" s="2003"/>
      <c r="K1848" s="2003"/>
      <c r="L1848" s="2003"/>
      <c r="Q1848" s="2397"/>
      <c r="R1848" s="2164">
        <v>0.25</v>
      </c>
      <c r="S1848" s="2164">
        <v>5</v>
      </c>
    </row>
    <row r="1849" spans="1:21" s="2391" customFormat="1" ht="12" customHeight="1">
      <c r="B1849" s="2392"/>
      <c r="C1849" s="2223"/>
      <c r="D1849" s="2223"/>
      <c r="E1849" s="2223"/>
      <c r="F1849" s="2223"/>
      <c r="G1849" s="2164"/>
      <c r="H1849" s="2164"/>
      <c r="I1849" s="2003"/>
      <c r="J1849" s="2003"/>
      <c r="K1849" s="2003"/>
      <c r="L1849" s="2003"/>
      <c r="M1849" s="2284"/>
      <c r="N1849" s="2284"/>
      <c r="O1849" s="2284"/>
      <c r="P1849" s="2284"/>
      <c r="Q1849" s="2397"/>
      <c r="R1849" s="2164">
        <v>0.5</v>
      </c>
      <c r="S1849" s="2164">
        <v>4.5</v>
      </c>
    </row>
    <row r="1850" spans="1:21" s="2391" customFormat="1" ht="12" customHeight="1">
      <c r="A1850" s="2257" t="s">
        <v>1896</v>
      </c>
      <c r="B1850" s="1843" t="s">
        <v>3371</v>
      </c>
      <c r="C1850" s="1843"/>
      <c r="D1850" s="1843"/>
      <c r="F1850" s="2227" t="s">
        <v>7176</v>
      </c>
      <c r="I1850" s="1951" t="str">
        <f>'Part IX Scoring Criteria'!I131</f>
        <v>Coastal Regional Coaches</v>
      </c>
      <c r="J1850" s="1951"/>
      <c r="K1850" s="1951"/>
      <c r="L1850" s="2398" t="str">
        <f>'Part IX Scoring Criteria'!L131</f>
        <v>866-543-6744</v>
      </c>
      <c r="M1850" s="2108">
        <v>3</v>
      </c>
      <c r="N1850" s="2255" t="s">
        <v>1896</v>
      </c>
      <c r="O1850" s="2192">
        <f>'Part IX Scoring Criteria'!O131</f>
        <v>0</v>
      </c>
      <c r="P1850" s="2192">
        <f>'Part IX Scoring Criteria'!P131</f>
        <v>0</v>
      </c>
      <c r="Q1850" s="2399"/>
      <c r="R1850" s="2164">
        <v>1</v>
      </c>
      <c r="S1850" s="2164">
        <v>4</v>
      </c>
    </row>
    <row r="1851" spans="1:21" s="2274" customFormat="1" ht="11.25" customHeight="1">
      <c r="A1851" s="2306"/>
      <c r="B1851" s="2255" t="s">
        <v>3395</v>
      </c>
      <c r="C1851" s="1864" t="s">
        <v>3985</v>
      </c>
      <c r="D1851" s="2381"/>
      <c r="F1851" s="2284"/>
      <c r="G1851" s="2284"/>
      <c r="H1851" s="2156"/>
      <c r="I1851" s="1951"/>
      <c r="J1851" s="1951"/>
      <c r="K1851" s="1951"/>
      <c r="L1851" s="2398"/>
      <c r="M1851" s="2284"/>
      <c r="N1851" s="2255" t="s">
        <v>3395</v>
      </c>
      <c r="O1851" s="2230">
        <f>'Part IX Scoring Criteria'!O132</f>
        <v>0</v>
      </c>
      <c r="P1851" s="2164"/>
      <c r="Q1851" s="2108"/>
      <c r="R1851" s="1967"/>
      <c r="S1851" s="2391"/>
      <c r="T1851" s="2391"/>
      <c r="U1851" s="2391"/>
    </row>
    <row r="1852" spans="1:21" s="2274" customFormat="1" ht="11.25" customHeight="1">
      <c r="A1852" s="2306"/>
      <c r="B1852" s="2255" t="s">
        <v>3396</v>
      </c>
      <c r="C1852" s="1864" t="s">
        <v>3984</v>
      </c>
      <c r="D1852" s="2381"/>
      <c r="F1852" s="2284"/>
      <c r="G1852" s="2284"/>
      <c r="H1852" s="2156"/>
      <c r="I1852" s="1951" t="str">
        <f>'Part IX Scoring Criteria'!I133</f>
        <v>None</v>
      </c>
      <c r="J1852" s="1951"/>
      <c r="K1852" s="1951"/>
      <c r="L1852" s="1951"/>
      <c r="M1852" s="2284"/>
      <c r="N1852" s="2255" t="s">
        <v>3396</v>
      </c>
      <c r="O1852" s="2230">
        <f>'Part IX Scoring Criteria'!O133</f>
        <v>0</v>
      </c>
      <c r="P1852" s="2164"/>
      <c r="Q1852" s="2108"/>
      <c r="R1852" s="1967"/>
      <c r="S1852" s="2391"/>
      <c r="T1852" s="2391"/>
      <c r="U1852" s="2391"/>
    </row>
    <row r="1853" spans="1:21" s="2391" customFormat="1" ht="12" customHeight="1">
      <c r="A1853" s="2141"/>
      <c r="B1853" s="2400" t="s">
        <v>1897</v>
      </c>
      <c r="C1853" s="435" t="s">
        <v>7177</v>
      </c>
      <c r="D1853" s="435"/>
      <c r="E1853" s="435"/>
      <c r="F1853" s="435"/>
      <c r="G1853" s="435"/>
      <c r="H1853" s="435"/>
      <c r="I1853" s="1951"/>
      <c r="J1853" s="1951"/>
      <c r="K1853" s="1951"/>
      <c r="L1853" s="1951"/>
      <c r="M1853" s="2108">
        <v>3</v>
      </c>
      <c r="N1853" s="2384" t="s">
        <v>1897</v>
      </c>
      <c r="O1853" s="2371">
        <f>'Part IX Scoring Criteria'!O134</f>
        <v>0</v>
      </c>
      <c r="P1853" s="2192"/>
      <c r="Q1853" s="2397" t="str">
        <f>IF(OR($O1853=$M1853,$O1853=0,$O1853=""),"","*CHECK!*")</f>
        <v/>
      </c>
      <c r="R1853" s="1858" t="s">
        <v>4267</v>
      </c>
    </row>
    <row r="1854" spans="1:21" s="2274" customFormat="1" ht="12" customHeight="1">
      <c r="A1854" s="2164" t="s">
        <v>1304</v>
      </c>
      <c r="B1854" s="2400" t="s">
        <v>1899</v>
      </c>
      <c r="C1854" s="435" t="s">
        <v>7178</v>
      </c>
      <c r="D1854" s="435"/>
      <c r="E1854" s="435"/>
      <c r="F1854" s="435"/>
      <c r="G1854" s="435"/>
      <c r="H1854" s="435"/>
      <c r="I1854" s="1951" t="str">
        <f>'Part IX Scoring Criteria'!I135</f>
        <v>http://coastalregionalcoaches.com/CRC/Make_a_Reservation.html</v>
      </c>
      <c r="J1854" s="1951"/>
      <c r="K1854" s="1951"/>
      <c r="L1854" s="1951"/>
      <c r="M1854" s="2108">
        <v>2</v>
      </c>
      <c r="N1854" s="2384" t="s">
        <v>1899</v>
      </c>
      <c r="O1854" s="2371">
        <f>'Part IX Scoring Criteria'!O135</f>
        <v>0</v>
      </c>
      <c r="P1854" s="2192"/>
      <c r="Q1854" s="2397" t="str">
        <f>IF(OR($O1854=$M1854,$O1854=0,$O1854=""),"","*CHECK!*")</f>
        <v/>
      </c>
      <c r="R1854" s="1858" t="s">
        <v>4267</v>
      </c>
    </row>
    <row r="1855" spans="1:21" s="2274" customFormat="1" ht="21.75" customHeight="1">
      <c r="A1855" s="2252" t="s">
        <v>1304</v>
      </c>
      <c r="B1855" s="2401" t="s">
        <v>2417</v>
      </c>
      <c r="C1855" s="2223" t="s">
        <v>7179</v>
      </c>
      <c r="D1855" s="2223"/>
      <c r="E1855" s="2223"/>
      <c r="F1855" s="2223"/>
      <c r="G1855" s="2223"/>
      <c r="H1855" s="2223"/>
      <c r="I1855" s="1951"/>
      <c r="J1855" s="1951"/>
      <c r="K1855" s="1951"/>
      <c r="L1855" s="1951"/>
      <c r="M1855" s="2309">
        <v>1</v>
      </c>
      <c r="N1855" s="2392" t="s">
        <v>2417</v>
      </c>
      <c r="O1855" s="2371">
        <f>'Part IX Scoring Criteria'!O136</f>
        <v>0</v>
      </c>
      <c r="P1855" s="2402"/>
      <c r="Q1855" s="2397" t="str">
        <f>IF(OR($O1855=$M1855,$O1855=0,$O1855=""),"","*CHECK!*")</f>
        <v/>
      </c>
      <c r="R1855" s="1858" t="s">
        <v>4267</v>
      </c>
    </row>
    <row r="1856" spans="1:21" s="2274" customFormat="1" ht="12.6" customHeight="1">
      <c r="A1856" s="2390" t="s">
        <v>2609</v>
      </c>
      <c r="B1856" s="1719"/>
      <c r="E1856" s="2379"/>
      <c r="I1856" s="1951" t="str">
        <f>'Part IX Scoring Criteria'!I137</f>
        <v>&lt;&lt; Enter specific URL/webpage showing established routes from transit agency website (if different) here &gt;&gt;</v>
      </c>
      <c r="J1856" s="1951"/>
      <c r="K1856" s="1951"/>
      <c r="L1856" s="1951"/>
      <c r="M1856" s="2108"/>
      <c r="N1856" s="2108"/>
      <c r="O1856" s="2108"/>
      <c r="P1856" s="2108"/>
      <c r="Q1856" s="2366"/>
      <c r="R1856" s="2366"/>
    </row>
    <row r="1857" spans="1:19" s="2284" customFormat="1" ht="12" customHeight="1">
      <c r="A1857" s="2141"/>
      <c r="B1857" s="2392" t="s">
        <v>1178</v>
      </c>
      <c r="C1857" s="1719" t="s">
        <v>7180</v>
      </c>
      <c r="D1857" s="1719"/>
      <c r="E1857" s="1719"/>
      <c r="F1857" s="1719"/>
      <c r="G1857" s="1719"/>
      <c r="H1857" s="1719"/>
      <c r="I1857" s="1951"/>
      <c r="J1857" s="1951"/>
      <c r="K1857" s="1951"/>
      <c r="L1857" s="1951"/>
      <c r="M1857" s="2108">
        <v>2</v>
      </c>
      <c r="N1857" s="2384" t="s">
        <v>1178</v>
      </c>
      <c r="O1857" s="2371">
        <f>'Part IX Scoring Criteria'!O138</f>
        <v>2</v>
      </c>
      <c r="P1857" s="2192"/>
      <c r="Q1857" s="2397" t="str">
        <f>IF(OR($O1857=$M1857,$O1857=0,$O1857=""),"","*CHECK!*")</f>
        <v/>
      </c>
      <c r="R1857" s="1858" t="s">
        <v>4267</v>
      </c>
    </row>
    <row r="1858" spans="1:19" s="2284" customFormat="1" ht="12" customHeight="1">
      <c r="A1858" s="2141"/>
      <c r="B1858" s="2392"/>
      <c r="C1858" s="1719" t="s">
        <v>7181</v>
      </c>
      <c r="D1858" s="1719"/>
      <c r="E1858" s="1719"/>
      <c r="F1858" s="1719"/>
      <c r="G1858" s="1719"/>
      <c r="H1858" s="1719"/>
      <c r="I1858" s="1719"/>
      <c r="J1858" s="1719"/>
      <c r="K1858" s="1719"/>
      <c r="L1858" s="1719"/>
      <c r="M1858" s="1719"/>
      <c r="N1858" s="1719"/>
      <c r="O1858" s="1719"/>
      <c r="P1858" s="1719"/>
      <c r="Q1858" s="2397"/>
      <c r="R1858" s="1967"/>
    </row>
    <row r="1859" spans="1:19" s="2274" customFormat="1" ht="12.6" customHeight="1">
      <c r="A1859" s="435" t="s">
        <v>7182</v>
      </c>
      <c r="B1859" s="1719"/>
      <c r="E1859" s="2379"/>
      <c r="K1859" s="1719"/>
      <c r="M1859" s="2108"/>
      <c r="N1859" s="2108"/>
      <c r="O1859" s="2108"/>
      <c r="P1859" s="2108"/>
      <c r="Q1859" s="2366"/>
      <c r="R1859" s="2366"/>
    </row>
    <row r="1860" spans="1:19" s="2274" customFormat="1" ht="11.25" customHeight="1">
      <c r="A1860" s="1818"/>
      <c r="B1860" s="2156" t="s">
        <v>3374</v>
      </c>
      <c r="C1860" s="1818"/>
      <c r="D1860" s="1719"/>
      <c r="E1860" s="1719"/>
      <c r="F1860" s="1719"/>
      <c r="G1860" s="1719"/>
      <c r="H1860" s="435"/>
      <c r="K1860" s="1719"/>
      <c r="M1860" s="2108"/>
      <c r="N1860" s="2051"/>
      <c r="O1860" s="2192"/>
      <c r="P1860" s="2051"/>
    </row>
    <row r="1861" spans="1:19" s="2274" customFormat="1" ht="29.25" customHeight="1">
      <c r="A1861" s="2226" t="str">
        <f>'Part IX Scoring Criteria'!A142</f>
        <v>Coastal Regional Coaches is part of the regional rural public transit program that provides general public transit service in the Georgia counties of Bryan, Bulloch, Camden, Chatham, Effingham, Glynn, Liberty, Long, McIntosh, and Screven. This service is available to anyone, for any purpose, and to any destination in the coastal region. Fares are very affordable and vary with different itineraries. Coastal Regional Coaches is a demand-response, advance reservation service that operates Monday through Friday from 7:00 A.M. until 5:00 P.M.</v>
      </c>
      <c r="B1861" s="2226"/>
      <c r="C1861" s="2226"/>
      <c r="D1861" s="2226"/>
      <c r="E1861" s="2226"/>
      <c r="F1861" s="2226"/>
      <c r="G1861" s="2226"/>
      <c r="H1861" s="2226"/>
      <c r="I1861" s="2226"/>
      <c r="J1861" s="2226"/>
      <c r="K1861" s="2226"/>
      <c r="L1861" s="2226"/>
      <c r="M1861" s="2226"/>
      <c r="N1861" s="2226"/>
      <c r="O1861" s="2226"/>
      <c r="P1861" s="2226"/>
      <c r="Q1861" s="1855" t="s">
        <v>1208</v>
      </c>
      <c r="R1861" s="1855"/>
    </row>
    <row r="1862" spans="1:19" s="2284" customFormat="1" ht="11.45" customHeight="1">
      <c r="A1862" s="1818"/>
      <c r="B1862" s="2156" t="s">
        <v>1781</v>
      </c>
      <c r="C1862" s="1818"/>
      <c r="D1862" s="2156"/>
      <c r="E1862" s="2121"/>
      <c r="F1862" s="2121"/>
      <c r="G1862" s="2121"/>
      <c r="H1862" s="2121"/>
      <c r="I1862" s="2121"/>
      <c r="J1862" s="2121"/>
      <c r="K1862" s="2121"/>
      <c r="L1862" s="2121"/>
      <c r="M1862" s="2121"/>
      <c r="N1862" s="2108"/>
      <c r="O1862" s="2108"/>
      <c r="P1862" s="2108"/>
      <c r="Q1862" s="2274"/>
    </row>
    <row r="1863" spans="1:19" s="2274" customFormat="1" ht="11.25" customHeight="1">
      <c r="A1863" s="2223"/>
      <c r="B1863" s="2223"/>
      <c r="C1863" s="2223"/>
      <c r="D1863" s="2223"/>
      <c r="E1863" s="2223"/>
      <c r="F1863" s="2223"/>
      <c r="G1863" s="2223"/>
      <c r="H1863" s="2223"/>
      <c r="I1863" s="2223"/>
      <c r="J1863" s="2223"/>
      <c r="K1863" s="2223"/>
      <c r="L1863" s="2223"/>
      <c r="M1863" s="2223"/>
      <c r="N1863" s="2223"/>
      <c r="O1863" s="2223"/>
      <c r="P1863" s="2223"/>
      <c r="Q1863" s="1855"/>
    </row>
    <row r="1864" spans="1:19" s="1852" customFormat="1" ht="3" customHeight="1">
      <c r="N1864" s="2051"/>
      <c r="O1864" s="2051"/>
      <c r="P1864" s="2051"/>
      <c r="R1864" s="2274"/>
    </row>
    <row r="1865" spans="1:19" s="2274" customFormat="1" ht="3" customHeight="1">
      <c r="A1865" s="1818"/>
      <c r="C1865" s="2228"/>
      <c r="D1865" s="2228"/>
      <c r="E1865" s="2228"/>
      <c r="F1865" s="2228"/>
      <c r="G1865" s="2228"/>
      <c r="H1865" s="2228"/>
      <c r="I1865" s="2228"/>
      <c r="J1865" s="2228"/>
      <c r="K1865" s="2228"/>
      <c r="L1865" s="2228"/>
      <c r="M1865" s="2228"/>
      <c r="N1865" s="2309"/>
      <c r="O1865" s="2309"/>
      <c r="P1865" s="2108"/>
    </row>
    <row r="1866" spans="1:19" s="2274" customFormat="1" ht="13.5" customHeight="1">
      <c r="A1866" s="2306" t="s">
        <v>742</v>
      </c>
      <c r="B1866" s="2153" t="s">
        <v>6397</v>
      </c>
      <c r="C1866" s="2228"/>
      <c r="D1866" s="2228"/>
      <c r="E1866" s="2228"/>
      <c r="G1866" s="2044" t="s">
        <v>3988</v>
      </c>
      <c r="H1866" s="1912" t="str">
        <f>'Part I-Project Information'!$H$77</f>
        <v>Family</v>
      </c>
      <c r="M1866" s="2108">
        <v>3</v>
      </c>
      <c r="N1866" s="2309"/>
      <c r="O1866" s="2110">
        <f>'Part IX Scoring Criteria'!O147</f>
        <v>3</v>
      </c>
      <c r="P1866" s="2108"/>
      <c r="Q1866" s="2282" t="str">
        <f>IF(OR($O1866&lt;=$M1866,$O1866=0,$O1866=""),"","*CHECK!*")</f>
        <v/>
      </c>
      <c r="R1866" s="2105" t="s">
        <v>422</v>
      </c>
      <c r="S1866" s="1858" t="s">
        <v>4267</v>
      </c>
    </row>
    <row r="1867" spans="1:19" ht="18.75" customHeight="1">
      <c r="C1867" s="1972" t="s">
        <v>7183</v>
      </c>
      <c r="D1867" s="1852"/>
      <c r="E1867" s="1852"/>
      <c r="F1867" s="1972"/>
      <c r="G1867" s="1972"/>
      <c r="H1867" s="1972"/>
      <c r="I1867" s="1925"/>
      <c r="J1867" s="2159"/>
      <c r="K1867" s="2045"/>
      <c r="L1867" s="2045"/>
      <c r="M1867" s="2403"/>
    </row>
    <row r="1868" spans="1:19" ht="12" customHeight="1">
      <c r="B1868" s="2084"/>
      <c r="C1868" s="2084"/>
      <c r="D1868" s="2084"/>
      <c r="E1868" s="2084"/>
      <c r="F1868" s="1852"/>
      <c r="G1868" s="1852"/>
      <c r="H1868" s="1950" t="s">
        <v>7088</v>
      </c>
      <c r="I1868" s="1950"/>
      <c r="J1868" s="1950"/>
      <c r="K1868" s="2045" t="s">
        <v>7089</v>
      </c>
      <c r="L1868" s="2045"/>
      <c r="M1868" s="2403"/>
    </row>
    <row r="1869" spans="1:19" ht="12" customHeight="1">
      <c r="B1869" s="2084"/>
      <c r="C1869" s="2084"/>
      <c r="D1869" s="2084"/>
      <c r="E1869" s="2084"/>
      <c r="F1869" s="1852"/>
      <c r="G1869" s="1852"/>
      <c r="H1869" s="1950"/>
      <c r="I1869" s="1950"/>
      <c r="J1869" s="1950"/>
      <c r="K1869" s="2045"/>
      <c r="L1869" s="2045"/>
      <c r="M1869" s="2403"/>
    </row>
    <row r="1870" spans="1:19" ht="12" customHeight="1">
      <c r="B1870" s="2403"/>
      <c r="C1870" s="2159" t="s">
        <v>6839</v>
      </c>
      <c r="D1870" s="2293"/>
      <c r="E1870" s="2403"/>
      <c r="F1870" s="1852"/>
      <c r="G1870" s="1852"/>
      <c r="H1870" s="1950"/>
      <c r="I1870" s="1950"/>
      <c r="J1870" s="1950"/>
      <c r="K1870" s="2045"/>
      <c r="L1870" s="2045"/>
      <c r="M1870" s="2403"/>
    </row>
    <row r="1871" spans="1:19">
      <c r="B1871" s="2084"/>
      <c r="C1871" s="2070" t="str">
        <f>'Part IX Scoring Criteria'!C152</f>
        <v>Blanford Elementary School (PK, KK, 01, 02, 03, 04, 05)</v>
      </c>
      <c r="D1871" s="2070"/>
      <c r="E1871" s="2070"/>
      <c r="F1871" s="2070"/>
      <c r="G1871" s="2070"/>
      <c r="H1871" s="2111" t="str">
        <f>'Part IX Scoring Criteria'!H152</f>
        <v>Yes</v>
      </c>
      <c r="I1871" s="2111"/>
      <c r="J1871" s="2111"/>
      <c r="K1871" s="2111" t="str">
        <f>'Part IX Scoring Criteria'!K152</f>
        <v>Yes</v>
      </c>
      <c r="L1871" s="2111"/>
      <c r="M1871" s="2145"/>
    </row>
    <row r="1872" spans="1:19">
      <c r="B1872" s="2084"/>
      <c r="C1872" s="2070" t="str">
        <f>'Part IX Scoring Criteria'!C153</f>
        <v>Ebenezer Middle School (06, 07, 08)</v>
      </c>
      <c r="D1872" s="2070"/>
      <c r="E1872" s="2070"/>
      <c r="F1872" s="2070"/>
      <c r="G1872" s="2070"/>
      <c r="H1872" s="2111" t="str">
        <f>'Part IX Scoring Criteria'!H153</f>
        <v>Yes</v>
      </c>
      <c r="I1872" s="2111"/>
      <c r="J1872" s="2111"/>
      <c r="K1872" s="2111" t="str">
        <f>'Part IX Scoring Criteria'!K153</f>
        <v>No</v>
      </c>
      <c r="L1872" s="2111"/>
      <c r="M1872" s="2145"/>
    </row>
    <row r="1873" spans="1:21" ht="15">
      <c r="B1873" s="2084"/>
      <c r="C1873" s="2070" t="str">
        <f>'Part IX Scoring Criteria'!C154</f>
        <v>South Effingham High School (09, 10, 11, 12)</v>
      </c>
      <c r="D1873" s="2070"/>
      <c r="E1873" s="2070"/>
      <c r="F1873" s="2070"/>
      <c r="G1873" s="2070"/>
      <c r="H1873" s="2111" t="str">
        <f>'Part IX Scoring Criteria'!H154</f>
        <v>Yes</v>
      </c>
      <c r="I1873" s="2111"/>
      <c r="J1873" s="2111"/>
      <c r="K1873" s="2111" t="str">
        <f>'Part IX Scoring Criteria'!K154</f>
        <v>No</v>
      </c>
      <c r="L1873" s="2111"/>
      <c r="M1873" s="2145"/>
      <c r="N1873" s="2403"/>
      <c r="O1873" s="2403"/>
    </row>
    <row r="1874" spans="1:21" ht="15">
      <c r="B1874" s="2084"/>
      <c r="C1874" s="2070">
        <f>'Part IX Scoring Criteria'!C155</f>
        <v>0</v>
      </c>
      <c r="D1874" s="2070"/>
      <c r="E1874" s="2070"/>
      <c r="F1874" s="2070"/>
      <c r="G1874" s="2070"/>
      <c r="H1874" s="2111">
        <f>'Part IX Scoring Criteria'!H155</f>
        <v>0</v>
      </c>
      <c r="I1874" s="2111"/>
      <c r="J1874" s="2111"/>
      <c r="K1874" s="2111">
        <f>'Part IX Scoring Criteria'!K155</f>
        <v>0</v>
      </c>
      <c r="L1874" s="2111"/>
      <c r="M1874" s="2145"/>
      <c r="N1874" s="2403"/>
      <c r="O1874" s="2404"/>
    </row>
    <row r="1875" spans="1:21" ht="15">
      <c r="B1875" s="2084"/>
      <c r="C1875" s="2070">
        <f>'Part IX Scoring Criteria'!C156</f>
        <v>0</v>
      </c>
      <c r="D1875" s="2070"/>
      <c r="E1875" s="2070"/>
      <c r="F1875" s="2070"/>
      <c r="G1875" s="2070"/>
      <c r="H1875" s="2111">
        <f>'Part IX Scoring Criteria'!H156</f>
        <v>0</v>
      </c>
      <c r="I1875" s="2111"/>
      <c r="J1875" s="2111"/>
      <c r="K1875" s="2111">
        <f>'Part IX Scoring Criteria'!K156</f>
        <v>0</v>
      </c>
      <c r="L1875" s="2111"/>
      <c r="M1875" s="2145"/>
      <c r="N1875" s="2403"/>
      <c r="O1875" s="2404"/>
    </row>
    <row r="1876" spans="1:21" ht="15">
      <c r="B1876" s="2084"/>
      <c r="C1876" s="2070">
        <f>'Part IX Scoring Criteria'!C157</f>
        <v>0</v>
      </c>
      <c r="D1876" s="2070"/>
      <c r="E1876" s="2070"/>
      <c r="F1876" s="2070"/>
      <c r="G1876" s="2070"/>
      <c r="H1876" s="2111">
        <f>'Part IX Scoring Criteria'!H157</f>
        <v>0</v>
      </c>
      <c r="I1876" s="2111"/>
      <c r="J1876" s="2111"/>
      <c r="K1876" s="2111">
        <f>'Part IX Scoring Criteria'!K157</f>
        <v>0</v>
      </c>
      <c r="L1876" s="2111"/>
      <c r="M1876" s="2145"/>
      <c r="N1876" s="2403"/>
      <c r="O1876" s="2403"/>
    </row>
    <row r="1877" spans="1:21" s="2274" customFormat="1" ht="10.5" customHeight="1">
      <c r="A1877" s="1818"/>
      <c r="B1877" s="2156" t="s">
        <v>3374</v>
      </c>
      <c r="C1877" s="1818"/>
      <c r="D1877" s="1719"/>
      <c r="E1877" s="1719"/>
      <c r="F1877" s="1719"/>
      <c r="G1877" s="1719"/>
      <c r="H1877" s="435"/>
      <c r="I1877" s="435"/>
      <c r="J1877" s="435"/>
      <c r="K1877" s="435"/>
      <c r="M1877" s="2108"/>
      <c r="N1877" s="2051"/>
      <c r="O1877" s="2192"/>
      <c r="P1877" s="2051"/>
    </row>
    <row r="1878" spans="1:21" s="2274" customFormat="1" ht="21.75" customHeight="1">
      <c r="A1878" s="2226" t="str">
        <f>'Part IX Scoring Criteria'!A159</f>
        <v xml:space="preserve">All three schools (elementary, middle, and high school) that are zoned for the proposed development site score above the CCRPI state average. The backup documentation submitted includes 2018 and 2019 CCRPI scores for each school as well as an applicant supplied chart that proves the two-year averages. We have also included maps proving the correct school for the proposed site. </v>
      </c>
      <c r="B1878" s="2226"/>
      <c r="C1878" s="2226"/>
      <c r="D1878" s="2226"/>
      <c r="E1878" s="2226"/>
      <c r="F1878" s="2226"/>
      <c r="G1878" s="2226"/>
      <c r="H1878" s="2226"/>
      <c r="I1878" s="2226"/>
      <c r="J1878" s="2226"/>
      <c r="K1878" s="2226"/>
      <c r="L1878" s="2226"/>
      <c r="M1878" s="2226"/>
      <c r="N1878" s="2226"/>
      <c r="O1878" s="2226"/>
      <c r="P1878" s="2226"/>
      <c r="Q1878" s="1855" t="s">
        <v>1208</v>
      </c>
    </row>
    <row r="1879" spans="1:21" s="2274" customFormat="1" ht="10.5" customHeight="1">
      <c r="A1879" s="1818"/>
      <c r="B1879" s="2227" t="s">
        <v>1781</v>
      </c>
      <c r="C1879" s="1818"/>
      <c r="D1879" s="2227"/>
      <c r="E1879" s="2228"/>
      <c r="F1879" s="2228"/>
      <c r="G1879" s="2228"/>
      <c r="H1879" s="2228"/>
      <c r="I1879" s="2228"/>
      <c r="J1879" s="2228"/>
      <c r="K1879" s="2228"/>
      <c r="L1879" s="2228"/>
      <c r="M1879" s="2228"/>
      <c r="N1879" s="2309"/>
      <c r="O1879" s="2309"/>
      <c r="P1879" s="2108"/>
    </row>
    <row r="1880" spans="1:21" s="2274" customFormat="1" ht="11.25" customHeight="1">
      <c r="A1880" s="2223"/>
      <c r="B1880" s="2223"/>
      <c r="C1880" s="2223"/>
      <c r="D1880" s="2223"/>
      <c r="E1880" s="2223"/>
      <c r="F1880" s="2223"/>
      <c r="G1880" s="2223"/>
      <c r="H1880" s="2223"/>
      <c r="I1880" s="2223"/>
      <c r="J1880" s="2223"/>
      <c r="K1880" s="2223"/>
      <c r="L1880" s="2223"/>
      <c r="M1880" s="2223"/>
      <c r="N1880" s="2223"/>
      <c r="O1880" s="2223"/>
      <c r="P1880" s="2223"/>
      <c r="Q1880" s="1855"/>
      <c r="U1880" s="2405"/>
    </row>
    <row r="1881" spans="1:21" s="2274" customFormat="1" ht="3" customHeight="1">
      <c r="A1881" s="1818"/>
      <c r="C1881" s="2228"/>
      <c r="D1881" s="2228"/>
      <c r="E1881" s="2228"/>
      <c r="F1881" s="2228"/>
      <c r="G1881" s="2228"/>
      <c r="H1881" s="2228"/>
      <c r="I1881" s="2228"/>
      <c r="J1881" s="2228"/>
      <c r="K1881" s="2228"/>
      <c r="L1881" s="2228"/>
      <c r="M1881" s="2228"/>
      <c r="N1881" s="2309"/>
      <c r="O1881" s="2309"/>
      <c r="P1881" s="2108"/>
    </row>
    <row r="1882" spans="1:21" s="2284" customFormat="1" ht="13.5" customHeight="1">
      <c r="A1882" s="2306" t="s">
        <v>281</v>
      </c>
      <c r="B1882" s="2153" t="s">
        <v>3488</v>
      </c>
      <c r="D1882" s="2156"/>
      <c r="E1882" s="2156"/>
      <c r="L1882" s="2406" t="str">
        <f>IF(AND(O1882&gt;0,O1884="",O1897=""),"Indicate subtotal score(s) in A or B below!","")</f>
        <v/>
      </c>
      <c r="M1882" s="2108">
        <v>7</v>
      </c>
      <c r="N1882" s="2108"/>
      <c r="O1882" s="2192">
        <f>'Part IX Scoring Criteria'!O163</f>
        <v>0</v>
      </c>
      <c r="P1882" s="2192">
        <f>'Part IX Scoring Criteria'!P163</f>
        <v>0</v>
      </c>
      <c r="Q1882" s="2108" t="s">
        <v>422</v>
      </c>
      <c r="R1882" s="1858"/>
      <c r="S1882" s="1855"/>
      <c r="T1882" s="1855"/>
      <c r="U1882" s="1855"/>
    </row>
    <row r="1883" spans="1:21" s="2274" customFormat="1" ht="2.25" customHeight="1">
      <c r="A1883" s="2108"/>
      <c r="C1883" s="1719"/>
      <c r="D1883" s="1719"/>
      <c r="E1883" s="1864"/>
      <c r="F1883" s="1719"/>
      <c r="G1883" s="1719"/>
      <c r="H1883" s="1719"/>
      <c r="I1883" s="1719"/>
      <c r="J1883" s="1719"/>
      <c r="K1883" s="1719"/>
      <c r="L1883" s="1719"/>
      <c r="M1883" s="1719"/>
      <c r="N1883" s="1719"/>
      <c r="O1883" s="1719"/>
      <c r="P1883" s="1719"/>
      <c r="R1883" s="1855"/>
      <c r="S1883" s="1855"/>
      <c r="T1883" s="1855"/>
      <c r="U1883" s="1855"/>
    </row>
    <row r="1884" spans="1:21" s="2274" customFormat="1" ht="12" customHeight="1">
      <c r="A1884" s="2141" t="s">
        <v>1894</v>
      </c>
      <c r="B1884" s="1719" t="s">
        <v>6431</v>
      </c>
      <c r="C1884" s="1719"/>
      <c r="D1884" s="1719"/>
      <c r="E1884" s="1719"/>
      <c r="F1884" s="1719"/>
      <c r="G1884" s="1719"/>
      <c r="H1884" s="1719"/>
      <c r="I1884" s="1719"/>
      <c r="J1884" s="1719"/>
      <c r="K1884" s="1719"/>
      <c r="L1884" s="2406"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8">
        <v>5</v>
      </c>
      <c r="N1884" s="2255" t="s">
        <v>1894</v>
      </c>
      <c r="O1884" s="2192">
        <f>'Part IX Scoring Criteria'!O165</f>
        <v>0</v>
      </c>
      <c r="P1884" s="2192">
        <f>'Part IX Scoring Criteria'!P165</f>
        <v>0</v>
      </c>
      <c r="Q1884" s="2282" t="str">
        <f>IF(OR($O1884&lt;=$M1884,$O1884=""),"","*CHECK!*")</f>
        <v/>
      </c>
      <c r="R1884" s="1858"/>
      <c r="S1884" s="1855"/>
      <c r="T1884" s="1855"/>
      <c r="U1884" s="1855"/>
    </row>
    <row r="1885" spans="1:21" s="2274" customFormat="1" ht="12.75" customHeight="1">
      <c r="A1885" s="2108"/>
      <c r="B1885" s="2400" t="s">
        <v>1897</v>
      </c>
      <c r="C1885" s="2160" t="s">
        <v>7090</v>
      </c>
      <c r="D1885" s="1719"/>
      <c r="E1885" s="1719"/>
      <c r="F1885" s="1719"/>
      <c r="G1885" s="1719"/>
      <c r="H1885" s="1719"/>
      <c r="I1885" s="1719"/>
      <c r="J1885" s="1719"/>
      <c r="K1885" s="1719"/>
      <c r="L1885" s="1719"/>
      <c r="M1885" s="2108">
        <v>2</v>
      </c>
      <c r="N1885" s="2224" t="s">
        <v>1658</v>
      </c>
      <c r="O1885" s="2407">
        <f>'Part IX Scoring Criteria'!O166</f>
        <v>0</v>
      </c>
      <c r="P1885" s="2362"/>
      <c r="Q1885" s="2282" t="str">
        <f>IF(OR($O1885=$M1885,$O1885=0,$O1885=""),"","*CHECK!*")</f>
        <v/>
      </c>
      <c r="R1885" s="1858" t="s">
        <v>4267</v>
      </c>
      <c r="S1885" s="1855"/>
      <c r="T1885" s="1855"/>
      <c r="U1885" s="1855"/>
    </row>
    <row r="1886" spans="1:21" s="2158" customFormat="1" ht="12" customHeight="1">
      <c r="B1886" s="2224" t="s">
        <v>2325</v>
      </c>
      <c r="C1886" s="2223" t="s">
        <v>7184</v>
      </c>
      <c r="D1886" s="2223"/>
      <c r="E1886" s="2223"/>
      <c r="F1886" s="2223"/>
      <c r="G1886" s="2223"/>
      <c r="H1886" s="2223"/>
      <c r="I1886" s="2223"/>
      <c r="J1886" s="2223"/>
      <c r="K1886" s="2223"/>
      <c r="L1886" s="2224"/>
      <c r="M1886" s="2112" t="s">
        <v>6305</v>
      </c>
      <c r="N1886" s="2112"/>
      <c r="O1886" s="2112"/>
      <c r="P1886" s="2112"/>
      <c r="S1886" s="1855"/>
      <c r="T1886" s="1855"/>
      <c r="U1886" s="1855"/>
    </row>
    <row r="1887" spans="1:21" s="2274" customFormat="1" ht="12.75" customHeight="1">
      <c r="A1887" s="2051"/>
      <c r="B1887" s="2255"/>
      <c r="C1887" s="2223"/>
      <c r="D1887" s="2223"/>
      <c r="E1887" s="2223"/>
      <c r="F1887" s="2223"/>
      <c r="G1887" s="2223"/>
      <c r="H1887" s="2223"/>
      <c r="I1887" s="2223"/>
      <c r="J1887" s="2223"/>
      <c r="K1887" s="2223"/>
      <c r="L1887" s="2224" t="s">
        <v>2325</v>
      </c>
      <c r="M1887" s="1942" t="str">
        <f>'Part IX Scoring Criteria'!M168</f>
        <v>&lt;Enter page nbr(s) from Plan&gt;</v>
      </c>
      <c r="N1887" s="1942"/>
      <c r="O1887" s="1942"/>
      <c r="P1887" s="1942"/>
      <c r="S1887" s="1855"/>
      <c r="T1887" s="1855"/>
      <c r="U1887" s="1855"/>
    </row>
    <row r="1888" spans="1:21" s="1818" customFormat="1" ht="12.75" customHeight="1">
      <c r="B1888" s="2255" t="s">
        <v>2326</v>
      </c>
      <c r="C1888" s="435" t="s">
        <v>4161</v>
      </c>
      <c r="D1888" s="435"/>
      <c r="E1888" s="435"/>
      <c r="F1888" s="435"/>
      <c r="G1888" s="435"/>
      <c r="H1888" s="435"/>
      <c r="L1888" s="2255" t="s">
        <v>2326</v>
      </c>
      <c r="M1888" s="1942" t="str">
        <f>'Part IX Scoring Criteria'!M169</f>
        <v>&lt;Enter page nbr(s) from Plan&gt;</v>
      </c>
      <c r="N1888" s="1942"/>
      <c r="O1888" s="1942"/>
      <c r="P1888" s="1942"/>
      <c r="S1888" s="1855"/>
      <c r="T1888" s="1855"/>
      <c r="U1888" s="1855"/>
    </row>
    <row r="1889" spans="1:22" s="1818" customFormat="1" ht="12.75" customHeight="1">
      <c r="B1889" s="2255" t="s">
        <v>2327</v>
      </c>
      <c r="C1889" s="435" t="s">
        <v>6429</v>
      </c>
      <c r="D1889" s="435"/>
      <c r="E1889" s="435"/>
      <c r="F1889" s="435"/>
      <c r="G1889" s="435"/>
      <c r="H1889" s="435"/>
      <c r="L1889" s="2255" t="s">
        <v>2327</v>
      </c>
      <c r="M1889" s="1942" t="str">
        <f>'Part IX Scoring Criteria'!M170</f>
        <v>&lt;Enter page nbr(s) from Plan&gt;</v>
      </c>
      <c r="N1889" s="1942"/>
      <c r="O1889" s="1942"/>
      <c r="P1889" s="1942"/>
      <c r="Q1889" s="2044">
        <f>IF(K1889="Yes",1,0)</f>
        <v>0</v>
      </c>
      <c r="S1889" s="1855"/>
      <c r="T1889" s="1855"/>
      <c r="U1889" s="1855"/>
      <c r="V1889" s="2044" t="e">
        <f>IF(#REF!="Yes",1,0)</f>
        <v>#REF!</v>
      </c>
    </row>
    <row r="1890" spans="1:22" s="1818" customFormat="1" ht="12.75" customHeight="1">
      <c r="A1890" s="2255"/>
      <c r="B1890" s="2255" t="s">
        <v>2328</v>
      </c>
      <c r="C1890" s="435" t="s">
        <v>6430</v>
      </c>
      <c r="D1890" s="435"/>
      <c r="E1890" s="435"/>
      <c r="F1890" s="435"/>
      <c r="G1890" s="435"/>
      <c r="L1890" s="2255" t="s">
        <v>2328</v>
      </c>
      <c r="M1890" s="1942" t="str">
        <f>'Part IX Scoring Criteria'!M171</f>
        <v>&lt;Enter page nbr(s) from Plan&gt;</v>
      </c>
      <c r="N1890" s="1942"/>
      <c r="O1890" s="1942"/>
      <c r="P1890" s="1942"/>
      <c r="Q1890" s="2044">
        <f>IF(K1890="Yes",1,0)</f>
        <v>0</v>
      </c>
      <c r="S1890" s="1855"/>
      <c r="T1890" s="1855"/>
      <c r="U1890" s="1855"/>
      <c r="V1890" s="2044" t="e">
        <f>IF(#REF!="Yes",1,0)</f>
        <v>#REF!</v>
      </c>
    </row>
    <row r="1891" spans="1:22" s="2274" customFormat="1" ht="4.5" customHeight="1">
      <c r="A1891" s="2051"/>
      <c r="C1891" s="2223"/>
      <c r="D1891" s="2223"/>
      <c r="E1891" s="2223"/>
      <c r="F1891" s="2223"/>
      <c r="G1891" s="2223"/>
      <c r="H1891" s="2223"/>
      <c r="I1891" s="2223"/>
      <c r="K1891" s="2408"/>
      <c r="L1891" s="2408"/>
      <c r="R1891" s="1855"/>
      <c r="S1891" s="1855"/>
      <c r="T1891" s="1855"/>
      <c r="U1891" s="1855"/>
    </row>
    <row r="1892" spans="1:22" s="2274" customFormat="1" ht="9.75" customHeight="1">
      <c r="A1892" s="2051"/>
      <c r="B1892" s="2409" t="s">
        <v>1899</v>
      </c>
      <c r="C1892" s="2293" t="s">
        <v>6552</v>
      </c>
      <c r="D1892" s="2223"/>
      <c r="E1892" s="2223"/>
      <c r="F1892" s="2223"/>
      <c r="G1892" s="2223"/>
      <c r="H1892" s="2223"/>
      <c r="I1892" s="2223"/>
      <c r="K1892" s="2408"/>
      <c r="L1892" s="2408"/>
      <c r="R1892" s="1855"/>
      <c r="S1892" s="1855"/>
      <c r="T1892" s="1855"/>
      <c r="U1892" s="1855"/>
    </row>
    <row r="1893" spans="1:22" s="1852" customFormat="1" ht="12.75" customHeight="1">
      <c r="A1893" s="2255"/>
      <c r="B1893" s="2224" t="s">
        <v>2325</v>
      </c>
      <c r="C1893" s="2223" t="s">
        <v>7091</v>
      </c>
      <c r="D1893" s="2223"/>
      <c r="E1893" s="2223"/>
      <c r="F1893" s="2223"/>
      <c r="G1893" s="2223"/>
      <c r="H1893" s="2223"/>
      <c r="I1893" s="2223"/>
      <c r="J1893" s="2223"/>
      <c r="K1893" s="2223"/>
      <c r="L1893" s="2223"/>
      <c r="M1893" s="2252">
        <v>1</v>
      </c>
      <c r="N1893" s="2224" t="s">
        <v>4287</v>
      </c>
      <c r="O1893" s="2407">
        <f>'Part IX Scoring Criteria'!O174</f>
        <v>0</v>
      </c>
      <c r="P1893" s="2362"/>
      <c r="Q1893" s="2282" t="str">
        <f>IF(OR($O1893=$M1893,$O1893=0,$O1893=""),"","*CHECK!*")</f>
        <v/>
      </c>
      <c r="R1893" s="1858" t="s">
        <v>4267</v>
      </c>
    </row>
    <row r="1894" spans="1:22" s="1852" customFormat="1" ht="36.75" customHeight="1">
      <c r="A1894" s="2255"/>
      <c r="B1894" s="2224" t="s">
        <v>2326</v>
      </c>
      <c r="C1894" s="2223" t="s">
        <v>7092</v>
      </c>
      <c r="D1894" s="2223"/>
      <c r="E1894" s="2223"/>
      <c r="F1894" s="2223"/>
      <c r="G1894" s="2223"/>
      <c r="H1894" s="2223"/>
      <c r="I1894" s="2223"/>
      <c r="J1894" s="2223"/>
      <c r="K1894" s="2223"/>
      <c r="L1894" s="2223"/>
      <c r="M1894" s="2252">
        <v>1</v>
      </c>
      <c r="N1894" s="2224" t="s">
        <v>6566</v>
      </c>
      <c r="O1894" s="2410">
        <f>'Part IX Scoring Criteria'!O175</f>
        <v>0</v>
      </c>
      <c r="P1894" s="2411"/>
      <c r="Q1894" s="2282" t="str">
        <f>IF(OR($O1894=$M1894,$O1894=0,$O1894=""),"","*CHECK!*")</f>
        <v/>
      </c>
      <c r="R1894" s="1858" t="s">
        <v>4267</v>
      </c>
    </row>
    <row r="1895" spans="1:22" s="1852" customFormat="1" ht="12" customHeight="1">
      <c r="A1895" s="2255"/>
      <c r="B1895" s="2255" t="s">
        <v>2327</v>
      </c>
      <c r="C1895" s="2223" t="s">
        <v>7093</v>
      </c>
      <c r="D1895" s="2223"/>
      <c r="E1895" s="2223"/>
      <c r="F1895" s="2223"/>
      <c r="G1895" s="2223"/>
      <c r="H1895" s="2223"/>
      <c r="I1895" s="2223"/>
      <c r="J1895" s="2223"/>
      <c r="K1895" s="2223"/>
      <c r="L1895" s="2223"/>
      <c r="M1895" s="2164">
        <v>1</v>
      </c>
      <c r="N1895" s="2255" t="s">
        <v>6567</v>
      </c>
      <c r="O1895" s="2407">
        <f>'Part IX Scoring Criteria'!O176</f>
        <v>0</v>
      </c>
      <c r="P1895" s="2362"/>
      <c r="Q1895" s="2282" t="str">
        <f>IF(OR($O1895=$M1895,$O1895=0,$O1895=""),"","*CHECK!*")</f>
        <v/>
      </c>
      <c r="R1895" s="1858" t="s">
        <v>4267</v>
      </c>
    </row>
    <row r="1896" spans="1:22" s="1852" customFormat="1" ht="4.5" customHeight="1">
      <c r="A1896" s="2255"/>
      <c r="B1896" s="2290"/>
      <c r="C1896" s="2223"/>
      <c r="D1896" s="2223"/>
      <c r="E1896" s="2223"/>
      <c r="F1896" s="2223"/>
      <c r="G1896" s="2223"/>
      <c r="H1896" s="2223"/>
      <c r="M1896" s="435"/>
    </row>
    <row r="1897" spans="1:22" s="1852" customFormat="1" ht="12.75" customHeight="1">
      <c r="A1897" s="2141" t="s">
        <v>1896</v>
      </c>
      <c r="B1897" s="1719" t="s">
        <v>3989</v>
      </c>
      <c r="D1897" s="1818"/>
      <c r="F1897" s="2412"/>
      <c r="K1897" s="2187"/>
      <c r="L1897" s="2366" t="str">
        <f>IF(OR($O1897=$M1897,$O1897=0,$O1897=""),"","* * Check Score! * *")</f>
        <v/>
      </c>
      <c r="M1897" s="2108">
        <v>2</v>
      </c>
      <c r="N1897" s="2255" t="s">
        <v>1896</v>
      </c>
      <c r="O1897" s="2371">
        <f>'Part IX Scoring Criteria'!O178</f>
        <v>0</v>
      </c>
      <c r="P1897" s="2192"/>
      <c r="Q1897" s="2397" t="str">
        <f>IF(OR($O1897=$M1897,$O1897=0,$O1897=""),"","*CHECK!*")</f>
        <v/>
      </c>
      <c r="R1897" s="1858" t="s">
        <v>4267</v>
      </c>
    </row>
    <row r="1898" spans="1:22" s="2284" customFormat="1" ht="10.5" customHeight="1">
      <c r="A1898" s="1818"/>
      <c r="B1898" s="2156" t="s">
        <v>3374</v>
      </c>
      <c r="C1898" s="1818"/>
      <c r="D1898" s="1719"/>
      <c r="E1898" s="1719"/>
      <c r="F1898" s="1719"/>
      <c r="G1898" s="1719"/>
      <c r="H1898" s="435"/>
      <c r="I1898" s="435"/>
      <c r="J1898" s="435"/>
      <c r="K1898" s="435"/>
      <c r="M1898" s="2108"/>
      <c r="N1898" s="2108"/>
      <c r="O1898" s="2192"/>
      <c r="P1898" s="2108"/>
    </row>
    <row r="1899" spans="1:22" s="2274" customFormat="1" ht="21.75" customHeight="1">
      <c r="A1899" s="2226" t="str">
        <f>'Part IX Scoring Criteria'!A180</f>
        <v xml:space="preserve">The applicant is not claiming points for revitalization and does not have a third party capital investment. </v>
      </c>
      <c r="B1899" s="2226"/>
      <c r="C1899" s="2226"/>
      <c r="D1899" s="2226"/>
      <c r="E1899" s="2226"/>
      <c r="F1899" s="2226"/>
      <c r="G1899" s="2226"/>
      <c r="H1899" s="2226"/>
      <c r="I1899" s="2226"/>
      <c r="J1899" s="2226"/>
      <c r="K1899" s="2226"/>
      <c r="L1899" s="2226"/>
      <c r="M1899" s="2226"/>
      <c r="N1899" s="2226"/>
      <c r="O1899" s="2226"/>
      <c r="P1899" s="2226"/>
      <c r="Q1899" s="1855" t="s">
        <v>1208</v>
      </c>
    </row>
    <row r="1900" spans="1:22" s="2284" customFormat="1" ht="11.45" customHeight="1">
      <c r="A1900" s="1818"/>
      <c r="B1900" s="2156" t="s">
        <v>1781</v>
      </c>
      <c r="C1900" s="1818"/>
      <c r="D1900" s="2156"/>
      <c r="E1900" s="2121"/>
      <c r="F1900" s="2121"/>
      <c r="G1900" s="2121"/>
      <c r="H1900" s="2121"/>
      <c r="I1900" s="2121"/>
      <c r="J1900" s="2121"/>
      <c r="K1900" s="2121"/>
      <c r="L1900" s="2121"/>
      <c r="M1900" s="2121"/>
      <c r="N1900" s="2108"/>
      <c r="O1900" s="2108"/>
      <c r="P1900" s="2108"/>
      <c r="Q1900" s="2274"/>
    </row>
    <row r="1901" spans="1:22" s="2274" customFormat="1" ht="11.25" customHeight="1">
      <c r="A1901" s="2223"/>
      <c r="B1901" s="2223"/>
      <c r="C1901" s="2223"/>
      <c r="D1901" s="2223"/>
      <c r="E1901" s="2223"/>
      <c r="F1901" s="2223"/>
      <c r="G1901" s="2223"/>
      <c r="H1901" s="2223"/>
      <c r="I1901" s="2223"/>
      <c r="J1901" s="2223"/>
      <c r="K1901" s="2223"/>
      <c r="L1901" s="2223"/>
      <c r="M1901" s="2223"/>
      <c r="N1901" s="2223"/>
      <c r="O1901" s="2223"/>
      <c r="P1901" s="2223"/>
      <c r="Q1901" s="1855"/>
    </row>
    <row r="1902" spans="1:22" s="2274" customFormat="1" ht="3" customHeight="1">
      <c r="A1902" s="1818"/>
      <c r="C1902" s="2228"/>
      <c r="D1902" s="2228"/>
      <c r="E1902" s="2228"/>
      <c r="F1902" s="2228"/>
      <c r="G1902" s="2228"/>
      <c r="H1902" s="2228"/>
      <c r="I1902" s="2228"/>
      <c r="J1902" s="2228"/>
      <c r="K1902" s="2228"/>
      <c r="L1902" s="2228"/>
      <c r="M1902" s="2228"/>
      <c r="N1902" s="2309"/>
      <c r="O1902" s="2309"/>
      <c r="P1902" s="2108"/>
    </row>
    <row r="1903" spans="1:22" s="2274" customFormat="1" ht="13.5" customHeight="1">
      <c r="A1903" s="2306" t="s">
        <v>407</v>
      </c>
      <c r="B1903" s="2153" t="s">
        <v>3489</v>
      </c>
      <c r="C1903" s="2228"/>
      <c r="D1903" s="2228"/>
      <c r="E1903" s="2228"/>
      <c r="F1903" s="2228"/>
      <c r="G1903" s="2228"/>
      <c r="H1903" s="2228"/>
      <c r="I1903" s="2228"/>
      <c r="J1903" s="2228"/>
      <c r="K1903" s="2228"/>
      <c r="L1903" s="2228"/>
      <c r="M1903" s="2108">
        <v>3</v>
      </c>
      <c r="N1903" s="2309"/>
      <c r="O1903" s="2309"/>
      <c r="P1903" s="2192"/>
      <c r="Q1903" s="2108" t="s">
        <v>422</v>
      </c>
      <c r="R1903" s="1858" t="s">
        <v>2555</v>
      </c>
    </row>
    <row r="1904" spans="1:22" s="2274" customFormat="1" ht="13.5" customHeight="1">
      <c r="A1904" s="2306"/>
      <c r="B1904" s="1719" t="s">
        <v>3829</v>
      </c>
      <c r="C1904" s="2228"/>
      <c r="D1904" s="2228"/>
      <c r="E1904" s="2228"/>
      <c r="F1904" s="2228"/>
      <c r="G1904" s="2228"/>
      <c r="H1904" s="2228"/>
      <c r="L1904" s="2413" t="str">
        <f>IF(OR(O$147&gt;0,O$199&gt;0),"Applicant is ineligible for points in this section!  Points claimed in VI or IX.","")</f>
        <v/>
      </c>
      <c r="M1904" s="2108"/>
      <c r="N1904" s="2309"/>
      <c r="O1904" s="2230" t="str">
        <f>'Part IX Scoring Criteria'!O185</f>
        <v>No</v>
      </c>
      <c r="P1904" s="2164"/>
      <c r="Q1904" s="2108"/>
      <c r="R1904" s="2244"/>
      <c r="S1904" s="2244"/>
      <c r="T1904" s="2244"/>
      <c r="U1904" s="2244"/>
    </row>
    <row r="1905" spans="1:24" s="2274" customFormat="1" ht="13.5" customHeight="1">
      <c r="A1905" s="2306"/>
      <c r="B1905" s="2414" t="s">
        <v>6553</v>
      </c>
      <c r="C1905" s="2228"/>
      <c r="D1905" s="2228"/>
      <c r="E1905" s="2228"/>
      <c r="F1905" s="2228"/>
      <c r="G1905" s="2228"/>
      <c r="H1905" s="2228"/>
      <c r="L1905" s="2413"/>
      <c r="M1905" s="2108"/>
      <c r="N1905" s="2108"/>
      <c r="O1905" s="2108"/>
      <c r="P1905" s="2108"/>
      <c r="Q1905" s="2108"/>
      <c r="R1905" s="2244"/>
      <c r="S1905" s="2244"/>
      <c r="T1905" s="2244"/>
      <c r="U1905" s="2244"/>
    </row>
    <row r="1906" spans="1:24" s="1852" customFormat="1" ht="11.45" customHeight="1">
      <c r="A1906" s="2141" t="s">
        <v>719</v>
      </c>
      <c r="B1906" s="1719" t="s">
        <v>7094</v>
      </c>
      <c r="D1906" s="1818"/>
      <c r="G1906" s="2290"/>
      <c r="O1906" s="2164"/>
      <c r="P1906" s="2164"/>
      <c r="Q1906" s="1912"/>
    </row>
    <row r="1907" spans="1:24" s="2309" customFormat="1" ht="12.75" customHeight="1">
      <c r="B1907" s="2392" t="s">
        <v>1897</v>
      </c>
      <c r="C1907" s="2223" t="s">
        <v>6470</v>
      </c>
      <c r="D1907" s="2223"/>
      <c r="E1907" s="2223"/>
      <c r="F1907" s="2223"/>
      <c r="G1907" s="2223"/>
      <c r="H1907" s="2223"/>
      <c r="I1907" s="2223"/>
      <c r="J1907" s="2223"/>
      <c r="K1907" s="2223"/>
      <c r="L1907" s="2223"/>
      <c r="M1907" s="2257" t="s">
        <v>719</v>
      </c>
      <c r="N1907" s="2359" t="s">
        <v>1897</v>
      </c>
      <c r="O1907" s="2264">
        <f>'Part IX Scoring Criteria'!O188</f>
        <v>0</v>
      </c>
      <c r="P1907" s="2252"/>
      <c r="Q1907" s="2028"/>
      <c r="V1907" s="2415"/>
      <c r="W1907" s="2415"/>
    </row>
    <row r="1908" spans="1:24" s="1818" customFormat="1" ht="12.75" customHeight="1">
      <c r="A1908" s="2255"/>
      <c r="B1908" s="2392" t="s">
        <v>1899</v>
      </c>
      <c r="C1908" s="2121" t="s">
        <v>6471</v>
      </c>
      <c r="D1908" s="435"/>
      <c r="E1908" s="435"/>
      <c r="F1908" s="435"/>
      <c r="G1908" s="435"/>
      <c r="H1908" s="435"/>
      <c r="I1908" s="435"/>
      <c r="J1908" s="435"/>
      <c r="K1908" s="435"/>
      <c r="L1908" s="435"/>
      <c r="M1908" s="435"/>
      <c r="N1908" s="2359" t="s">
        <v>1899</v>
      </c>
      <c r="O1908" s="2230">
        <f>'Part IX Scoring Criteria'!O189</f>
        <v>0</v>
      </c>
      <c r="P1908" s="2164"/>
      <c r="Q1908" s="2105"/>
      <c r="V1908" s="2416"/>
      <c r="W1908" s="2416"/>
    </row>
    <row r="1909" spans="1:24" s="1818" customFormat="1" ht="22.5" customHeight="1">
      <c r="A1909" s="2255"/>
      <c r="B1909" s="2392" t="s">
        <v>2417</v>
      </c>
      <c r="C1909" s="2223" t="s">
        <v>6474</v>
      </c>
      <c r="D1909" s="2223"/>
      <c r="E1909" s="2223"/>
      <c r="F1909" s="2223"/>
      <c r="G1909" s="2223"/>
      <c r="H1909" s="2223"/>
      <c r="I1909" s="2223"/>
      <c r="J1909" s="2223"/>
      <c r="K1909" s="2223"/>
      <c r="L1909" s="2223"/>
      <c r="M1909" s="2223"/>
      <c r="N1909" s="2359" t="s">
        <v>2417</v>
      </c>
      <c r="O1909" s="2264">
        <f>'Part IX Scoring Criteria'!O190</f>
        <v>0</v>
      </c>
      <c r="P1909" s="2252"/>
      <c r="Q1909" s="2105"/>
      <c r="V1909" s="2416"/>
      <c r="W1909" s="2416"/>
    </row>
    <row r="1910" spans="1:24" s="1852" customFormat="1" ht="11.45" customHeight="1">
      <c r="A1910" s="2141" t="s">
        <v>2022</v>
      </c>
      <c r="B1910" s="1719" t="s">
        <v>6472</v>
      </c>
      <c r="D1910" s="1818"/>
      <c r="G1910" s="2290"/>
      <c r="O1910" s="2164"/>
      <c r="P1910" s="2164"/>
      <c r="Q1910" s="1912"/>
    </row>
    <row r="1911" spans="1:24" s="2309" customFormat="1" ht="23.25" customHeight="1">
      <c r="B1911" s="2392" t="s">
        <v>1897</v>
      </c>
      <c r="C1911" s="2223" t="s">
        <v>7095</v>
      </c>
      <c r="D1911" s="2223"/>
      <c r="E1911" s="2223"/>
      <c r="F1911" s="2223"/>
      <c r="G1911" s="2223"/>
      <c r="H1911" s="2223"/>
      <c r="I1911" s="2223"/>
      <c r="J1911" s="2223"/>
      <c r="K1911" s="2223"/>
      <c r="L1911" s="2223"/>
      <c r="M1911" s="2257" t="s">
        <v>2022</v>
      </c>
      <c r="N1911" s="2359" t="s">
        <v>1897</v>
      </c>
      <c r="O1911" s="2264">
        <f>'Part IX Scoring Criteria'!O192</f>
        <v>0</v>
      </c>
      <c r="P1911" s="2252"/>
      <c r="Q1911" s="2028"/>
      <c r="V1911" s="2415"/>
      <c r="W1911" s="2415"/>
    </row>
    <row r="1912" spans="1:24" s="1818" customFormat="1" ht="23.25" customHeight="1">
      <c r="A1912" s="2255"/>
      <c r="B1912" s="2392" t="s">
        <v>1899</v>
      </c>
      <c r="C1912" s="2223" t="s">
        <v>7096</v>
      </c>
      <c r="D1912" s="2223"/>
      <c r="E1912" s="2223"/>
      <c r="F1912" s="2223"/>
      <c r="G1912" s="2223"/>
      <c r="H1912" s="2223"/>
      <c r="I1912" s="2223"/>
      <c r="J1912" s="2223"/>
      <c r="K1912" s="2223"/>
      <c r="L1912" s="2223"/>
      <c r="M1912" s="435"/>
      <c r="N1912" s="2359" t="s">
        <v>1899</v>
      </c>
      <c r="O1912" s="2264">
        <f>'Part IX Scoring Criteria'!O193</f>
        <v>0</v>
      </c>
      <c r="P1912" s="2252"/>
      <c r="Q1912" s="2105"/>
      <c r="V1912" s="2416"/>
      <c r="W1912" s="2416"/>
    </row>
    <row r="1913" spans="1:24" s="2274" customFormat="1" ht="12" customHeight="1">
      <c r="A1913" s="1818"/>
      <c r="B1913" s="2156" t="s">
        <v>3374</v>
      </c>
      <c r="C1913" s="1818"/>
      <c r="D1913" s="1719"/>
      <c r="E1913" s="1719"/>
      <c r="F1913" s="1719"/>
      <c r="G1913" s="1719"/>
      <c r="H1913" s="435"/>
      <c r="I1913" s="435"/>
      <c r="M1913" s="2108"/>
      <c r="N1913" s="2051"/>
      <c r="O1913" s="2192"/>
      <c r="P1913" s="2051"/>
    </row>
    <row r="1914" spans="1:24" s="2274" customFormat="1" ht="45.6" customHeight="1">
      <c r="A1914" s="2226" t="str">
        <f>'Part IX Scoring Criteria'!A195</f>
        <v>The applicant is not claiming point in this section.</v>
      </c>
      <c r="B1914" s="2226"/>
      <c r="C1914" s="2226"/>
      <c r="D1914" s="2226"/>
      <c r="E1914" s="2226"/>
      <c r="F1914" s="2226"/>
      <c r="G1914" s="2226"/>
      <c r="H1914" s="2226"/>
      <c r="I1914" s="2226"/>
      <c r="J1914" s="2226"/>
      <c r="K1914" s="2226"/>
      <c r="L1914" s="2226"/>
      <c r="M1914" s="2226"/>
      <c r="N1914" s="2226"/>
      <c r="O1914" s="2226"/>
      <c r="P1914" s="2226"/>
      <c r="Q1914" s="1855" t="s">
        <v>1208</v>
      </c>
    </row>
    <row r="1915" spans="1:24" s="2274" customFormat="1" ht="10.5" customHeight="1">
      <c r="A1915" s="1818"/>
      <c r="B1915" s="2227" t="s">
        <v>1781</v>
      </c>
      <c r="C1915" s="1818"/>
      <c r="D1915" s="2227"/>
      <c r="E1915" s="2228"/>
      <c r="F1915" s="2228"/>
      <c r="G1915" s="2228"/>
      <c r="H1915" s="2228"/>
      <c r="I1915" s="2228"/>
      <c r="J1915" s="2228"/>
      <c r="K1915" s="2228"/>
      <c r="L1915" s="2228"/>
      <c r="M1915" s="2228"/>
      <c r="N1915" s="2309"/>
      <c r="O1915" s="2309"/>
      <c r="P1915" s="2108"/>
    </row>
    <row r="1916" spans="1:24" s="2274" customFormat="1" ht="22.15" customHeight="1">
      <c r="A1916" s="1905"/>
      <c r="B1916" s="1905"/>
      <c r="C1916" s="1905"/>
      <c r="D1916" s="1905"/>
      <c r="E1916" s="1905"/>
      <c r="F1916" s="1905"/>
      <c r="G1916" s="1905"/>
      <c r="H1916" s="1905"/>
      <c r="I1916" s="1905"/>
      <c r="J1916" s="1905"/>
      <c r="K1916" s="1905"/>
      <c r="L1916" s="1905"/>
      <c r="M1916" s="1905"/>
      <c r="N1916" s="1905"/>
      <c r="O1916" s="1905"/>
      <c r="P1916" s="1905"/>
      <c r="Q1916" s="1855"/>
    </row>
    <row r="1917" spans="1:24" s="1852" customFormat="1" ht="6.75" customHeight="1">
      <c r="N1917" s="2051"/>
      <c r="O1917" s="2051"/>
      <c r="P1917" s="2051"/>
      <c r="V1917" s="2274"/>
      <c r="W1917" s="2274"/>
      <c r="X1917" s="2274"/>
    </row>
    <row r="1918" spans="1:24" s="2284" customFormat="1" ht="13.5" customHeight="1">
      <c r="A1918" s="2306" t="s">
        <v>346</v>
      </c>
      <c r="B1918" s="2153" t="s">
        <v>2608</v>
      </c>
      <c r="D1918" s="2156"/>
      <c r="E1918" s="2156"/>
      <c r="M1918" s="2108">
        <v>10</v>
      </c>
      <c r="N1918" s="2108"/>
      <c r="O1918" s="2192">
        <f>'Part IX Scoring Criteria'!O199</f>
        <v>10</v>
      </c>
      <c r="P1918" s="2192">
        <f>'Part IX Scoring Criteria'!P199</f>
        <v>0</v>
      </c>
      <c r="Q1918" s="2108" t="s">
        <v>422</v>
      </c>
      <c r="R1918" s="1858" t="s">
        <v>4267</v>
      </c>
      <c r="S1918" s="2003"/>
      <c r="T1918" s="2003"/>
      <c r="U1918" s="2003"/>
      <c r="V1918" s="2274"/>
      <c r="W1918" s="2274"/>
      <c r="X1918" s="2274"/>
    </row>
    <row r="1919" spans="1:24" s="2284" customFormat="1" ht="3" customHeight="1">
      <c r="A1919" s="2306"/>
      <c r="B1919" s="2153"/>
      <c r="D1919" s="2156"/>
      <c r="E1919" s="2156"/>
      <c r="G1919" s="1864"/>
      <c r="M1919" s="2164"/>
      <c r="Q1919" s="2108"/>
      <c r="S1919" s="2003"/>
      <c r="T1919" s="2003"/>
      <c r="U1919" s="2003"/>
      <c r="V1919" s="2274"/>
      <c r="W1919" s="2274"/>
      <c r="X1919" s="2274"/>
    </row>
    <row r="1920" spans="1:24" s="2284" customFormat="1" ht="12.75" customHeight="1">
      <c r="A1920" s="2417" t="s">
        <v>1894</v>
      </c>
      <c r="B1920" s="1719" t="s">
        <v>3990</v>
      </c>
      <c r="D1920" s="2156"/>
      <c r="E1920" s="2156"/>
      <c r="K1920" s="2418"/>
      <c r="M1920" s="2108">
        <v>5</v>
      </c>
      <c r="N1920" s="2255" t="s">
        <v>1894</v>
      </c>
      <c r="O1920" s="2371">
        <f>'Part IX Scoring Criteria'!O201</f>
        <v>5</v>
      </c>
      <c r="P1920" s="2192"/>
      <c r="Q1920" s="2282" t="str">
        <f>IF(O1920&lt;=M1920,"","*CHECK!*")</f>
        <v/>
      </c>
      <c r="R1920" s="1858" t="s">
        <v>4267</v>
      </c>
      <c r="S1920" s="2003"/>
      <c r="T1920" s="2003"/>
      <c r="U1920" s="2003"/>
    </row>
    <row r="1921" spans="1:22" ht="12.75" customHeight="1">
      <c r="B1921" s="2419"/>
      <c r="C1921" s="2160" t="s">
        <v>6555</v>
      </c>
      <c r="D1921" s="2420"/>
      <c r="E1921" s="2421"/>
      <c r="F1921" s="2421"/>
      <c r="G1921" s="2420"/>
      <c r="H1921" s="2420"/>
      <c r="I1921" s="2420"/>
      <c r="J1921" s="2182" t="str">
        <f>'Part IX Scoring Criteria'!J202</f>
        <v>Site Census Tract</v>
      </c>
      <c r="K1921" s="2182"/>
      <c r="L1921" s="2422"/>
      <c r="M1921" s="2422"/>
      <c r="N1921" s="2423"/>
      <c r="O1921" s="2051"/>
      <c r="P1921" s="2051"/>
      <c r="Q1921" s="1852"/>
      <c r="R1921" s="2423"/>
      <c r="S1921" s="2420"/>
    </row>
    <row r="1922" spans="1:22" ht="12.75" customHeight="1">
      <c r="C1922" s="2424" t="s">
        <v>6556</v>
      </c>
      <c r="D1922" s="2045"/>
      <c r="J1922" s="1948" t="str">
        <f>'Part IX Scoring Criteria'!J203</f>
        <v>303.05</v>
      </c>
      <c r="K1922" s="1942"/>
      <c r="L1922" s="1942"/>
      <c r="M1922" s="1942"/>
      <c r="N1922" s="2423"/>
      <c r="O1922" s="2423"/>
      <c r="P1922" s="2423"/>
      <c r="Q1922" s="1852"/>
      <c r="R1922" s="2284"/>
      <c r="S1922" s="2003"/>
    </row>
    <row r="1923" spans="1:22" s="1852" customFormat="1" ht="6" customHeight="1">
      <c r="A1923" s="2114"/>
      <c r="B1923" s="2425"/>
      <c r="C1923" s="2112"/>
      <c r="M1923" s="2108"/>
      <c r="N1923" s="2488"/>
      <c r="O1923" s="2108"/>
      <c r="P1923" s="2108"/>
      <c r="S1923" s="2003"/>
      <c r="T1923" s="2003"/>
      <c r="U1923" s="2003"/>
    </row>
    <row r="1924" spans="1:22" s="1818" customFormat="1" ht="12.75" customHeight="1">
      <c r="A1924" s="2117" t="s">
        <v>1896</v>
      </c>
      <c r="B1924" s="2368" t="s">
        <v>6476</v>
      </c>
      <c r="C1924" s="435"/>
      <c r="G1924" s="2055" t="s">
        <v>6537</v>
      </c>
      <c r="H1924" s="2253">
        <f>'Part IX Scoring Criteria'!H205</f>
        <v>2019</v>
      </c>
      <c r="K1924" s="2255"/>
      <c r="L1924" s="2255"/>
      <c r="M1924" s="2108">
        <v>5</v>
      </c>
      <c r="N1924" s="2255" t="s">
        <v>1896</v>
      </c>
      <c r="O1924" s="2371">
        <f>'Part IX Scoring Criteria'!O205</f>
        <v>5</v>
      </c>
      <c r="P1924" s="2192"/>
      <c r="Q1924" s="2282" t="str">
        <f>IF(O1924&lt;=M1924,"","*CHECK!*")</f>
        <v/>
      </c>
      <c r="R1924" s="1858" t="s">
        <v>4267</v>
      </c>
      <c r="S1924" s="2003"/>
      <c r="T1924" s="2003"/>
      <c r="U1924" s="2003"/>
    </row>
    <row r="1925" spans="1:22" ht="7.5" customHeight="1">
      <c r="B1925" s="2045"/>
      <c r="C1925" s="2424"/>
      <c r="D1925" s="2045"/>
      <c r="N1925" s="2423"/>
      <c r="O1925" s="2426"/>
      <c r="P1925" s="2423"/>
      <c r="Q1925" s="2423"/>
      <c r="R1925" s="2427"/>
      <c r="S1925" s="1935"/>
      <c r="T1925" s="2077"/>
      <c r="U1925" s="2077"/>
      <c r="V1925" s="2077"/>
    </row>
    <row r="1926" spans="1:22">
      <c r="C1926" s="2045"/>
      <c r="D1926" s="2428" t="s">
        <v>6482</v>
      </c>
      <c r="E1926" s="2045"/>
      <c r="F1926" s="2428" t="s">
        <v>6481</v>
      </c>
      <c r="G1926" s="2428"/>
      <c r="H1926" s="2428"/>
      <c r="I1926" s="2428"/>
      <c r="J1926" s="2428"/>
      <c r="K1926" s="2428"/>
      <c r="L1926" s="2428"/>
      <c r="M1926" s="2045"/>
    </row>
    <row r="1927" spans="1:22" ht="13.5" customHeight="1">
      <c r="B1927" s="1926"/>
      <c r="C1927" s="2045"/>
      <c r="D1927" s="2160" t="s">
        <v>6479</v>
      </c>
      <c r="E1927" s="2160"/>
      <c r="F1927" s="2429" t="str">
        <f>'Part IX Scoring Criteria'!F208</f>
        <v>Above 60th Percentile</v>
      </c>
      <c r="G1927" s="2429"/>
      <c r="H1927" s="2429"/>
      <c r="I1927" s="2429"/>
      <c r="J1927" s="2177"/>
      <c r="K1927" s="2177"/>
      <c r="L1927" s="2177"/>
      <c r="M1927" s="2177"/>
      <c r="O1927" s="2051"/>
      <c r="P1927" s="2051"/>
      <c r="Q1927" s="1852"/>
      <c r="S1927" s="1852"/>
      <c r="T1927" s="1852"/>
      <c r="U1927" s="1852"/>
      <c r="V1927" s="1852"/>
    </row>
    <row r="1928" spans="1:22" ht="13.5" customHeight="1">
      <c r="C1928" s="2045"/>
      <c r="D1928" s="2160" t="s">
        <v>6480</v>
      </c>
      <c r="E1928" s="2160"/>
      <c r="F1928" s="2429" t="str">
        <f>'Part IX Scoring Criteria'!F209</f>
        <v>Above 60th Percentile</v>
      </c>
      <c r="G1928" s="2429"/>
      <c r="H1928" s="2429"/>
      <c r="I1928" s="2429"/>
      <c r="J1928" s="2177"/>
      <c r="K1928" s="2177"/>
      <c r="L1928" s="2177"/>
      <c r="M1928" s="2177"/>
      <c r="N1928" s="2430" t="str">
        <f>IF(P1924&lt;=N1924,"","*CHECK!*")</f>
        <v/>
      </c>
      <c r="O1928" s="2051"/>
      <c r="P1928" s="2051"/>
      <c r="Q1928" s="1852"/>
      <c r="S1928" s="1852"/>
      <c r="T1928" s="1852"/>
      <c r="U1928" s="1852"/>
      <c r="V1928" s="1852"/>
    </row>
    <row r="1929" spans="1:22" ht="13.5" customHeight="1">
      <c r="B1929" s="1926"/>
      <c r="C1929" s="2045"/>
      <c r="D1929" s="2160" t="s">
        <v>6477</v>
      </c>
      <c r="E1929" s="2160"/>
      <c r="F1929" s="2429" t="str">
        <f>'Part IX Scoring Criteria'!F210</f>
        <v>Above 60th Percentile</v>
      </c>
      <c r="G1929" s="2429"/>
      <c r="H1929" s="2429"/>
      <c r="I1929" s="2429"/>
      <c r="J1929" s="2177"/>
      <c r="K1929" s="2177"/>
      <c r="L1929" s="2177"/>
      <c r="M1929" s="2177"/>
      <c r="O1929" s="2051"/>
      <c r="P1929" s="2051"/>
      <c r="Q1929" s="1852"/>
      <c r="S1929" s="1852"/>
      <c r="T1929" s="1852"/>
      <c r="U1929" s="1852"/>
      <c r="V1929" s="1852"/>
    </row>
    <row r="1930" spans="1:22" ht="13.5" customHeight="1">
      <c r="B1930" s="2045"/>
      <c r="C1930" s="2045"/>
      <c r="D1930" s="2160" t="s">
        <v>6478</v>
      </c>
      <c r="E1930" s="2160"/>
      <c r="F1930" s="2429" t="str">
        <f>'Part IX Scoring Criteria'!F211</f>
        <v>At or Above 80th Percentile</v>
      </c>
      <c r="G1930" s="2429"/>
      <c r="H1930" s="2429"/>
      <c r="I1930" s="2429"/>
      <c r="J1930" s="2177"/>
      <c r="K1930" s="2177"/>
      <c r="L1930" s="2177"/>
      <c r="M1930" s="2177"/>
      <c r="N1930" s="2045"/>
      <c r="O1930" s="2051"/>
      <c r="P1930" s="2051"/>
      <c r="Q1930" s="1852"/>
      <c r="R1930" s="2427"/>
      <c r="S1930" s="1852"/>
      <c r="T1930" s="1852"/>
      <c r="U1930" s="1852"/>
      <c r="V1930" s="1852"/>
    </row>
    <row r="1931" spans="1:22" ht="6" customHeight="1">
      <c r="B1931" s="2045"/>
      <c r="C1931" s="2424"/>
      <c r="D1931" s="2045"/>
      <c r="N1931" s="2423"/>
      <c r="O1931" s="2426"/>
      <c r="P1931" s="2423"/>
      <c r="Q1931" s="2423"/>
      <c r="R1931" s="2427"/>
      <c r="S1931" s="1935"/>
      <c r="T1931" s="2077"/>
      <c r="U1931" s="2077"/>
      <c r="V1931" s="2077"/>
    </row>
    <row r="1932" spans="1:22" s="1852" customFormat="1" ht="3" customHeight="1">
      <c r="A1932" s="2114"/>
      <c r="B1932" s="2425"/>
      <c r="C1932" s="2112"/>
      <c r="M1932" s="2108"/>
      <c r="N1932" s="2488"/>
      <c r="O1932" s="2108"/>
      <c r="P1932" s="2108"/>
    </row>
    <row r="1933" spans="1:22" s="2274" customFormat="1" ht="10.5" customHeight="1">
      <c r="A1933" s="1818"/>
      <c r="B1933" s="2156" t="s">
        <v>3374</v>
      </c>
      <c r="C1933" s="1818"/>
      <c r="D1933" s="1719"/>
      <c r="E1933" s="1719"/>
      <c r="F1933" s="1719"/>
      <c r="G1933" s="1719"/>
      <c r="H1933" s="435"/>
      <c r="I1933" s="435"/>
      <c r="J1933" s="435"/>
      <c r="K1933" s="435"/>
      <c r="M1933" s="2108"/>
      <c r="N1933" s="2051"/>
      <c r="O1933" s="2192"/>
      <c r="P1933" s="2051"/>
    </row>
    <row r="1934" spans="1:22" s="2274" customFormat="1" ht="34.9" customHeight="1">
      <c r="A1934" s="2226" t="str">
        <f>'Part IX Scoring Criteria'!A215</f>
        <v xml:space="preserve">Census tract 303.05 is 7.22% below the poverty line thus is eligible for 5 points. We utilized the 2019 data set  (2019 Employment = 97.9; Income = $67,112; Life Expectancy = 74.6; Health Insurance = 93.3. All data is above 60%. Median Income is above 80th percentile. </v>
      </c>
      <c r="B1934" s="2226"/>
      <c r="C1934" s="2226"/>
      <c r="D1934" s="2226"/>
      <c r="E1934" s="2226"/>
      <c r="F1934" s="2226"/>
      <c r="G1934" s="2226"/>
      <c r="H1934" s="2226"/>
      <c r="I1934" s="2226"/>
      <c r="J1934" s="2226"/>
      <c r="K1934" s="2226"/>
      <c r="L1934" s="2226"/>
      <c r="M1934" s="2226"/>
      <c r="N1934" s="2226"/>
      <c r="O1934" s="2226"/>
      <c r="P1934" s="2226"/>
      <c r="Q1934" s="1855" t="s">
        <v>1208</v>
      </c>
    </row>
    <row r="1935" spans="1:22" s="1852" customFormat="1" ht="2.25" customHeight="1">
      <c r="A1935" s="2114"/>
      <c r="B1935" s="2425"/>
      <c r="C1935" s="2112"/>
      <c r="M1935" s="2108"/>
      <c r="N1935" s="2488"/>
      <c r="O1935" s="2108"/>
      <c r="P1935" s="2108"/>
    </row>
    <row r="1936" spans="1:22" s="2274" customFormat="1" ht="10.5" customHeight="1">
      <c r="A1936" s="1818"/>
      <c r="B1936" s="2227" t="s">
        <v>1781</v>
      </c>
      <c r="C1936" s="1818"/>
      <c r="D1936" s="2227"/>
      <c r="E1936" s="2228"/>
      <c r="F1936" s="2228"/>
      <c r="G1936" s="2228"/>
      <c r="H1936" s="2228"/>
      <c r="I1936" s="2228"/>
      <c r="J1936" s="2228"/>
      <c r="K1936" s="2228"/>
      <c r="L1936" s="2228"/>
      <c r="M1936" s="2228"/>
      <c r="N1936" s="2309"/>
      <c r="O1936" s="2309"/>
      <c r="P1936" s="2108"/>
    </row>
    <row r="1937" spans="1:24" s="2274" customFormat="1" ht="11.25" customHeight="1">
      <c r="A1937" s="1905"/>
      <c r="B1937" s="1905"/>
      <c r="C1937" s="1905"/>
      <c r="D1937" s="1905"/>
      <c r="E1937" s="1905"/>
      <c r="F1937" s="1905"/>
      <c r="G1937" s="1905"/>
      <c r="H1937" s="1905"/>
      <c r="I1937" s="1905"/>
      <c r="J1937" s="1905"/>
      <c r="K1937" s="1905"/>
      <c r="L1937" s="1905"/>
      <c r="M1937" s="1905"/>
      <c r="N1937" s="1905"/>
      <c r="O1937" s="1905"/>
      <c r="P1937" s="1905"/>
      <c r="Q1937" s="1855"/>
    </row>
    <row r="1938" spans="1:24" s="2274" customFormat="1" ht="5.25" customHeight="1">
      <c r="A1938" s="1818"/>
      <c r="D1938" s="435"/>
      <c r="E1938" s="435"/>
      <c r="F1938" s="2108"/>
      <c r="G1938" s="2108"/>
      <c r="H1938" s="2108"/>
      <c r="I1938" s="2108"/>
      <c r="J1938" s="2121"/>
      <c r="K1938" s="2121"/>
      <c r="L1938" s="2121"/>
      <c r="M1938" s="2164"/>
      <c r="N1938" s="2108"/>
      <c r="O1938" s="2051"/>
      <c r="P1938" s="2192"/>
    </row>
    <row r="1939" spans="1:24" s="1852" customFormat="1" ht="13.5" customHeight="1">
      <c r="A1939" s="2306" t="s">
        <v>347</v>
      </c>
      <c r="B1939" s="2431" t="s">
        <v>4241</v>
      </c>
      <c r="C1939" s="2112"/>
      <c r="G1939" s="1912" t="s">
        <v>6545</v>
      </c>
      <c r="H1939" s="2317" t="str">
        <f>IF(OR($M$32="9% Credit Competitive Round only", $M$32="9% Credit &amp; HOME"),"9%",IF(OR($M$32="4% Credit/TE Bond", $M$32="4% Credit/TE Bond &amp; HOME", $M$32="4% Credit/TE Bond &amp; HOME NOFA", $M$32="4% Credit &amp; NHTF", $M$32="4% Credit &amp; NHTF &amp; HOME"),"4%",""))</f>
        <v/>
      </c>
      <c r="J1939" s="1912" t="s">
        <v>367</v>
      </c>
      <c r="K1939" s="2044">
        <f>$M$43</f>
        <v>0</v>
      </c>
      <c r="M1939" s="2108">
        <v>1</v>
      </c>
      <c r="N1939" s="2488"/>
      <c r="O1939" s="2192">
        <f>'Part IX Scoring Criteria'!O220</f>
        <v>1</v>
      </c>
      <c r="P1939" s="2192">
        <f>'Part IX Scoring Criteria'!P220</f>
        <v>0</v>
      </c>
      <c r="Q1939" s="2108" t="s">
        <v>422</v>
      </c>
    </row>
    <row r="1940" spans="1:24" s="2274" customFormat="1" ht="12" customHeight="1">
      <c r="A1940" s="1818"/>
      <c r="B1940" s="2432" t="s">
        <v>6546</v>
      </c>
      <c r="D1940" s="435"/>
      <c r="E1940" s="435"/>
      <c r="F1940" s="2108"/>
      <c r="G1940" s="2164" t="s">
        <v>3275</v>
      </c>
      <c r="H1940" s="2261">
        <f>IF('Part VI-Revenues &amp; Expenses'!$P$67=0,0,'Part VI-Revenues &amp; Expenses'!$P$64/'Part VI-Revenues &amp; Expenses'!$P$67)</f>
        <v>0</v>
      </c>
      <c r="J1940" s="2290" t="s">
        <v>4164</v>
      </c>
      <c r="K1940" s="2262" t="str">
        <f>'Part I-Project Information'!$K$94</f>
        <v>Income Averaging</v>
      </c>
      <c r="L1940" s="2262"/>
      <c r="M1940" s="2164"/>
      <c r="N1940" s="2108"/>
      <c r="O1940" s="2051"/>
      <c r="P1940" s="2192"/>
    </row>
    <row r="1941" spans="1:24" s="1852" customFormat="1" ht="12" customHeight="1">
      <c r="A1941" s="2117" t="s">
        <v>1894</v>
      </c>
      <c r="B1941" s="2112" t="s">
        <v>4162</v>
      </c>
      <c r="C1941" s="2112"/>
      <c r="D1941" s="2112" t="s">
        <v>4163</v>
      </c>
      <c r="M1941" s="2108">
        <v>1</v>
      </c>
      <c r="N1941" s="2255" t="s">
        <v>1894</v>
      </c>
      <c r="O1941" s="2371">
        <f>'Part IX Scoring Criteria'!O222</f>
        <v>0</v>
      </c>
      <c r="P1941" s="2192"/>
      <c r="Q1941" s="2397" t="str">
        <f>IF(OR($O1941=$M1941,$O1941=0,$O1941=""),"","*CHECK!*")</f>
        <v/>
      </c>
      <c r="R1941" s="1858" t="s">
        <v>4267</v>
      </c>
    </row>
    <row r="1942" spans="1:24" s="1852" customFormat="1" ht="12" customHeight="1">
      <c r="A1942" s="2117" t="s">
        <v>1896</v>
      </c>
      <c r="B1942" s="2112" t="s">
        <v>3978</v>
      </c>
      <c r="C1942" s="2112"/>
      <c r="D1942" s="2112" t="s">
        <v>4246</v>
      </c>
      <c r="M1942" s="2051">
        <v>1</v>
      </c>
      <c r="N1942" s="2255" t="s">
        <v>1896</v>
      </c>
      <c r="O1942" s="2371">
        <f>'Part IX Scoring Criteria'!O223</f>
        <v>1</v>
      </c>
      <c r="P1942" s="2192"/>
      <c r="Q1942" s="2397" t="str">
        <f>IF(OR($O1942=$M1942,$O1942=0,$O1942=""),"","*CHECK!*")</f>
        <v/>
      </c>
      <c r="R1942" s="1858" t="s">
        <v>4267</v>
      </c>
    </row>
    <row r="1943" spans="1:24" s="1852" customFormat="1" ht="2.25" customHeight="1">
      <c r="A1943" s="2114"/>
      <c r="B1943" s="2425"/>
      <c r="C1943" s="2112"/>
      <c r="M1943" s="2108"/>
      <c r="N1943" s="2488"/>
      <c r="O1943" s="2108"/>
      <c r="P1943" s="2108"/>
    </row>
    <row r="1944" spans="1:24" s="2274" customFormat="1" ht="11.25" customHeight="1">
      <c r="A1944" s="1818"/>
      <c r="B1944" s="2227" t="s">
        <v>1781</v>
      </c>
      <c r="C1944" s="1818"/>
      <c r="D1944" s="2227"/>
      <c r="E1944" s="2228"/>
      <c r="F1944" s="2228"/>
      <c r="G1944" s="2228"/>
      <c r="H1944" s="2228"/>
      <c r="I1944" s="2228"/>
      <c r="J1944" s="2228"/>
      <c r="K1944" s="2228"/>
      <c r="L1944" s="2228"/>
      <c r="M1944" s="2228"/>
      <c r="N1944" s="2309"/>
      <c r="O1944" s="2309"/>
      <c r="P1944" s="2108"/>
    </row>
    <row r="1945" spans="1:24" s="2274" customFormat="1" ht="11.25" customHeight="1">
      <c r="A1945" s="1905"/>
      <c r="B1945" s="1905"/>
      <c r="C1945" s="1905"/>
      <c r="D1945" s="1905"/>
      <c r="E1945" s="1905"/>
      <c r="F1945" s="1905"/>
      <c r="G1945" s="1905"/>
      <c r="H1945" s="1905"/>
      <c r="I1945" s="1905"/>
      <c r="J1945" s="1905"/>
      <c r="K1945" s="1905"/>
      <c r="L1945" s="1905"/>
      <c r="M1945" s="1905"/>
      <c r="N1945" s="1905"/>
      <c r="O1945" s="1905"/>
      <c r="P1945" s="1905"/>
      <c r="Q1945" s="1855"/>
    </row>
    <row r="1946" spans="1:24" s="2274" customFormat="1" ht="5.25" customHeight="1">
      <c r="A1946" s="1818"/>
      <c r="D1946" s="435"/>
      <c r="E1946" s="435"/>
      <c r="F1946" s="2108"/>
      <c r="G1946" s="2108"/>
      <c r="H1946" s="2108"/>
      <c r="I1946" s="2108"/>
      <c r="J1946" s="2121"/>
      <c r="K1946" s="2121"/>
      <c r="L1946" s="2121"/>
      <c r="M1946" s="2164"/>
      <c r="N1946" s="2108"/>
      <c r="O1946" s="2051"/>
      <c r="P1946" s="2192"/>
    </row>
    <row r="1947" spans="1:24" s="2284" customFormat="1" ht="13.5" customHeight="1">
      <c r="A1947" s="2306" t="s">
        <v>348</v>
      </c>
      <c r="B1947" s="2153" t="s">
        <v>3490</v>
      </c>
      <c r="D1947" s="2156"/>
      <c r="E1947" s="2156"/>
      <c r="G1947" s="2432"/>
      <c r="H1947" s="1864"/>
      <c r="I1947" s="1864"/>
      <c r="J1947" s="1864"/>
      <c r="K1947" s="1864"/>
      <c r="L1947" s="1864"/>
      <c r="M1947" s="2108">
        <v>10</v>
      </c>
      <c r="N1947" s="2108"/>
      <c r="O1947" s="2192">
        <f>'Part IX Scoring Criteria'!O228</f>
        <v>0</v>
      </c>
      <c r="P1947" s="2192">
        <f>'Part IX Scoring Criteria'!P228</f>
        <v>0</v>
      </c>
      <c r="Q1947" s="2108" t="s">
        <v>422</v>
      </c>
      <c r="R1947" s="2003"/>
      <c r="S1947" s="2003"/>
      <c r="T1947" s="2003"/>
      <c r="U1947" s="2003"/>
      <c r="V1947" s="2003"/>
    </row>
    <row r="1948" spans="1:24" s="2284" customFormat="1" ht="3" customHeight="1">
      <c r="A1948" s="2306"/>
      <c r="B1948" s="2153"/>
      <c r="D1948" s="2156"/>
      <c r="E1948" s="2156"/>
      <c r="G1948" s="1864"/>
      <c r="M1948" s="2164"/>
      <c r="Q1948" s="2108"/>
      <c r="R1948" s="2003"/>
      <c r="S1948" s="2003"/>
      <c r="T1948" s="2003"/>
      <c r="U1948" s="2003"/>
      <c r="V1948" s="2003"/>
      <c r="W1948" s="2274"/>
      <c r="X1948" s="2274"/>
    </row>
    <row r="1949" spans="1:24" s="1852" customFormat="1" ht="11.25" customHeight="1">
      <c r="A1949" s="2117" t="s">
        <v>1894</v>
      </c>
      <c r="B1949" s="2228" t="s">
        <v>3398</v>
      </c>
      <c r="D1949" s="2228"/>
      <c r="E1949" s="2228"/>
      <c r="F1949" s="2228"/>
      <c r="G1949" s="2228"/>
      <c r="H1949" s="2228"/>
      <c r="L1949" s="2228"/>
      <c r="M1949" s="2127" t="str">
        <f>IF(OR(SUM(T1949:T1950)&gt;1,SUM(Q1949:Q1950)&gt;1),"Only one category can be met by other means!","")</f>
        <v/>
      </c>
      <c r="N1949" s="2255" t="s">
        <v>1894</v>
      </c>
      <c r="O1949" s="2230">
        <f>'Part IX Scoring Criteria'!O230</f>
        <v>0</v>
      </c>
      <c r="P1949" s="2164"/>
      <c r="Q1949" s="2055">
        <f>IF(L1949="Yes",1,0)</f>
        <v>0</v>
      </c>
      <c r="R1949" s="2003"/>
      <c r="S1949" s="2003"/>
      <c r="T1949" s="2003"/>
      <c r="U1949" s="2003"/>
      <c r="V1949" s="2003"/>
    </row>
    <row r="1950" spans="1:24" s="1852" customFormat="1" ht="11.25" customHeight="1">
      <c r="A1950" s="2117" t="s">
        <v>1896</v>
      </c>
      <c r="B1950" s="2228" t="s">
        <v>3399</v>
      </c>
      <c r="D1950" s="2228"/>
      <c r="L1950" s="2228"/>
      <c r="M1950" s="2127"/>
      <c r="N1950" s="2255" t="s">
        <v>1896</v>
      </c>
      <c r="O1950" s="2230">
        <f>'Part IX Scoring Criteria'!O231</f>
        <v>0</v>
      </c>
      <c r="P1950" s="2164"/>
      <c r="Q1950" s="2055">
        <f>IF(L1950="Yes",1,0)</f>
        <v>0</v>
      </c>
      <c r="R1950" s="2003"/>
      <c r="S1950" s="2003"/>
      <c r="T1950" s="2003"/>
      <c r="U1950" s="2003"/>
      <c r="V1950" s="2003"/>
    </row>
    <row r="1951" spans="1:24" s="2274" customFormat="1" ht="10.5" customHeight="1">
      <c r="A1951" s="1818"/>
      <c r="B1951" s="2156" t="s">
        <v>3374</v>
      </c>
      <c r="C1951" s="1818"/>
      <c r="D1951" s="1719"/>
      <c r="E1951" s="1719"/>
      <c r="F1951" s="1719"/>
      <c r="G1951" s="1719"/>
      <c r="H1951" s="435"/>
      <c r="I1951" s="435"/>
      <c r="J1951" s="435"/>
      <c r="K1951" s="435"/>
      <c r="M1951" s="2108"/>
      <c r="N1951" s="2051"/>
      <c r="O1951" s="2192"/>
      <c r="P1951" s="2051"/>
      <c r="R1951" s="2003"/>
      <c r="S1951" s="2003"/>
      <c r="T1951" s="2003"/>
      <c r="U1951" s="2003"/>
      <c r="V1951" s="2003"/>
    </row>
    <row r="1952" spans="1:24" s="2274" customFormat="1" ht="34.9" customHeight="1">
      <c r="A1952" s="2226" t="str">
        <f>'Part IX Scoring Criteria'!A233</f>
        <v>The applicant is not claiming points in this category.</v>
      </c>
      <c r="B1952" s="2226"/>
      <c r="C1952" s="2226"/>
      <c r="D1952" s="2226"/>
      <c r="E1952" s="2226"/>
      <c r="F1952" s="2226"/>
      <c r="G1952" s="2226"/>
      <c r="H1952" s="2226"/>
      <c r="I1952" s="2226"/>
      <c r="J1952" s="2226"/>
      <c r="K1952" s="2226"/>
      <c r="L1952" s="2226"/>
      <c r="M1952" s="2226"/>
      <c r="N1952" s="2226"/>
      <c r="O1952" s="2226"/>
      <c r="P1952" s="2226"/>
      <c r="Q1952" s="1855" t="s">
        <v>1208</v>
      </c>
    </row>
    <row r="1953" spans="1:27" s="2274" customFormat="1" ht="10.5" customHeight="1">
      <c r="A1953" s="1818"/>
      <c r="B1953" s="2227" t="s">
        <v>1781</v>
      </c>
      <c r="C1953" s="1818"/>
      <c r="D1953" s="2227"/>
      <c r="E1953" s="2228"/>
      <c r="F1953" s="2228"/>
      <c r="G1953" s="2228"/>
      <c r="H1953" s="2228"/>
      <c r="I1953" s="2228"/>
      <c r="J1953" s="2228"/>
      <c r="K1953" s="2228"/>
      <c r="L1953" s="2228"/>
      <c r="M1953" s="2228"/>
      <c r="N1953" s="2309"/>
      <c r="O1953" s="2309"/>
      <c r="P1953" s="2108"/>
    </row>
    <row r="1954" spans="1:27" s="2274" customFormat="1" ht="11.25" customHeight="1">
      <c r="A1954" s="1905"/>
      <c r="B1954" s="1905"/>
      <c r="C1954" s="1905"/>
      <c r="D1954" s="1905"/>
      <c r="E1954" s="1905"/>
      <c r="F1954" s="1905"/>
      <c r="G1954" s="1905"/>
      <c r="H1954" s="1905"/>
      <c r="I1954" s="1905"/>
      <c r="J1954" s="1905"/>
      <c r="K1954" s="1905"/>
      <c r="L1954" s="1905"/>
      <c r="M1954" s="1905"/>
      <c r="N1954" s="1905"/>
      <c r="O1954" s="1905"/>
      <c r="P1954" s="1905"/>
      <c r="Q1954" s="1855"/>
    </row>
    <row r="1955" spans="1:27" s="2274" customFormat="1" ht="5.25" customHeight="1">
      <c r="A1955" s="1818"/>
      <c r="D1955" s="435"/>
      <c r="E1955" s="435"/>
      <c r="F1955" s="2108"/>
      <c r="G1955" s="2108"/>
      <c r="H1955" s="2108"/>
      <c r="I1955" s="2108"/>
      <c r="J1955" s="2121"/>
      <c r="K1955" s="2121"/>
      <c r="L1955" s="2121"/>
      <c r="M1955" s="2164"/>
      <c r="N1955" s="2108"/>
      <c r="O1955" s="2051"/>
      <c r="P1955" s="2192"/>
    </row>
    <row r="1956" spans="1:27" s="2274" customFormat="1" ht="13.5" customHeight="1">
      <c r="A1956" s="2306" t="s">
        <v>1648</v>
      </c>
      <c r="B1956" s="2153" t="s">
        <v>4243</v>
      </c>
      <c r="D1956" s="2379"/>
      <c r="E1956" s="2379"/>
      <c r="F1956" s="2379"/>
      <c r="G1956" s="2379"/>
      <c r="H1956" s="2379"/>
      <c r="I1956" s="2379"/>
      <c r="J1956" s="2379"/>
      <c r="K1956" s="2379"/>
      <c r="L1956" s="2379"/>
      <c r="M1956" s="2108">
        <v>3</v>
      </c>
      <c r="N1956" s="2108"/>
      <c r="O1956" s="2371">
        <f>'Part IX Scoring Criteria'!O237</f>
        <v>0</v>
      </c>
      <c r="P1956" s="2192"/>
      <c r="Q1956" s="2108" t="s">
        <v>422</v>
      </c>
      <c r="R1956" s="1858" t="s">
        <v>4267</v>
      </c>
      <c r="S1956" s="1856"/>
      <c r="T1956" s="1856"/>
      <c r="U1956" s="1856"/>
      <c r="V1956" s="1856"/>
      <c r="W1956" s="1967"/>
      <c r="X1956" s="1967"/>
    </row>
    <row r="1957" spans="1:27" s="2112" customFormat="1" ht="11.25">
      <c r="A1957" s="2392"/>
      <c r="B1957" s="2223" t="s">
        <v>6557</v>
      </c>
      <c r="C1957" s="2223"/>
      <c r="D1957" s="2223"/>
      <c r="E1957" s="2223"/>
      <c r="F1957" s="2223"/>
      <c r="G1957" s="2223"/>
      <c r="H1957" s="2223"/>
      <c r="I1957" s="2223"/>
      <c r="J1957" s="2223"/>
      <c r="K1957" s="2223"/>
      <c r="L1957" s="2223"/>
      <c r="M1957" s="2223"/>
      <c r="N1957" s="2224"/>
      <c r="O1957" s="2264" t="str">
        <f>'Part IX Scoring Criteria'!O238</f>
        <v>No</v>
      </c>
      <c r="P1957" s="2252"/>
      <c r="Q1957" s="2223"/>
      <c r="R1957" s="2223"/>
      <c r="S1957" s="2223"/>
      <c r="T1957" s="2223"/>
      <c r="U1957" s="2223"/>
      <c r="V1957" s="2223"/>
      <c r="W1957" s="2223"/>
      <c r="X1957" s="2223"/>
      <c r="Y1957" s="2223"/>
      <c r="Z1957" s="2223"/>
      <c r="AA1957" s="2223"/>
    </row>
    <row r="1958" spans="1:27" s="435" customFormat="1" ht="11.25" customHeight="1">
      <c r="A1958" s="2384"/>
      <c r="B1958" s="2392" t="s">
        <v>1897</v>
      </c>
      <c r="C1958" s="2160" t="s">
        <v>6558</v>
      </c>
      <c r="E1958" s="2121" t="s">
        <v>3455</v>
      </c>
      <c r="G1958" s="2230">
        <f>'Part IX Scoring Criteria'!G239</f>
        <v>0</v>
      </c>
      <c r="H1958" s="2255" t="s">
        <v>587</v>
      </c>
      <c r="I1958" s="2111">
        <f>'Part IX Scoring Criteria'!I239</f>
        <v>0</v>
      </c>
      <c r="J1958" s="2111"/>
      <c r="L1958" s="2433" t="s">
        <v>6560</v>
      </c>
      <c r="M1958" s="2434">
        <f>'Part IX Scoring Criteria'!M239</f>
        <v>0</v>
      </c>
      <c r="N1958" s="2434"/>
    </row>
    <row r="1959" spans="1:27" s="435" customFormat="1" ht="11.25" customHeight="1">
      <c r="A1959" s="2384"/>
      <c r="B1959" s="2392" t="s">
        <v>1899</v>
      </c>
      <c r="C1959" s="2160" t="s">
        <v>6559</v>
      </c>
      <c r="E1959" s="2121" t="s">
        <v>3455</v>
      </c>
      <c r="G1959" s="2230">
        <f>'Part IX Scoring Criteria'!G240</f>
        <v>0</v>
      </c>
      <c r="H1959" s="2255" t="s">
        <v>587</v>
      </c>
      <c r="I1959" s="2111">
        <f>'Part IX Scoring Criteria'!I240</f>
        <v>0</v>
      </c>
      <c r="J1959" s="2111"/>
      <c r="L1959" s="2433" t="s">
        <v>6560</v>
      </c>
      <c r="M1959" s="2434">
        <f>'Part IX Scoring Criteria'!M240</f>
        <v>0</v>
      </c>
      <c r="N1959" s="2434"/>
    </row>
    <row r="1960" spans="1:27" s="2274" customFormat="1" ht="5.25" customHeight="1">
      <c r="A1960" s="1818"/>
      <c r="D1960" s="435"/>
      <c r="E1960" s="435"/>
      <c r="F1960" s="2108"/>
      <c r="G1960" s="2108"/>
      <c r="H1960" s="2108"/>
      <c r="I1960" s="2108"/>
      <c r="J1960" s="2121"/>
      <c r="K1960" s="2121"/>
      <c r="L1960" s="2121"/>
      <c r="M1960" s="2164"/>
      <c r="N1960" s="2108"/>
      <c r="O1960" s="2051"/>
      <c r="P1960" s="2192"/>
    </row>
    <row r="1961" spans="1:27" s="2274" customFormat="1" ht="10.5" customHeight="1">
      <c r="A1961" s="1818"/>
      <c r="B1961" s="2156" t="s">
        <v>3374</v>
      </c>
      <c r="C1961" s="1818"/>
      <c r="D1961" s="1719"/>
      <c r="E1961" s="1719"/>
      <c r="F1961" s="1719"/>
      <c r="G1961" s="1719"/>
      <c r="H1961" s="435"/>
      <c r="I1961" s="435"/>
      <c r="J1961" s="435"/>
      <c r="K1961" s="435"/>
      <c r="M1961" s="2108"/>
      <c r="N1961" s="2051"/>
      <c r="O1961" s="2192"/>
      <c r="P1961" s="2051"/>
    </row>
    <row r="1962" spans="1:27" s="2274" customFormat="1" ht="21.75" customHeight="1">
      <c r="A1962" s="2226" t="str">
        <f>'Part IX Scoring Criteria'!A243</f>
        <v>This development is not part of a phased development</v>
      </c>
      <c r="B1962" s="2226"/>
      <c r="C1962" s="2226"/>
      <c r="D1962" s="2226"/>
      <c r="E1962" s="2226"/>
      <c r="F1962" s="2226"/>
      <c r="G1962" s="2226"/>
      <c r="H1962" s="2226"/>
      <c r="I1962" s="2226"/>
      <c r="J1962" s="2226"/>
      <c r="K1962" s="2226"/>
      <c r="L1962" s="2226"/>
      <c r="M1962" s="2226"/>
      <c r="N1962" s="2226"/>
      <c r="O1962" s="2226"/>
      <c r="P1962" s="2226"/>
      <c r="Q1962" s="1855" t="s">
        <v>1208</v>
      </c>
    </row>
    <row r="1963" spans="1:27" s="2274" customFormat="1" ht="10.5" customHeight="1">
      <c r="B1963" s="2227" t="s">
        <v>1781</v>
      </c>
      <c r="C1963" s="1818"/>
      <c r="D1963" s="2227"/>
      <c r="E1963" s="2228"/>
      <c r="F1963" s="2228"/>
      <c r="G1963" s="2228"/>
      <c r="H1963" s="2228"/>
      <c r="I1963" s="2228"/>
      <c r="J1963" s="2228"/>
      <c r="K1963" s="2228"/>
      <c r="L1963" s="2228"/>
      <c r="M1963" s="2228"/>
      <c r="N1963" s="2309"/>
      <c r="O1963" s="2309"/>
      <c r="P1963" s="2108"/>
    </row>
    <row r="1964" spans="1:27" s="2274" customFormat="1" ht="11.25" customHeight="1">
      <c r="A1964" s="2223"/>
      <c r="B1964" s="2223"/>
      <c r="C1964" s="2223"/>
      <c r="D1964" s="2223"/>
      <c r="E1964" s="2223"/>
      <c r="F1964" s="2223"/>
      <c r="G1964" s="2223"/>
      <c r="H1964" s="2223"/>
      <c r="I1964" s="2223"/>
      <c r="J1964" s="2223"/>
      <c r="K1964" s="2223"/>
      <c r="L1964" s="2223"/>
      <c r="M1964" s="2223"/>
      <c r="N1964" s="2223"/>
      <c r="O1964" s="2223"/>
      <c r="P1964" s="2223"/>
      <c r="Q1964" s="1855"/>
    </row>
    <row r="1965" spans="1:27" s="2274" customFormat="1" ht="5.25" customHeight="1">
      <c r="A1965" s="1818"/>
      <c r="D1965" s="435"/>
      <c r="E1965" s="435"/>
      <c r="F1965" s="2108"/>
      <c r="G1965" s="2108"/>
      <c r="H1965" s="2108"/>
      <c r="I1965" s="2108"/>
      <c r="J1965" s="2121"/>
      <c r="K1965" s="2121"/>
      <c r="L1965" s="2121"/>
      <c r="M1965" s="2164"/>
      <c r="N1965" s="2108"/>
      <c r="O1965" s="2051"/>
      <c r="P1965" s="2192"/>
    </row>
    <row r="1966" spans="1:27" s="2274" customFormat="1" ht="13.5" customHeight="1">
      <c r="A1966" s="2306" t="s">
        <v>2606</v>
      </c>
      <c r="B1966" s="2153" t="s">
        <v>4165</v>
      </c>
      <c r="D1966" s="2379"/>
      <c r="E1966" s="2112" t="s">
        <v>6571</v>
      </c>
      <c r="G1966" s="2170"/>
      <c r="M1966" s="2108">
        <v>5</v>
      </c>
      <c r="N1966" s="2108"/>
      <c r="O1966" s="2192">
        <f>'Part IX Scoring Criteria'!O247</f>
        <v>3</v>
      </c>
      <c r="P1966" s="2192">
        <f>'Part IX Scoring Criteria'!P247</f>
        <v>0</v>
      </c>
      <c r="Q1966" s="2108" t="s">
        <v>422</v>
      </c>
      <c r="R1966" s="1858" t="s">
        <v>4267</v>
      </c>
      <c r="S1966" s="2435"/>
      <c r="T1966" s="2435"/>
      <c r="U1966" s="2435"/>
      <c r="V1966" s="2435"/>
      <c r="W1966" s="1967"/>
      <c r="X1966" s="1967"/>
    </row>
    <row r="1967" spans="1:27" s="1818" customFormat="1" ht="11.25" customHeight="1">
      <c r="A1967" s="2141" t="s">
        <v>1894</v>
      </c>
      <c r="B1967" s="1719" t="s">
        <v>7097</v>
      </c>
      <c r="M1967" s="2108">
        <v>5</v>
      </c>
      <c r="N1967" s="2255" t="s">
        <v>1894</v>
      </c>
      <c r="O1967" s="2371">
        <f>'Part IX Scoring Criteria'!O248</f>
        <v>0</v>
      </c>
      <c r="P1967" s="2192"/>
      <c r="Q1967" s="2397" t="str">
        <f>IF(OR($O1967=$M1967,$O1967=$M1967-1,$O1967=0,$O1967=""),"","*CHECK!*")</f>
        <v/>
      </c>
      <c r="R1967" s="1858" t="s">
        <v>4267</v>
      </c>
      <c r="S1967" s="2435"/>
      <c r="T1967" s="2435"/>
      <c r="U1967" s="2435"/>
      <c r="V1967" s="2435"/>
    </row>
    <row r="1968" spans="1:27" s="1818" customFormat="1" ht="11.25" customHeight="1">
      <c r="A1968" s="2141" t="s">
        <v>1896</v>
      </c>
      <c r="B1968" s="1719" t="s">
        <v>6572</v>
      </c>
      <c r="M1968" s="2108">
        <v>3</v>
      </c>
      <c r="N1968" s="2255" t="s">
        <v>1896</v>
      </c>
      <c r="O1968" s="2371">
        <f>'Part IX Scoring Criteria'!O249</f>
        <v>3</v>
      </c>
      <c r="P1968" s="2192"/>
      <c r="Q1968" s="2397" t="str">
        <f t="shared" ref="Q1968:Q1969" si="386">IF(OR($O1968=$M1968,$O1968=$M1968-1,$O1968=0,$O1968=""),"","*CHECK!*")</f>
        <v/>
      </c>
      <c r="R1968" s="1858" t="s">
        <v>4267</v>
      </c>
    </row>
    <row r="1969" spans="1:21" s="1852" customFormat="1">
      <c r="A1969" s="2141" t="s">
        <v>719</v>
      </c>
      <c r="B1969" s="1719" t="s">
        <v>6573</v>
      </c>
      <c r="E1969" s="2121" t="s">
        <v>6501</v>
      </c>
      <c r="I1969" s="2282"/>
      <c r="L1969" s="1818"/>
      <c r="M1969" s="2108">
        <v>3</v>
      </c>
      <c r="N1969" s="2255" t="s">
        <v>719</v>
      </c>
      <c r="O1969" s="2371">
        <f>'Part IX Scoring Criteria'!O250</f>
        <v>0</v>
      </c>
      <c r="P1969" s="2192"/>
      <c r="Q1969" s="2397" t="str">
        <f t="shared" si="386"/>
        <v/>
      </c>
      <c r="R1969" s="1858" t="s">
        <v>4267</v>
      </c>
    </row>
    <row r="1970" spans="1:21" s="2274" customFormat="1" ht="10.5" customHeight="1">
      <c r="A1970" s="1818"/>
      <c r="B1970" s="2156" t="s">
        <v>3374</v>
      </c>
      <c r="C1970" s="1818"/>
      <c r="D1970" s="1719"/>
      <c r="E1970" s="1719"/>
      <c r="F1970" s="1719"/>
      <c r="G1970" s="1719"/>
      <c r="H1970" s="435"/>
      <c r="I1970" s="435"/>
      <c r="J1970" s="435"/>
      <c r="K1970" s="435"/>
      <c r="M1970" s="2108"/>
      <c r="N1970" s="2051"/>
      <c r="O1970" s="2192"/>
      <c r="P1970" s="2051"/>
    </row>
    <row r="1971" spans="1:21" s="2274" customFormat="1" ht="21.75" customHeight="1">
      <c r="A1971" s="2226" t="str">
        <f>'Part IX Scoring Criteria'!A252</f>
        <v xml:space="preserve">The last DCA property to be funded in the Effingham County political jurisdiction was Goshen Crossing II in 2012. All other recently funded developments in the area have been within the city limits of Rincon. </v>
      </c>
      <c r="B1971" s="2226"/>
      <c r="C1971" s="2226"/>
      <c r="D1971" s="2226"/>
      <c r="E1971" s="2226"/>
      <c r="F1971" s="2226"/>
      <c r="G1971" s="2226"/>
      <c r="H1971" s="2226"/>
      <c r="I1971" s="2226"/>
      <c r="J1971" s="2226"/>
      <c r="K1971" s="2226"/>
      <c r="L1971" s="2226"/>
      <c r="M1971" s="2226"/>
      <c r="N1971" s="2226"/>
      <c r="O1971" s="2226"/>
      <c r="P1971" s="2226"/>
      <c r="Q1971" s="1855" t="s">
        <v>1208</v>
      </c>
    </row>
    <row r="1972" spans="1:21" s="2274" customFormat="1" ht="10.5" customHeight="1">
      <c r="B1972" s="2227" t="s">
        <v>1781</v>
      </c>
      <c r="C1972" s="1818"/>
      <c r="D1972" s="2227"/>
      <c r="E1972" s="2228"/>
      <c r="F1972" s="2228"/>
      <c r="G1972" s="2228"/>
      <c r="H1972" s="2228"/>
      <c r="I1972" s="2228"/>
      <c r="J1972" s="2228"/>
      <c r="K1972" s="2228"/>
      <c r="L1972" s="2228"/>
      <c r="M1972" s="2228"/>
      <c r="N1972" s="2309"/>
      <c r="O1972" s="2309"/>
      <c r="P1972" s="2108"/>
    </row>
    <row r="1973" spans="1:21" s="2274" customFormat="1" ht="11.25" customHeight="1">
      <c r="A1973" s="2223"/>
      <c r="B1973" s="2223"/>
      <c r="C1973" s="2223"/>
      <c r="D1973" s="2223"/>
      <c r="E1973" s="2223"/>
      <c r="F1973" s="2223"/>
      <c r="G1973" s="2223"/>
      <c r="H1973" s="2223"/>
      <c r="I1973" s="2223"/>
      <c r="J1973" s="2223"/>
      <c r="K1973" s="2223"/>
      <c r="L1973" s="2223"/>
      <c r="M1973" s="2223"/>
      <c r="N1973" s="2223"/>
      <c r="O1973" s="2223"/>
      <c r="P1973" s="2223"/>
      <c r="Q1973" s="1855"/>
    </row>
    <row r="1974" spans="1:21" s="1852" customFormat="1" ht="6" customHeight="1">
      <c r="N1974" s="2051"/>
      <c r="O1974" s="2051"/>
      <c r="P1974" s="2051"/>
      <c r="T1974" s="2436"/>
      <c r="U1974" s="2436"/>
    </row>
    <row r="1975" spans="1:21" s="2274" customFormat="1" ht="13.5" customHeight="1">
      <c r="A1975" s="2431" t="s">
        <v>2150</v>
      </c>
      <c r="B1975" s="2153" t="s">
        <v>2627</v>
      </c>
      <c r="D1975" s="2379"/>
      <c r="E1975" s="2379"/>
      <c r="F1975" s="2379"/>
      <c r="H1975" s="2121"/>
      <c r="J1975" s="2164"/>
      <c r="K1975" s="1719"/>
      <c r="L1975" s="2255" t="s">
        <v>4268</v>
      </c>
      <c r="M1975" s="2108">
        <v>4</v>
      </c>
      <c r="N1975" s="2108"/>
      <c r="O1975" s="2192">
        <f>'Part IX Scoring Criteria'!O256</f>
        <v>4</v>
      </c>
      <c r="P1975" s="2192">
        <f>'Part IX Scoring Criteria'!P256</f>
        <v>0</v>
      </c>
      <c r="Q1975" s="2108" t="s">
        <v>422</v>
      </c>
      <c r="T1975" s="2436"/>
      <c r="U1975" s="2436"/>
    </row>
    <row r="1976" spans="1:21" s="2284" customFormat="1" ht="11.25" customHeight="1">
      <c r="A1976" s="2141" t="s">
        <v>1894</v>
      </c>
      <c r="B1976" s="1719" t="s">
        <v>2133</v>
      </c>
      <c r="D1976" s="2170"/>
      <c r="E1976" s="2170"/>
      <c r="F1976" s="2244"/>
      <c r="G1976" s="1852"/>
      <c r="L1976" s="2366"/>
      <c r="M1976" s="2108">
        <v>3</v>
      </c>
      <c r="N1976" s="2255" t="s">
        <v>1894</v>
      </c>
      <c r="O1976" s="2192">
        <f>'Part IX Scoring Criteria'!O257</f>
        <v>3</v>
      </c>
      <c r="P1976" s="2192">
        <f>'Part IX Scoring Criteria'!P257</f>
        <v>0</v>
      </c>
      <c r="Q1976" s="2397"/>
      <c r="R1976" s="1912"/>
      <c r="T1976" s="2436"/>
      <c r="U1976" s="2436"/>
    </row>
    <row r="1977" spans="1:21" s="2284" customFormat="1" ht="11.25" customHeight="1">
      <c r="A1977" s="2141"/>
      <c r="B1977" s="2384" t="s">
        <v>1897</v>
      </c>
      <c r="C1977" s="2121" t="s">
        <v>3993</v>
      </c>
      <c r="D1977" s="2170"/>
      <c r="E1977" s="2170"/>
      <c r="F1977" s="2244"/>
      <c r="G1977" s="1852"/>
      <c r="L1977" s="2366"/>
      <c r="M1977" s="2108">
        <v>3</v>
      </c>
      <c r="N1977" s="2384" t="s">
        <v>1897</v>
      </c>
      <c r="O1977" s="2230" t="str">
        <f>'Part IX Scoring Criteria'!O258</f>
        <v>Yes</v>
      </c>
      <c r="P1977" s="2164"/>
      <c r="Q1977" s="2397"/>
      <c r="R1977" s="1912"/>
      <c r="T1977" s="2436"/>
      <c r="U1977" s="2436"/>
    </row>
    <row r="1978" spans="1:21" s="2284" customFormat="1" ht="11.25" customHeight="1">
      <c r="A1978" s="2141"/>
      <c r="B1978" s="2392" t="s">
        <v>1899</v>
      </c>
      <c r="C1978" s="2121" t="s">
        <v>3994</v>
      </c>
      <c r="D1978" s="2170"/>
      <c r="E1978" s="2170"/>
      <c r="F1978" s="2244"/>
      <c r="G1978" s="1852"/>
      <c r="L1978" s="2366"/>
      <c r="M1978" s="2108">
        <v>2</v>
      </c>
      <c r="N1978" s="2384" t="s">
        <v>1899</v>
      </c>
      <c r="O1978" s="2230" t="str">
        <f>'Part IX Scoring Criteria'!O259</f>
        <v>N/a</v>
      </c>
      <c r="P1978" s="2164"/>
      <c r="Q1978" s="2397"/>
      <c r="R1978" s="1912"/>
      <c r="T1978" s="2436"/>
      <c r="U1978" s="2436"/>
    </row>
    <row r="1979" spans="1:21" s="2284" customFormat="1" ht="10.5" customHeight="1">
      <c r="A1979" s="2141"/>
      <c r="B1979" s="2392" t="s">
        <v>2417</v>
      </c>
      <c r="C1979" s="2121" t="s">
        <v>3995</v>
      </c>
      <c r="D1979" s="2170"/>
      <c r="E1979" s="2170"/>
      <c r="F1979" s="2244"/>
      <c r="G1979" s="1852"/>
      <c r="K1979" s="2255"/>
      <c r="M1979" s="2108">
        <v>1</v>
      </c>
      <c r="N1979" s="2384" t="s">
        <v>2417</v>
      </c>
      <c r="O1979" s="2230" t="str">
        <f>'Part IX Scoring Criteria'!O260</f>
        <v>N/a</v>
      </c>
      <c r="P1979" s="2164"/>
      <c r="R1979" s="1967"/>
      <c r="T1979" s="2436"/>
      <c r="U1979" s="2436"/>
    </row>
    <row r="1980" spans="1:21" s="2274" customFormat="1" ht="11.25" customHeight="1">
      <c r="A1980" s="2141" t="s">
        <v>1896</v>
      </c>
      <c r="B1980" s="1719" t="s">
        <v>4156</v>
      </c>
      <c r="D1980" s="435"/>
      <c r="K1980" s="435"/>
      <c r="L1980" s="2366" t="str">
        <f>IF(OR($O1980=$M1980,$O1980=0,$O1980=""),"","* * Check Score! * *")</f>
        <v/>
      </c>
      <c r="M1980" s="2108">
        <v>1</v>
      </c>
      <c r="N1980" s="2255" t="s">
        <v>1896</v>
      </c>
      <c r="O1980" s="2192">
        <f>'Part IX Scoring Criteria'!O261</f>
        <v>0</v>
      </c>
      <c r="P1980" s="2192">
        <f>'Part IX Scoring Criteria'!P261</f>
        <v>0</v>
      </c>
      <c r="Q1980" s="2397" t="str">
        <f>IF(OR($O1980=$M1980,$O1980=0,$O1980=""),"","*CHECK!*")</f>
        <v/>
      </c>
      <c r="R1980" s="1912"/>
      <c r="T1980" s="2436"/>
      <c r="U1980" s="2436"/>
    </row>
    <row r="1981" spans="1:21" s="2274" customFormat="1" ht="21.75" customHeight="1">
      <c r="A1981" s="2431"/>
      <c r="B1981" s="435" t="s">
        <v>4157</v>
      </c>
      <c r="C1981" s="435"/>
      <c r="D1981" s="435"/>
      <c r="E1981" s="435"/>
      <c r="F1981" s="435"/>
      <c r="G1981" s="435"/>
      <c r="H1981" s="435"/>
      <c r="I1981" s="435"/>
      <c r="J1981" s="435"/>
      <c r="K1981" s="435"/>
      <c r="L1981" s="435"/>
      <c r="M1981" s="2108"/>
      <c r="N1981" s="2255"/>
      <c r="O1981" s="2264" t="str">
        <f>'Part IX Scoring Criteria'!O262</f>
        <v>No</v>
      </c>
      <c r="P1981" s="2252"/>
      <c r="Q1981" s="1967"/>
      <c r="R1981" s="2366"/>
      <c r="T1981" s="2436"/>
      <c r="U1981" s="2436"/>
    </row>
    <row r="1982" spans="1:21" s="2274" customFormat="1" ht="11.25" customHeight="1">
      <c r="A1982" s="2141" t="s">
        <v>719</v>
      </c>
      <c r="B1982" s="1719" t="s">
        <v>3996</v>
      </c>
      <c r="D1982" s="435"/>
      <c r="H1982" s="1864"/>
      <c r="K1982" s="435"/>
      <c r="L1982" s="2366"/>
      <c r="M1982" s="2108">
        <v>1</v>
      </c>
      <c r="N1982" s="2255" t="s">
        <v>719</v>
      </c>
      <c r="O1982" s="2192">
        <f>'Part IX Scoring Criteria'!O263</f>
        <v>1</v>
      </c>
      <c r="P1982" s="2192">
        <f>'Part IX Scoring Criteria'!P263</f>
        <v>0</v>
      </c>
      <c r="Q1982" s="2397" t="str">
        <f>IF(OR($O1982=$M1982,$O1982=0,$O1982=""),"","*CHECK!*")</f>
        <v/>
      </c>
      <c r="R1982" s="1912"/>
      <c r="T1982" s="2436"/>
      <c r="U1982" s="2436"/>
    </row>
    <row r="1983" spans="1:21" s="2274" customFormat="1" ht="33.75" customHeight="1">
      <c r="B1983" s="2223" t="s">
        <v>7185</v>
      </c>
      <c r="C1983" s="2223"/>
      <c r="D1983" s="2223"/>
      <c r="E1983" s="2223"/>
      <c r="F1983" s="2223"/>
      <c r="G1983" s="2223"/>
      <c r="H1983" s="2223"/>
      <c r="I1983" s="2223"/>
      <c r="J1983" s="2223"/>
      <c r="K1983" s="2223"/>
      <c r="L1983" s="2223"/>
      <c r="M1983" s="2108"/>
      <c r="N1983" s="2255"/>
      <c r="O1983" s="2264" t="str">
        <f>'Part IX Scoring Criteria'!O264</f>
        <v>Yes</v>
      </c>
      <c r="P1983" s="2252"/>
      <c r="Q1983" s="1967"/>
      <c r="R1983" s="2366"/>
      <c r="T1983" s="2436"/>
      <c r="U1983" s="2436"/>
    </row>
    <row r="1984" spans="1:21" s="2274" customFormat="1" ht="22.5" customHeight="1">
      <c r="B1984" s="2223" t="s">
        <v>6503</v>
      </c>
      <c r="C1984" s="2223"/>
      <c r="D1984" s="2223"/>
      <c r="E1984" s="2223"/>
      <c r="F1984" s="2223"/>
      <c r="G1984" s="2223"/>
      <c r="H1984" s="2223"/>
      <c r="I1984" s="2223"/>
      <c r="J1984" s="2223"/>
      <c r="K1984" s="2223"/>
      <c r="L1984" s="2223"/>
      <c r="M1984" s="2108"/>
      <c r="N1984" s="2108"/>
      <c r="O1984" s="2108"/>
      <c r="P1984" s="2108"/>
      <c r="Q1984" s="1967"/>
      <c r="R1984" s="2366"/>
      <c r="T1984" s="2436"/>
      <c r="U1984" s="2436"/>
    </row>
    <row r="1985" spans="1:21" s="2274" customFormat="1" ht="10.5" customHeight="1">
      <c r="A1985" s="1818"/>
      <c r="B1985" s="2227" t="s">
        <v>1781</v>
      </c>
      <c r="C1985" s="1818"/>
      <c r="D1985" s="2227"/>
      <c r="E1985" s="2228"/>
      <c r="F1985" s="2228"/>
      <c r="G1985" s="2228"/>
      <c r="H1985" s="2228"/>
      <c r="I1985" s="2228"/>
      <c r="J1985" s="2228"/>
      <c r="K1985" s="2228"/>
      <c r="L1985" s="2228"/>
      <c r="M1985" s="2228"/>
      <c r="N1985" s="2309"/>
      <c r="O1985" s="2309"/>
      <c r="P1985" s="2108"/>
    </row>
    <row r="1986" spans="1:21" s="2274" customFormat="1" ht="11.25" customHeight="1">
      <c r="A1986" s="2223"/>
      <c r="B1986" s="2223"/>
      <c r="C1986" s="2223"/>
      <c r="D1986" s="2223"/>
      <c r="E1986" s="2223"/>
      <c r="F1986" s="2223"/>
      <c r="G1986" s="2223"/>
      <c r="H1986" s="2223"/>
      <c r="I1986" s="2223"/>
      <c r="J1986" s="2223"/>
      <c r="K1986" s="2223"/>
      <c r="L1986" s="2223"/>
      <c r="M1986" s="2223"/>
      <c r="N1986" s="2223"/>
      <c r="O1986" s="2223"/>
      <c r="P1986" s="2223"/>
      <c r="Q1986" s="1855"/>
    </row>
    <row r="1987" spans="1:21" s="2274" customFormat="1" ht="1.5" customHeight="1">
      <c r="A1987" s="1818"/>
      <c r="B1987" s="1818"/>
      <c r="C1987" s="2228"/>
      <c r="D1987" s="2228"/>
      <c r="E1987" s="2228"/>
      <c r="F1987" s="2228"/>
      <c r="G1987" s="2228"/>
      <c r="H1987" s="2228"/>
      <c r="I1987" s="2228"/>
      <c r="J1987" s="2228"/>
      <c r="K1987" s="2228"/>
      <c r="L1987" s="2228"/>
      <c r="M1987" s="2228"/>
      <c r="N1987" s="2309"/>
      <c r="O1987" s="2309"/>
      <c r="P1987" s="2108"/>
    </row>
    <row r="1988" spans="1:21" s="2274" customFormat="1" ht="12" customHeight="1">
      <c r="A1988" s="2306" t="s">
        <v>3522</v>
      </c>
      <c r="B1988" s="2153" t="s">
        <v>3491</v>
      </c>
      <c r="C1988" s="2112"/>
      <c r="D1988" s="2112"/>
      <c r="E1988" s="435"/>
      <c r="G1988" s="2112"/>
      <c r="I1988" s="1912" t="s">
        <v>6545</v>
      </c>
      <c r="J1988" s="2317" t="str">
        <f>IF(OR($M$32="9% Credit Competitive Round only", $M$32="9% Credit &amp; HOME"),"9%",IF(OR($M$32="4% Credit/TE Bond", $M$32="4% Credit/TE Bond &amp; HOME", $M$32="4% Credit/TE Bond &amp; HOME NOFA", $M$32="4% Credit &amp; NHTF", $M$32="4% Credit &amp; NHTF &amp; HOME"),"4%",""))</f>
        <v/>
      </c>
      <c r="K1988" s="2284"/>
      <c r="L1988" s="2284"/>
      <c r="M1988" s="2108">
        <v>2</v>
      </c>
      <c r="N1988" s="2108"/>
      <c r="O1988" s="2108"/>
      <c r="P1988" s="2192">
        <f>'Part IX Scoring Criteria'!P269</f>
        <v>0</v>
      </c>
      <c r="Q1988" s="2108" t="s">
        <v>422</v>
      </c>
    </row>
    <row r="1989" spans="1:21" s="2274" customFormat="1" ht="13.5" customHeight="1">
      <c r="A1989" s="2306"/>
      <c r="B1989" s="435" t="s">
        <v>6504</v>
      </c>
      <c r="C1989" s="2228"/>
      <c r="D1989" s="2228"/>
      <c r="E1989" s="2228"/>
      <c r="F1989" s="2228"/>
      <c r="G1989" s="2228"/>
      <c r="H1989" s="2228"/>
      <c r="I1989" s="2228"/>
      <c r="J1989" s="2228"/>
      <c r="K1989" s="2228"/>
      <c r="L1989" s="2413"/>
      <c r="M1989" s="2108"/>
      <c r="N1989" s="2309"/>
      <c r="O1989" s="2230" t="str">
        <f>'Part IX Scoring Criteria'!O270</f>
        <v>No</v>
      </c>
      <c r="P1989" s="2164"/>
      <c r="Q1989" s="2108"/>
      <c r="T1989" s="2436"/>
      <c r="U1989" s="2436"/>
    </row>
    <row r="1990" spans="1:21" s="2274" customFormat="1" ht="12" customHeight="1">
      <c r="A1990" s="2141" t="s">
        <v>1894</v>
      </c>
      <c r="B1990" s="1719" t="s">
        <v>3492</v>
      </c>
      <c r="C1990" s="2112"/>
      <c r="D1990" s="2112"/>
      <c r="E1990" s="435"/>
      <c r="G1990" s="2168">
        <f>'Part VIII-Threshold Criteria'!I2051</f>
        <v>0</v>
      </c>
      <c r="I1990" s="2121" t="s">
        <v>4288</v>
      </c>
      <c r="K1990" s="2121">
        <f>'Part I-Project Information'!H1771</f>
        <v>0</v>
      </c>
      <c r="M1990" s="2108">
        <v>2</v>
      </c>
      <c r="N1990" s="2255" t="s">
        <v>1894</v>
      </c>
      <c r="P1990" s="2108"/>
      <c r="Q1990" s="2108"/>
      <c r="R1990" s="1912" t="s">
        <v>2555</v>
      </c>
    </row>
    <row r="1991" spans="1:21" s="2284" customFormat="1" ht="10.5" customHeight="1">
      <c r="A1991" s="2141"/>
      <c r="B1991" s="2384" t="s">
        <v>1897</v>
      </c>
      <c r="C1991" s="435" t="s">
        <v>4020</v>
      </c>
      <c r="D1991" s="1818"/>
      <c r="N1991" s="2384" t="s">
        <v>4021</v>
      </c>
      <c r="O1991" s="2230" t="str">
        <f>'Part IX Scoring Criteria'!O272</f>
        <v>No</v>
      </c>
      <c r="P1991" s="2164"/>
      <c r="R1991" s="2366"/>
    </row>
    <row r="1992" spans="1:21" s="2284" customFormat="1" ht="10.5" customHeight="1">
      <c r="A1992" s="2141"/>
      <c r="B1992" s="2384"/>
      <c r="C1992" s="435" t="s">
        <v>6505</v>
      </c>
      <c r="D1992" s="1818"/>
      <c r="N1992" s="2384" t="s">
        <v>4022</v>
      </c>
      <c r="O1992" s="2230">
        <f>'Part IX Scoring Criteria'!O273</f>
        <v>0</v>
      </c>
      <c r="P1992" s="2164"/>
      <c r="R1992" s="2366"/>
    </row>
    <row r="1993" spans="1:21" s="2284" customFormat="1" ht="10.5" customHeight="1">
      <c r="A1993" s="2141"/>
      <c r="B1993" s="2384" t="s">
        <v>1899</v>
      </c>
      <c r="C1993" s="435" t="s">
        <v>3498</v>
      </c>
      <c r="D1993" s="1818"/>
      <c r="N1993" s="2384" t="s">
        <v>1899</v>
      </c>
      <c r="O1993" s="2230">
        <f>'Part IX Scoring Criteria'!O274</f>
        <v>0</v>
      </c>
      <c r="P1993" s="2164"/>
      <c r="R1993" s="2366"/>
    </row>
    <row r="1994" spans="1:21" s="2284" customFormat="1" ht="10.5" customHeight="1">
      <c r="A1994" s="2141"/>
      <c r="B1994" s="2384" t="s">
        <v>2417</v>
      </c>
      <c r="C1994" s="435" t="s">
        <v>4023</v>
      </c>
      <c r="D1994" s="1818"/>
      <c r="N1994" s="2384" t="s">
        <v>2417</v>
      </c>
      <c r="O1994" s="2230">
        <f>'Part IX Scoring Criteria'!O275</f>
        <v>0</v>
      </c>
      <c r="P1994" s="2164"/>
      <c r="R1994" s="2366"/>
    </row>
    <row r="1995" spans="1:21" s="2284" customFormat="1" ht="10.5" customHeight="1">
      <c r="B1995" s="2384" t="s">
        <v>1178</v>
      </c>
      <c r="C1995" s="435" t="s">
        <v>3499</v>
      </c>
      <c r="D1995" s="1818"/>
      <c r="N1995" s="2384" t="s">
        <v>1178</v>
      </c>
      <c r="O1995" s="2230">
        <f>'Part IX Scoring Criteria'!O276</f>
        <v>0</v>
      </c>
      <c r="P1995" s="2164"/>
      <c r="R1995" s="2366"/>
    </row>
    <row r="1996" spans="1:21" s="2274" customFormat="1" ht="12" customHeight="1">
      <c r="A1996" s="2141" t="s">
        <v>1896</v>
      </c>
      <c r="B1996" s="1719" t="s">
        <v>3493</v>
      </c>
      <c r="C1996" s="2112"/>
      <c r="D1996" s="2112"/>
      <c r="E1996" s="435"/>
      <c r="G1996" s="2168">
        <f>'Part I-Project Information'!D1842</f>
        <v>0</v>
      </c>
      <c r="I1996" s="2168"/>
      <c r="L1996" s="2055"/>
      <c r="M1996" s="2108">
        <v>2</v>
      </c>
      <c r="N1996" s="2255" t="s">
        <v>1896</v>
      </c>
      <c r="P1996" s="2108"/>
      <c r="Q1996" s="2108"/>
      <c r="R1996" s="1912" t="s">
        <v>2555</v>
      </c>
    </row>
    <row r="1997" spans="1:21" s="2284" customFormat="1" ht="10.5" customHeight="1">
      <c r="A1997" s="2431"/>
      <c r="B1997" s="2384" t="s">
        <v>1897</v>
      </c>
      <c r="C1997" s="435" t="s">
        <v>4020</v>
      </c>
      <c r="D1997" s="435"/>
      <c r="E1997" s="435"/>
      <c r="M1997" s="2108"/>
      <c r="N1997" s="2384" t="s">
        <v>4021</v>
      </c>
      <c r="O1997" s="2230">
        <f>'Part IX Scoring Criteria'!O278</f>
        <v>0</v>
      </c>
      <c r="P1997" s="2164"/>
      <c r="Q1997" s="2108"/>
    </row>
    <row r="1998" spans="1:21" s="2284" customFormat="1" ht="10.5" customHeight="1">
      <c r="A1998" s="2141"/>
      <c r="B1998" s="2384"/>
      <c r="C1998" s="435" t="s">
        <v>6506</v>
      </c>
      <c r="D1998" s="1818"/>
      <c r="N1998" s="2384" t="s">
        <v>4022</v>
      </c>
      <c r="O1998" s="2230">
        <f>'Part IX Scoring Criteria'!O279</f>
        <v>0</v>
      </c>
      <c r="P1998" s="2164"/>
      <c r="R1998" s="2366"/>
    </row>
    <row r="1999" spans="1:21" s="2284" customFormat="1" ht="10.5" customHeight="1">
      <c r="A1999" s="2141"/>
      <c r="B1999" s="2384" t="s">
        <v>1899</v>
      </c>
      <c r="C1999" s="435" t="s">
        <v>3510</v>
      </c>
      <c r="D1999" s="1818"/>
      <c r="N1999" s="2384" t="s">
        <v>1899</v>
      </c>
      <c r="O1999" s="2230">
        <f>'Part IX Scoring Criteria'!O280</f>
        <v>0</v>
      </c>
      <c r="P1999" s="2164"/>
      <c r="R1999" s="2366"/>
    </row>
    <row r="2000" spans="1:21" s="2284" customFormat="1" ht="10.5" customHeight="1">
      <c r="B2000" s="2384" t="s">
        <v>2417</v>
      </c>
      <c r="C2000" s="435" t="s">
        <v>3499</v>
      </c>
      <c r="D2000" s="1818"/>
      <c r="N2000" s="2384" t="s">
        <v>2417</v>
      </c>
      <c r="O2000" s="2230">
        <f>'Part IX Scoring Criteria'!O281</f>
        <v>0</v>
      </c>
      <c r="P2000" s="2164"/>
      <c r="R2000" s="2366"/>
    </row>
    <row r="2001" spans="1:19" s="2274" customFormat="1" ht="10.5" customHeight="1">
      <c r="B2001" s="2227" t="s">
        <v>1781</v>
      </c>
      <c r="C2001" s="1818"/>
      <c r="D2001" s="2227"/>
      <c r="E2001" s="2228"/>
      <c r="F2001" s="2228"/>
      <c r="G2001" s="2228"/>
      <c r="H2001" s="2228"/>
      <c r="I2001" s="2228"/>
      <c r="J2001" s="2228"/>
      <c r="K2001" s="2228"/>
      <c r="L2001" s="2228"/>
      <c r="M2001" s="2228"/>
      <c r="N2001" s="2309"/>
      <c r="O2001" s="2309"/>
      <c r="P2001" s="2108"/>
    </row>
    <row r="2002" spans="1:19" s="2274" customFormat="1" ht="11.25" customHeight="1">
      <c r="A2002" s="2223"/>
      <c r="B2002" s="2223"/>
      <c r="C2002" s="2223"/>
      <c r="D2002" s="2223"/>
      <c r="E2002" s="2223"/>
      <c r="F2002" s="2223"/>
      <c r="G2002" s="2223"/>
      <c r="H2002" s="2223"/>
      <c r="I2002" s="2223"/>
      <c r="J2002" s="2223"/>
      <c r="K2002" s="2223"/>
      <c r="L2002" s="2223"/>
      <c r="M2002" s="2223"/>
      <c r="N2002" s="2223"/>
      <c r="O2002" s="2223"/>
      <c r="P2002" s="2223"/>
      <c r="Q2002" s="1855"/>
    </row>
    <row r="2003" spans="1:19" s="1852" customFormat="1" ht="2.25" customHeight="1">
      <c r="N2003" s="2051"/>
      <c r="O2003" s="2051"/>
      <c r="P2003" s="2051"/>
    </row>
    <row r="2004" spans="1:19" s="2274" customFormat="1" ht="2.25" customHeight="1">
      <c r="A2004" s="1818"/>
      <c r="C2004" s="2228"/>
      <c r="D2004" s="2228"/>
      <c r="E2004" s="2228"/>
      <c r="F2004" s="2228"/>
      <c r="G2004" s="2228"/>
      <c r="H2004" s="2228"/>
      <c r="I2004" s="2228"/>
      <c r="J2004" s="2228"/>
      <c r="K2004" s="2228"/>
      <c r="L2004" s="2228"/>
      <c r="M2004" s="2228"/>
      <c r="N2004" s="2309"/>
      <c r="O2004" s="2309"/>
      <c r="P2004" s="2108"/>
    </row>
    <row r="2005" spans="1:19" s="2274" customFormat="1" ht="13.5" customHeight="1">
      <c r="A2005" s="2306" t="s">
        <v>3523</v>
      </c>
      <c r="B2005" s="2153" t="s">
        <v>1597</v>
      </c>
      <c r="D2005" s="2112"/>
      <c r="E2005" s="2112"/>
      <c r="G2005" s="435"/>
      <c r="M2005" s="2108">
        <v>2</v>
      </c>
      <c r="N2005" s="2437"/>
      <c r="O2005" s="2371">
        <f>'Part IX Scoring Criteria'!O286</f>
        <v>0</v>
      </c>
      <c r="P2005" s="2192"/>
      <c r="Q2005" s="2108" t="s">
        <v>422</v>
      </c>
      <c r="R2005" s="1907" t="s">
        <v>4267</v>
      </c>
      <c r="S2005" s="1907"/>
    </row>
    <row r="2006" spans="1:19" s="2274" customFormat="1" ht="11.25" customHeight="1">
      <c r="A2006" s="2141"/>
      <c r="B2006" s="2121" t="s">
        <v>3276</v>
      </c>
      <c r="D2006" s="2112"/>
      <c r="E2006" s="2112"/>
      <c r="G2006" s="435"/>
      <c r="I2006" s="2111" t="str">
        <f>'Part IX Scoring Criteria'!I287</f>
        <v>Enter GICH Community Name</v>
      </c>
      <c r="J2006" s="2111"/>
      <c r="K2006" s="2111"/>
      <c r="L2006" s="2111"/>
      <c r="M2006" s="2108"/>
      <c r="N2006" s="2164"/>
      <c r="O2006" s="2055"/>
      <c r="P2006" s="2055"/>
      <c r="Q2006" s="2397"/>
      <c r="R2006" s="1907"/>
      <c r="S2006" s="1907"/>
    </row>
    <row r="2007" spans="1:19" s="2112" customFormat="1" ht="2.25" customHeight="1">
      <c r="B2007" s="2115"/>
      <c r="D2007" s="435"/>
      <c r="E2007" s="435"/>
      <c r="F2007" s="435"/>
      <c r="G2007" s="435"/>
      <c r="H2007" s="435"/>
      <c r="I2007" s="435"/>
      <c r="J2007" s="435"/>
      <c r="K2007" s="435"/>
      <c r="L2007" s="435"/>
      <c r="M2007" s="435"/>
      <c r="N2007" s="2255"/>
      <c r="O2007" s="2255"/>
      <c r="P2007" s="2255"/>
    </row>
    <row r="2008" spans="1:19" s="2284" customFormat="1" ht="10.5" customHeight="1">
      <c r="A2008" s="1818"/>
      <c r="B2008" s="2156" t="s">
        <v>3374</v>
      </c>
      <c r="C2008" s="1818"/>
      <c r="D2008" s="1719"/>
      <c r="E2008" s="1719"/>
      <c r="F2008" s="1719"/>
      <c r="G2008" s="1719"/>
      <c r="H2008" s="435"/>
      <c r="I2008" s="435"/>
      <c r="J2008" s="435"/>
      <c r="K2008" s="435"/>
      <c r="M2008" s="2108"/>
      <c r="N2008" s="2108"/>
      <c r="O2008" s="2192"/>
      <c r="P2008" s="2108"/>
    </row>
    <row r="2009" spans="1:19" s="2274" customFormat="1" ht="10.9" customHeight="1">
      <c r="A2009" s="2226" t="str">
        <f>'Part IX Scoring Criteria'!A290</f>
        <v>The proposed development is not within a GICH community.</v>
      </c>
      <c r="B2009" s="2226"/>
      <c r="C2009" s="2226"/>
      <c r="D2009" s="2226"/>
      <c r="E2009" s="2226"/>
      <c r="F2009" s="2226"/>
      <c r="G2009" s="2226"/>
      <c r="H2009" s="2226"/>
      <c r="I2009" s="2226"/>
      <c r="J2009" s="2226"/>
      <c r="K2009" s="2226"/>
      <c r="L2009" s="2226"/>
      <c r="M2009" s="2226"/>
      <c r="N2009" s="2226"/>
      <c r="O2009" s="2226"/>
      <c r="P2009" s="2226"/>
      <c r="Q2009" s="1855" t="s">
        <v>1208</v>
      </c>
    </row>
    <row r="2010" spans="1:19" s="2284" customFormat="1" ht="10.5" customHeight="1">
      <c r="A2010" s="1818"/>
      <c r="B2010" s="2156" t="s">
        <v>1781</v>
      </c>
      <c r="C2010" s="1818"/>
      <c r="D2010" s="2156"/>
      <c r="E2010" s="2121"/>
      <c r="F2010" s="2121"/>
      <c r="G2010" s="2121"/>
      <c r="H2010" s="2121"/>
      <c r="I2010" s="2121"/>
      <c r="J2010" s="2121"/>
      <c r="K2010" s="2121"/>
      <c r="L2010" s="2121"/>
      <c r="M2010" s="2121"/>
      <c r="N2010" s="2108"/>
      <c r="O2010" s="2108"/>
      <c r="P2010" s="2108"/>
      <c r="Q2010" s="2274"/>
    </row>
    <row r="2011" spans="1:19" s="2274" customFormat="1" ht="11.25" customHeight="1">
      <c r="A2011" s="2223"/>
      <c r="B2011" s="2223"/>
      <c r="C2011" s="2223"/>
      <c r="D2011" s="2223"/>
      <c r="E2011" s="2223"/>
      <c r="F2011" s="2223"/>
      <c r="G2011" s="2223"/>
      <c r="H2011" s="2223"/>
      <c r="I2011" s="2223"/>
      <c r="J2011" s="2223"/>
      <c r="K2011" s="2223"/>
      <c r="L2011" s="2223"/>
      <c r="M2011" s="2223"/>
      <c r="N2011" s="2223"/>
      <c r="O2011" s="2223"/>
      <c r="P2011" s="2223"/>
      <c r="Q2011" s="1855"/>
    </row>
    <row r="2012" spans="1:19" s="1852" customFormat="1" ht="3" customHeight="1">
      <c r="N2012" s="2051"/>
      <c r="O2012" s="2051"/>
      <c r="P2012" s="2051"/>
    </row>
    <row r="2013" spans="1:19" s="2274" customFormat="1" ht="13.5" customHeight="1">
      <c r="A2013" s="2306" t="s">
        <v>3521</v>
      </c>
      <c r="B2013" s="2153" t="s">
        <v>3495</v>
      </c>
      <c r="D2013" s="2112"/>
      <c r="E2013" s="2112"/>
      <c r="F2013" s="435"/>
      <c r="G2013" s="435"/>
      <c r="H2013" s="435"/>
      <c r="M2013" s="2192">
        <v>4</v>
      </c>
      <c r="N2013" s="2108"/>
      <c r="O2013" s="2192">
        <f>'Part IX Scoring Criteria'!O294</f>
        <v>0</v>
      </c>
      <c r="P2013" s="2192">
        <f>'Part IX Scoring Criteria'!P294</f>
        <v>0</v>
      </c>
      <c r="Q2013" s="2108" t="s">
        <v>422</v>
      </c>
    </row>
    <row r="2014" spans="1:19" s="2274" customFormat="1" ht="10.5" customHeight="1">
      <c r="A2014" s="1818"/>
      <c r="B2014" s="2121" t="s">
        <v>7186</v>
      </c>
      <c r="E2014" s="2112"/>
      <c r="F2014" s="435"/>
      <c r="G2014" s="435"/>
      <c r="H2014" s="435"/>
      <c r="I2014" s="435"/>
      <c r="K2014" s="2164"/>
      <c r="L2014" s="2438"/>
      <c r="O2014" s="2164" t="s">
        <v>2393</v>
      </c>
      <c r="P2014" s="2164" t="s">
        <v>2393</v>
      </c>
    </row>
    <row r="2015" spans="1:19" s="2112" customFormat="1" ht="12.75" customHeight="1">
      <c r="B2015" s="2255" t="s">
        <v>2325</v>
      </c>
      <c r="C2015" s="435" t="s">
        <v>2628</v>
      </c>
      <c r="F2015" s="435"/>
      <c r="G2015" s="435"/>
      <c r="H2015" s="435"/>
      <c r="I2015" s="435"/>
      <c r="J2015" s="2274"/>
      <c r="K2015" s="2164"/>
      <c r="L2015" s="2223" t="str">
        <f>IF(OR(O2015="No",O2015="",O2016="No",O2016="",O2017="No",O2017="",O2018="No",O2018=""),"Unmet criterion results in no points!","")</f>
        <v/>
      </c>
      <c r="M2015" s="2223"/>
      <c r="N2015" s="2255" t="s">
        <v>2325</v>
      </c>
      <c r="O2015" s="2230">
        <f>'Part IX Scoring Criteria'!O296</f>
        <v>0</v>
      </c>
      <c r="P2015" s="2164"/>
      <c r="R2015" s="2223" t="str">
        <f>IF(OR(P2015="No",P2015="",P2016="No",P2016="",P2017="No",P2017="",P2018="No",P2018=""),"Unmet criterion results in no points!","")</f>
        <v>Unmet criterion results in no points!</v>
      </c>
      <c r="S2015" s="2223" t="e">
        <f>IF(OR(V2015="No",V2015="",V2016="No",V2016="",V2017="No",V2017="",V2018="No",V2018="",#REF!="No",#REF!="",#REF!="No",#REF!=""),"Unmet criterion results in no points!","")</f>
        <v>#REF!</v>
      </c>
    </row>
    <row r="2016" spans="1:19" s="2112" customFormat="1" ht="12.75" customHeight="1">
      <c r="B2016" s="2255" t="s">
        <v>2326</v>
      </c>
      <c r="C2016" s="435" t="s">
        <v>3411</v>
      </c>
      <c r="L2016" s="2223"/>
      <c r="M2016" s="2223"/>
      <c r="N2016" s="2255" t="s">
        <v>2326</v>
      </c>
      <c r="O2016" s="2230">
        <f>'Part IX Scoring Criteria'!O297</f>
        <v>0</v>
      </c>
      <c r="P2016" s="2164"/>
      <c r="R2016" s="2223"/>
      <c r="S2016" s="2223"/>
    </row>
    <row r="2017" spans="1:20" s="2112" customFormat="1" ht="12.75" customHeight="1">
      <c r="B2017" s="2255" t="s">
        <v>2327</v>
      </c>
      <c r="C2017" s="435" t="s">
        <v>3410</v>
      </c>
      <c r="L2017" s="2223"/>
      <c r="M2017" s="2223"/>
      <c r="N2017" s="2255" t="s">
        <v>2327</v>
      </c>
      <c r="O2017" s="2230">
        <f>'Part IX Scoring Criteria'!O298</f>
        <v>0</v>
      </c>
      <c r="P2017" s="2164"/>
      <c r="R2017" s="2223"/>
      <c r="S2017" s="2223"/>
    </row>
    <row r="2018" spans="1:20" s="2112" customFormat="1" ht="33.75" customHeight="1">
      <c r="B2018" s="2224" t="s">
        <v>2328</v>
      </c>
      <c r="C2018" s="2223" t="s">
        <v>3997</v>
      </c>
      <c r="D2018" s="2223"/>
      <c r="E2018" s="2223"/>
      <c r="F2018" s="2223"/>
      <c r="G2018" s="2223"/>
      <c r="H2018" s="2223"/>
      <c r="I2018" s="2223"/>
      <c r="J2018" s="2223"/>
      <c r="K2018" s="2223"/>
      <c r="L2018" s="2223"/>
      <c r="M2018" s="2223"/>
      <c r="N2018" s="2224" t="s">
        <v>2328</v>
      </c>
      <c r="O2018" s="2264">
        <f>'Part IX Scoring Criteria'!O299</f>
        <v>0</v>
      </c>
      <c r="P2018" s="2252"/>
    </row>
    <row r="2019" spans="1:20" s="1852" customFormat="1" ht="3" customHeight="1">
      <c r="C2019" s="2223"/>
      <c r="D2019" s="2223"/>
      <c r="E2019" s="2223"/>
      <c r="F2019" s="2223"/>
      <c r="G2019" s="2223"/>
      <c r="H2019" s="2223"/>
      <c r="I2019" s="2223"/>
      <c r="J2019" s="2223"/>
      <c r="K2019" s="2223"/>
      <c r="L2019" s="2223"/>
      <c r="M2019" s="2223"/>
      <c r="N2019" s="2051"/>
      <c r="O2019" s="2051"/>
      <c r="P2019" s="2051"/>
    </row>
    <row r="2020" spans="1:20" s="1852" customFormat="1" ht="12.75" customHeight="1">
      <c r="A2020" s="2417" t="s">
        <v>1894</v>
      </c>
      <c r="B2020" s="1719" t="s">
        <v>3496</v>
      </c>
      <c r="L2020" s="2366" t="str">
        <f>IF(O2020&lt;=M2020,"","* * Check Score! * *")</f>
        <v/>
      </c>
      <c r="M2020" s="2117">
        <v>3</v>
      </c>
      <c r="N2020" s="2255" t="s">
        <v>1894</v>
      </c>
      <c r="O2020" s="2371">
        <f>'Part IX Scoring Criteria'!O301</f>
        <v>0</v>
      </c>
      <c r="P2020" s="2192"/>
      <c r="Q2020" s="2397" t="str">
        <f>IF(O2020&lt;=M2020,"","*CHECK!*")</f>
        <v/>
      </c>
      <c r="R2020" s="1856" t="s">
        <v>4267</v>
      </c>
      <c r="S2020" s="1856"/>
      <c r="T2020" s="1907"/>
    </row>
    <row r="2021" spans="1:20" s="1852" customFormat="1" ht="12.75" customHeight="1">
      <c r="A2021" s="2417"/>
      <c r="B2021" s="2439" t="s">
        <v>1897</v>
      </c>
      <c r="C2021" s="2223" t="s">
        <v>4000</v>
      </c>
      <c r="D2021" s="2223"/>
      <c r="E2021" s="2223"/>
      <c r="F2021" s="2223"/>
      <c r="G2021" s="2223"/>
      <c r="H2021" s="2223"/>
      <c r="I2021" s="2223"/>
      <c r="R2021" s="1856"/>
      <c r="S2021" s="1856"/>
      <c r="T2021" s="1907"/>
    </row>
    <row r="2022" spans="1:20" s="1852" customFormat="1" ht="12.75" customHeight="1">
      <c r="A2022" s="2417"/>
      <c r="B2022" s="2392"/>
      <c r="C2022" s="2223" t="s">
        <v>3999</v>
      </c>
      <c r="D2022" s="2223"/>
      <c r="E2022" s="2223"/>
      <c r="F2022" s="2223"/>
      <c r="G2022" s="2223"/>
      <c r="H2022" s="2223"/>
      <c r="I2022" s="2223"/>
      <c r="J2022" s="2440" t="s">
        <v>1901</v>
      </c>
      <c r="K2022" s="2440"/>
      <c r="M2022" s="2440" t="s">
        <v>1901</v>
      </c>
      <c r="N2022" s="2440"/>
      <c r="O2022" s="2440"/>
      <c r="P2022" s="2440"/>
      <c r="R2022" s="1856"/>
      <c r="S2022" s="1856"/>
      <c r="T2022" s="1907"/>
    </row>
    <row r="2023" spans="1:20" s="2274" customFormat="1" ht="12.75" customHeight="1">
      <c r="A2023" s="2187"/>
      <c r="B2023" s="2255" t="s">
        <v>2325</v>
      </c>
      <c r="C2023" s="435" t="s">
        <v>1423</v>
      </c>
      <c r="I2023" s="2255" t="s">
        <v>2325</v>
      </c>
      <c r="J2023" s="2182">
        <f>'Part IX Scoring Criteria'!J304</f>
        <v>0</v>
      </c>
      <c r="K2023" s="2182"/>
      <c r="L2023" s="2255" t="s">
        <v>2325</v>
      </c>
      <c r="M2023" s="2174"/>
      <c r="N2023" s="2174"/>
      <c r="O2023" s="2174"/>
      <c r="P2023" s="2174"/>
      <c r="R2023" s="2366"/>
    </row>
    <row r="2024" spans="1:20" s="1852" customFormat="1" ht="12.75" customHeight="1">
      <c r="A2024" s="2207"/>
      <c r="B2024" s="2224" t="s">
        <v>2326</v>
      </c>
      <c r="C2024" s="435" t="s">
        <v>3278</v>
      </c>
      <c r="I2024" s="2224" t="s">
        <v>2326</v>
      </c>
      <c r="J2024" s="2182">
        <f>'Part IX Scoring Criteria'!J305</f>
        <v>0</v>
      </c>
      <c r="K2024" s="2182"/>
      <c r="L2024" s="2224" t="s">
        <v>2326</v>
      </c>
      <c r="M2024" s="2174"/>
      <c r="N2024" s="2174"/>
      <c r="O2024" s="2174"/>
      <c r="P2024" s="2174"/>
      <c r="R2024" s="2366"/>
    </row>
    <row r="2025" spans="1:20" s="1852" customFormat="1" ht="12.75" customHeight="1">
      <c r="B2025" s="2255" t="s">
        <v>2327</v>
      </c>
      <c r="C2025" s="435" t="s">
        <v>4158</v>
      </c>
      <c r="I2025" s="2255" t="s">
        <v>2327</v>
      </c>
      <c r="J2025" s="2182">
        <f>'Part IX Scoring Criteria'!J306</f>
        <v>0</v>
      </c>
      <c r="K2025" s="2182"/>
      <c r="L2025" s="2255" t="s">
        <v>2327</v>
      </c>
      <c r="M2025" s="2174"/>
      <c r="N2025" s="2174"/>
      <c r="O2025" s="2174"/>
      <c r="P2025" s="2174"/>
      <c r="R2025" s="2366"/>
    </row>
    <row r="2026" spans="1:20" s="1852" customFormat="1" ht="12.75" customHeight="1">
      <c r="A2026" s="2207"/>
      <c r="B2026" s="2255" t="s">
        <v>2328</v>
      </c>
      <c r="C2026" s="435" t="s">
        <v>3193</v>
      </c>
      <c r="I2026" s="2255" t="s">
        <v>2328</v>
      </c>
      <c r="J2026" s="2182">
        <f>'Part IX Scoring Criteria'!J307</f>
        <v>0</v>
      </c>
      <c r="K2026" s="2182"/>
      <c r="L2026" s="2255" t="s">
        <v>2328</v>
      </c>
      <c r="M2026" s="2174"/>
      <c r="N2026" s="2174"/>
      <c r="O2026" s="2174"/>
      <c r="P2026" s="2174"/>
      <c r="R2026" s="2366"/>
    </row>
    <row r="2027" spans="1:20" s="2274" customFormat="1" ht="12.75" customHeight="1">
      <c r="A2027" s="2187"/>
      <c r="B2027" s="2224" t="s">
        <v>2329</v>
      </c>
      <c r="C2027" s="435" t="s">
        <v>2572</v>
      </c>
      <c r="I2027" s="2224" t="s">
        <v>2329</v>
      </c>
      <c r="J2027" s="2182">
        <f>'Part IX Scoring Criteria'!J308</f>
        <v>0</v>
      </c>
      <c r="K2027" s="2182"/>
      <c r="L2027" s="2224" t="s">
        <v>2329</v>
      </c>
      <c r="M2027" s="2174"/>
      <c r="N2027" s="2174"/>
      <c r="O2027" s="2174"/>
      <c r="P2027" s="2174"/>
      <c r="R2027" s="2366"/>
    </row>
    <row r="2028" spans="1:20" s="1852" customFormat="1" ht="12.75" customHeight="1">
      <c r="B2028" s="2255" t="s">
        <v>2345</v>
      </c>
      <c r="C2028" s="435" t="s">
        <v>1422</v>
      </c>
      <c r="I2028" s="2255" t="s">
        <v>2345</v>
      </c>
      <c r="J2028" s="2182">
        <f>'Part IX Scoring Criteria'!J309</f>
        <v>0</v>
      </c>
      <c r="K2028" s="2182"/>
      <c r="L2028" s="2255" t="s">
        <v>2345</v>
      </c>
      <c r="M2028" s="2174"/>
      <c r="N2028" s="2174"/>
      <c r="O2028" s="2174"/>
      <c r="P2028" s="2174"/>
      <c r="R2028" s="2366"/>
    </row>
    <row r="2029" spans="1:20" s="1852" customFormat="1" ht="12.75" customHeight="1">
      <c r="B2029" s="2255" t="s">
        <v>2346</v>
      </c>
      <c r="C2029" s="435" t="s">
        <v>6507</v>
      </c>
      <c r="I2029" s="2255" t="s">
        <v>2346</v>
      </c>
      <c r="J2029" s="2182">
        <f>'Part IX Scoring Criteria'!J310</f>
        <v>0</v>
      </c>
      <c r="K2029" s="2182"/>
      <c r="L2029" s="2255" t="s">
        <v>2346</v>
      </c>
      <c r="M2029" s="2172"/>
      <c r="N2029" s="2172"/>
      <c r="O2029" s="2172"/>
      <c r="P2029" s="2172"/>
      <c r="R2029" s="2366"/>
    </row>
    <row r="2030" spans="1:20" s="1852" customFormat="1" ht="12.75" customHeight="1">
      <c r="A2030" s="2207"/>
      <c r="B2030" s="2255" t="s">
        <v>2347</v>
      </c>
      <c r="C2030" s="435" t="s">
        <v>3277</v>
      </c>
      <c r="I2030" s="2255" t="s">
        <v>2347</v>
      </c>
      <c r="J2030" s="2182">
        <f>'Part IX Scoring Criteria'!J311</f>
        <v>0</v>
      </c>
      <c r="K2030" s="2182"/>
      <c r="L2030" s="2255" t="s">
        <v>2347</v>
      </c>
      <c r="M2030" s="2174"/>
      <c r="N2030" s="2174"/>
      <c r="O2030" s="2174"/>
      <c r="P2030" s="2174"/>
      <c r="R2030" s="2366"/>
    </row>
    <row r="2031" spans="1:20" s="1852" customFormat="1" ht="12.75" customHeight="1">
      <c r="B2031" s="2255" t="s">
        <v>2348</v>
      </c>
      <c r="C2031" s="435" t="s">
        <v>6850</v>
      </c>
      <c r="I2031" s="2255" t="s">
        <v>2348</v>
      </c>
      <c r="J2031" s="2182">
        <f>'Part IX Scoring Criteria'!J312</f>
        <v>0</v>
      </c>
      <c r="K2031" s="2182"/>
      <c r="L2031" s="2255" t="s">
        <v>2348</v>
      </c>
      <c r="M2031" s="2174"/>
      <c r="N2031" s="2174"/>
      <c r="O2031" s="2174"/>
      <c r="P2031" s="2174"/>
      <c r="R2031" s="2366"/>
    </row>
    <row r="2032" spans="1:20" s="1852" customFormat="1" ht="12.75" customHeight="1">
      <c r="B2032" s="2255" t="s">
        <v>3279</v>
      </c>
      <c r="C2032" s="435" t="s">
        <v>4002</v>
      </c>
      <c r="I2032" s="2255" t="s">
        <v>3279</v>
      </c>
      <c r="J2032" s="2182">
        <f>'Part IX Scoring Criteria'!J313</f>
        <v>0</v>
      </c>
      <c r="K2032" s="2182"/>
      <c r="L2032" s="2255" t="s">
        <v>3279</v>
      </c>
      <c r="M2032" s="2174"/>
      <c r="N2032" s="2174"/>
      <c r="O2032" s="2174"/>
      <c r="P2032" s="2174"/>
      <c r="R2032" s="2366"/>
    </row>
    <row r="2033" spans="1:22" s="1852" customFormat="1" ht="12.75" customHeight="1">
      <c r="B2033" s="2255" t="s">
        <v>6508</v>
      </c>
      <c r="C2033" s="435" t="s">
        <v>7187</v>
      </c>
      <c r="I2033" s="2255" t="s">
        <v>6508</v>
      </c>
      <c r="J2033" s="2182">
        <f>'Part IX Scoring Criteria'!J314</f>
        <v>0</v>
      </c>
      <c r="K2033" s="2182"/>
      <c r="L2033" s="2255" t="s">
        <v>6508</v>
      </c>
      <c r="M2033" s="2174"/>
      <c r="N2033" s="2174"/>
      <c r="O2033" s="2174"/>
      <c r="P2033" s="2174"/>
      <c r="R2033" s="2366"/>
    </row>
    <row r="2034" spans="1:22" s="1852" customFormat="1" ht="12.75" customHeight="1">
      <c r="B2034" s="2067" t="s">
        <v>7098</v>
      </c>
      <c r="H2034" s="2121" t="s">
        <v>2502</v>
      </c>
      <c r="J2034" s="2174">
        <f>SUM(J2023:K2033)</f>
        <v>0</v>
      </c>
      <c r="K2034" s="2174"/>
      <c r="M2034" s="2174">
        <f>SUM($M2023:$M2033)</f>
        <v>0</v>
      </c>
      <c r="N2034" s="2174"/>
      <c r="O2034" s="2174"/>
      <c r="P2034" s="2174"/>
      <c r="R2034" s="2366"/>
    </row>
    <row r="2035" spans="1:22" s="1852" customFormat="1" ht="6" customHeight="1">
      <c r="M2035" s="1856"/>
      <c r="N2035" s="1856"/>
      <c r="P2035" s="1856"/>
    </row>
    <row r="2036" spans="1:22" s="2274" customFormat="1" ht="12" customHeight="1">
      <c r="A2036" s="1818"/>
      <c r="B2036" s="2368" t="s">
        <v>1899</v>
      </c>
      <c r="C2036" s="2114" t="s">
        <v>2501</v>
      </c>
      <c r="D2036" s="1864"/>
      <c r="E2036" s="1864"/>
      <c r="F2036" s="2121" t="s">
        <v>6510</v>
      </c>
      <c r="H2036" s="1852"/>
      <c r="I2036" s="1852"/>
      <c r="J2036" s="2174">
        <f>'Part VI-Revenues &amp; Expenses'!$P$67</f>
        <v>48</v>
      </c>
      <c r="K2036" s="2174"/>
      <c r="L2036" s="1864"/>
      <c r="M2036" s="1856"/>
      <c r="N2036" s="1856"/>
      <c r="O2036" s="2441"/>
      <c r="P2036" s="1856"/>
    </row>
    <row r="2037" spans="1:22" s="1852" customFormat="1" ht="13.5" customHeight="1">
      <c r="C2037" s="1864"/>
      <c r="D2037" s="1864"/>
      <c r="E2037" s="1864"/>
      <c r="F2037" s="2290" t="s">
        <v>6511</v>
      </c>
      <c r="J2037" s="2442">
        <f>J2034/J2036</f>
        <v>0</v>
      </c>
      <c r="K2037" s="2442"/>
      <c r="M2037" s="2442">
        <f>IF($J2036=0,0,$M2034/$J2036)</f>
        <v>0</v>
      </c>
      <c r="N2037" s="2442"/>
      <c r="O2037" s="2442"/>
      <c r="P2037" s="2442"/>
    </row>
    <row r="2038" spans="1:22" s="2274" customFormat="1" ht="12.75" customHeight="1">
      <c r="C2038" s="1864"/>
      <c r="D2038" s="1864"/>
      <c r="E2038" s="1864"/>
      <c r="F2038" s="2112" t="s">
        <v>6512</v>
      </c>
      <c r="I2038" s="1852"/>
      <c r="J2038" s="2149">
        <f>IF(L2015="", IF($J2037&gt;=30000, 3,IF($J2037&gt;=20000, 2,IF($J2037&gt;=10000,1,0))),0)</f>
        <v>0</v>
      </c>
      <c r="K2038" s="2149"/>
      <c r="L2038" s="1719"/>
      <c r="M2038" s="2149">
        <f>IF(R2015="", IF($M2037&gt;=30000, 3,IF($M2037&gt;=20000, 2,IF($M2037&gt;=10000,1,0))),0)</f>
        <v>0</v>
      </c>
      <c r="N2038" s="2149"/>
      <c r="O2038" s="2149"/>
      <c r="P2038" s="2149"/>
    </row>
    <row r="2039" spans="1:22" s="1852" customFormat="1" ht="9" customHeight="1">
      <c r="N2039" s="2051"/>
      <c r="O2039" s="2051"/>
      <c r="P2039" s="2051"/>
    </row>
    <row r="2040" spans="1:22" s="2284" customFormat="1" ht="12.75" customHeight="1">
      <c r="A2040" s="2117" t="s">
        <v>1896</v>
      </c>
      <c r="B2040" s="2115" t="s">
        <v>3280</v>
      </c>
      <c r="D2040" s="435"/>
      <c r="E2040" s="435"/>
      <c r="F2040" s="2108"/>
      <c r="H2040" s="435"/>
      <c r="I2040" s="2108"/>
      <c r="J2040" s="2121"/>
      <c r="K2040" s="2121"/>
      <c r="L2040" s="2366" t="str">
        <f>IF(OR($O2040=$M2040,$O2040=0,$O2040=""),"","* * Check Score! * *")</f>
        <v/>
      </c>
      <c r="M2040" s="2117">
        <v>1</v>
      </c>
      <c r="N2040" s="2255" t="s">
        <v>1896</v>
      </c>
      <c r="O2040" s="2371">
        <f>'Part IX Scoring Criteria'!O321</f>
        <v>0</v>
      </c>
      <c r="P2040" s="2192"/>
      <c r="Q2040" s="1858" t="s">
        <v>4267</v>
      </c>
      <c r="V2040" s="2436"/>
    </row>
    <row r="2041" spans="1:22" s="2274" customFormat="1" ht="22.5" customHeight="1">
      <c r="A2041" s="2141"/>
      <c r="B2041" s="2392" t="s">
        <v>1897</v>
      </c>
      <c r="C2041" s="2223" t="s">
        <v>3497</v>
      </c>
      <c r="D2041" s="2223"/>
      <c r="E2041" s="2223"/>
      <c r="F2041" s="2223"/>
      <c r="G2041" s="2223"/>
      <c r="H2041" s="2223"/>
      <c r="I2041" s="2223"/>
      <c r="J2041" s="2223"/>
      <c r="K2041" s="2223"/>
      <c r="L2041" s="2223"/>
      <c r="M2041" s="2223"/>
      <c r="N2041" s="2392" t="s">
        <v>1897</v>
      </c>
      <c r="O2041" s="2264">
        <f>'Part IX Scoring Criteria'!O322</f>
        <v>0</v>
      </c>
      <c r="P2041" s="2252"/>
      <c r="V2041" s="2436"/>
    </row>
    <row r="2042" spans="1:22" s="2274" customFormat="1" ht="12.75" customHeight="1">
      <c r="A2042" s="2141"/>
      <c r="B2042" s="2384" t="s">
        <v>1899</v>
      </c>
      <c r="C2042" s="435" t="s">
        <v>3405</v>
      </c>
      <c r="D2042" s="435"/>
      <c r="E2042" s="435"/>
      <c r="F2042" s="435"/>
      <c r="G2042" s="435"/>
      <c r="H2042" s="435"/>
      <c r="I2042" s="435"/>
      <c r="J2042" s="435"/>
      <c r="K2042" s="435"/>
      <c r="M2042" s="435"/>
      <c r="N2042" s="2384" t="s">
        <v>1899</v>
      </c>
      <c r="O2042" s="2264">
        <f>'Part IX Scoring Criteria'!O323</f>
        <v>0</v>
      </c>
      <c r="P2042" s="2164"/>
      <c r="V2042" s="2436"/>
    </row>
    <row r="2043" spans="1:22" s="1852" customFormat="1" ht="12.75" customHeight="1">
      <c r="B2043" s="2384" t="s">
        <v>2417</v>
      </c>
      <c r="C2043" s="2112" t="s">
        <v>4004</v>
      </c>
      <c r="N2043" s="2384" t="s">
        <v>2417</v>
      </c>
      <c r="O2043" s="2264">
        <f>'Part IX Scoring Criteria'!O324</f>
        <v>0</v>
      </c>
      <c r="P2043" s="2164"/>
    </row>
    <row r="2044" spans="1:22" s="1852" customFormat="1" ht="12" customHeight="1">
      <c r="B2044" s="2156" t="s">
        <v>3374</v>
      </c>
      <c r="N2044" s="2051"/>
      <c r="O2044" s="2051"/>
      <c r="P2044" s="2051"/>
    </row>
    <row r="2045" spans="1:22" s="2274" customFormat="1" ht="21.75" customHeight="1">
      <c r="A2045" s="2226" t="str">
        <f>'Part IX Scoring Criteria'!A326</f>
        <v>The applicant has not received a loan that will qualify as "favorable financing" nor is a ground lease in place.</v>
      </c>
      <c r="B2045" s="2226"/>
      <c r="C2045" s="2226"/>
      <c r="D2045" s="2226"/>
      <c r="E2045" s="2226"/>
      <c r="F2045" s="2226"/>
      <c r="G2045" s="2226"/>
      <c r="H2045" s="2226"/>
      <c r="I2045" s="2226"/>
      <c r="J2045" s="2226"/>
      <c r="K2045" s="2226"/>
      <c r="L2045" s="2226"/>
      <c r="M2045" s="2226"/>
      <c r="N2045" s="2226"/>
      <c r="O2045" s="2226"/>
      <c r="P2045" s="2226"/>
      <c r="Q2045" s="1855" t="s">
        <v>1208</v>
      </c>
    </row>
    <row r="2046" spans="1:22" s="2284" customFormat="1" ht="11.25" customHeight="1">
      <c r="A2046" s="1818"/>
      <c r="B2046" s="1896" t="s">
        <v>1781</v>
      </c>
      <c r="C2046" s="1818"/>
      <c r="D2046" s="2156"/>
      <c r="E2046" s="2121"/>
      <c r="F2046" s="2121"/>
      <c r="G2046" s="2121"/>
      <c r="H2046" s="2121"/>
      <c r="I2046" s="2121"/>
      <c r="J2046" s="2121"/>
      <c r="K2046" s="2121"/>
      <c r="L2046" s="2121"/>
      <c r="M2046" s="2121"/>
      <c r="N2046" s="2108"/>
      <c r="O2046" s="2108"/>
      <c r="P2046" s="2108"/>
      <c r="Q2046" s="2274"/>
    </row>
    <row r="2047" spans="1:22" s="2274" customFormat="1" ht="11.25" customHeight="1">
      <c r="A2047" s="2223"/>
      <c r="B2047" s="2223"/>
      <c r="C2047" s="2223"/>
      <c r="D2047" s="2223"/>
      <c r="E2047" s="2223"/>
      <c r="F2047" s="2223"/>
      <c r="G2047" s="2223"/>
      <c r="H2047" s="2223"/>
      <c r="I2047" s="2223"/>
      <c r="J2047" s="2223"/>
      <c r="K2047" s="2223"/>
      <c r="L2047" s="2223"/>
      <c r="M2047" s="2223"/>
      <c r="N2047" s="2223"/>
      <c r="O2047" s="2223"/>
      <c r="P2047" s="2223"/>
      <c r="Q2047" s="1855"/>
    </row>
    <row r="2048" spans="1:22" s="2274" customFormat="1" ht="3" customHeight="1">
      <c r="A2048" s="1818"/>
      <c r="B2048" s="1818"/>
      <c r="C2048" s="2228"/>
      <c r="D2048" s="2228"/>
      <c r="E2048" s="2228"/>
      <c r="F2048" s="2228"/>
      <c r="G2048" s="2228"/>
      <c r="H2048" s="2228"/>
      <c r="I2048" s="2228"/>
      <c r="J2048" s="2228"/>
      <c r="K2048" s="2228"/>
      <c r="L2048" s="2228"/>
      <c r="M2048" s="2228"/>
      <c r="N2048" s="2309"/>
      <c r="O2048" s="2309"/>
      <c r="P2048" s="2108"/>
    </row>
    <row r="2049" spans="1:19" s="2274" customFormat="1" ht="13.5" customHeight="1">
      <c r="A2049" s="2443" t="s">
        <v>3524</v>
      </c>
      <c r="B2049" s="2153" t="s">
        <v>2567</v>
      </c>
      <c r="D2049" s="2121"/>
      <c r="G2049" s="2170" t="s">
        <v>7172</v>
      </c>
      <c r="I2049" s="2044" t="s">
        <v>6545</v>
      </c>
      <c r="J2049" s="2317" t="str">
        <f>IF(OR($M$32="9% Credit Competitive Round only", $M$32="9% Credit &amp; HOME"),"9%",IF(OR($M$32="4% Credit/TE Bond", $M$32="4% Credit/TE Bond &amp; HOME", $M$32="4% Credit/TE Bond &amp; HOME NOFA", $M$32="4% Credit &amp; NHTF", $M$32="4% Credit &amp; NHTF &amp; HOME"),"4%",""))</f>
        <v/>
      </c>
      <c r="K2049" s="2044" t="s">
        <v>367</v>
      </c>
      <c r="L2049" s="2044">
        <f>$M$43</f>
        <v>0</v>
      </c>
      <c r="M2049" s="2108">
        <v>2</v>
      </c>
      <c r="N2049" s="2255"/>
      <c r="O2049" s="2192">
        <f>'Part IX Scoring Criteria'!O330</f>
        <v>0</v>
      </c>
      <c r="P2049" s="2192">
        <f>'Part IX Scoring Criteria'!P330</f>
        <v>0</v>
      </c>
      <c r="Q2049" s="2108" t="s">
        <v>422</v>
      </c>
      <c r="R2049" s="2366" t="str">
        <f>IF(OR($O2053=$M2049,$O2053=0,$O2053=""),"","* * Check Score! * *")</f>
        <v/>
      </c>
    </row>
    <row r="2050" spans="1:19" s="2391" customFormat="1" ht="1.5" customHeight="1">
      <c r="B2050" s="2392"/>
      <c r="F2050" s="2252"/>
      <c r="G2050" s="2117"/>
      <c r="M2050" s="2309"/>
      <c r="N2050" s="2309"/>
      <c r="O2050" s="2309"/>
      <c r="P2050" s="2309"/>
      <c r="Q2050" s="1864"/>
    </row>
    <row r="2051" spans="1:19" s="2391" customFormat="1" ht="12.75" customHeight="1">
      <c r="A2051" s="2431"/>
      <c r="B2051" s="2425" t="s">
        <v>3194</v>
      </c>
      <c r="D2051" s="2111" t="str">
        <f>'Part IX Scoring Criteria'!D332</f>
        <v>&lt;Select applicable status&gt;</v>
      </c>
      <c r="E2051" s="2111"/>
      <c r="F2051" s="2111"/>
      <c r="G2051" s="2111"/>
      <c r="H2051" s="2111"/>
      <c r="I2051" s="2111"/>
      <c r="J2051" s="2223" t="s">
        <v>2631</v>
      </c>
      <c r="L2051" s="2200">
        <f>'Part III-Sources of Funds'!$I$53</f>
        <v>0</v>
      </c>
      <c r="M2051" s="2309"/>
      <c r="N2051" s="2309"/>
      <c r="O2051" s="2309"/>
      <c r="P2051" s="2309"/>
      <c r="Q2051" s="1864"/>
    </row>
    <row r="2052" spans="1:19" s="2391" customFormat="1" ht="1.5" customHeight="1">
      <c r="B2052" s="2392"/>
      <c r="M2052" s="2309"/>
      <c r="N2052" s="2309"/>
      <c r="O2052" s="2309"/>
      <c r="P2052" s="2309"/>
      <c r="Q2052" s="1864"/>
    </row>
    <row r="2053" spans="1:19" s="2391" customFormat="1" ht="12.75" customHeight="1">
      <c r="A2053" s="2444" t="s">
        <v>1894</v>
      </c>
      <c r="B2053" s="435" t="s">
        <v>4159</v>
      </c>
      <c r="C2053" s="2223"/>
      <c r="D2053" s="2223"/>
      <c r="E2053" s="2223"/>
      <c r="F2053" s="2223"/>
      <c r="G2053" s="2223"/>
      <c r="H2053" s="2223"/>
      <c r="I2053" s="2223"/>
      <c r="M2053" s="2309">
        <v>2</v>
      </c>
      <c r="N2053" s="2224" t="s">
        <v>1894</v>
      </c>
      <c r="O2053" s="2371">
        <f>'Part IX Scoring Criteria'!O334</f>
        <v>0</v>
      </c>
      <c r="P2053" s="2371"/>
      <c r="Q2053" s="2397" t="str">
        <f>IF(OR($O2053=$M2053,$O2053=0,$O2053=""),"","*CHECK!*")</f>
        <v/>
      </c>
      <c r="R2053" s="1858" t="s">
        <v>4267</v>
      </c>
    </row>
    <row r="2054" spans="1:19" s="2391" customFormat="1" ht="12" customHeight="1">
      <c r="A2054" s="2309"/>
      <c r="B2054" s="435" t="s">
        <v>7188</v>
      </c>
      <c r="C2054" s="435"/>
      <c r="D2054" s="435"/>
      <c r="E2054" s="435"/>
      <c r="F2054" s="435"/>
      <c r="G2054" s="435"/>
      <c r="H2054" s="435"/>
      <c r="I2054" s="435"/>
      <c r="J2054" s="435"/>
      <c r="K2054" s="435"/>
      <c r="L2054" s="435"/>
      <c r="M2054" s="1905" t="s">
        <v>7189</v>
      </c>
      <c r="N2054" s="1905"/>
      <c r="Q2054" s="1864"/>
    </row>
    <row r="2055" spans="1:19" s="2391" customFormat="1" ht="12" customHeight="1">
      <c r="B2055" s="435"/>
      <c r="C2055" s="435"/>
      <c r="D2055" s="435"/>
      <c r="E2055" s="435"/>
      <c r="F2055" s="435"/>
      <c r="G2055" s="435"/>
      <c r="H2055" s="435"/>
      <c r="I2055" s="435"/>
      <c r="J2055" s="435"/>
      <c r="K2055" s="435"/>
      <c r="L2055" s="435"/>
      <c r="M2055" s="1905"/>
      <c r="N2055" s="1905"/>
      <c r="O2055" s="2235">
        <f>'Part VI-Revenues &amp; Expenses'!$P$123</f>
        <v>0</v>
      </c>
      <c r="P2055" s="2235"/>
      <c r="Q2055" s="1864"/>
    </row>
    <row r="2056" spans="1:19" s="2391" customFormat="1" ht="12" customHeight="1">
      <c r="B2056" s="435"/>
      <c r="C2056" s="435"/>
      <c r="D2056" s="435"/>
      <c r="E2056" s="435"/>
      <c r="F2056" s="435"/>
      <c r="G2056" s="435"/>
      <c r="H2056" s="435"/>
      <c r="I2056" s="435"/>
      <c r="J2056" s="435"/>
      <c r="K2056" s="435"/>
      <c r="L2056" s="435"/>
      <c r="M2056" s="1912" t="s">
        <v>2629</v>
      </c>
      <c r="N2056" s="2309"/>
      <c r="O2056" s="2235">
        <f>'Part VI-Revenues &amp; Expenses'!$P$67</f>
        <v>48</v>
      </c>
      <c r="P2056" s="2235"/>
      <c r="Q2056" s="1864"/>
    </row>
    <row r="2057" spans="1:19" s="2391" customFormat="1" ht="12" customHeight="1">
      <c r="B2057" s="435"/>
      <c r="C2057" s="435"/>
      <c r="D2057" s="435"/>
      <c r="E2057" s="435"/>
      <c r="F2057" s="435"/>
      <c r="G2057" s="435"/>
      <c r="H2057" s="435"/>
      <c r="I2057" s="435"/>
      <c r="J2057" s="435"/>
      <c r="K2057" s="435"/>
      <c r="L2057" s="435"/>
      <c r="M2057" s="1912" t="s">
        <v>2630</v>
      </c>
      <c r="N2057" s="2309"/>
      <c r="O2057" s="2177">
        <f>IF(O2056=0,0,O2055/O2056)</f>
        <v>0</v>
      </c>
      <c r="P2057" s="2177"/>
      <c r="Q2057" s="1864"/>
    </row>
    <row r="2058" spans="1:19" s="2274" customFormat="1" ht="105.75" customHeight="1">
      <c r="A2058" s="2112"/>
      <c r="B2058" s="1951" t="str">
        <f>'Part IX Scoring Criteria'!B339</f>
        <v>&lt;&lt; Enter here Applicant's Narrative of how building will be reused. Adjust row height as needed. &gt;&gt;</v>
      </c>
      <c r="C2058" s="1951"/>
      <c r="D2058" s="1951"/>
      <c r="E2058" s="1951"/>
      <c r="F2058" s="1951"/>
      <c r="G2058" s="1951"/>
      <c r="H2058" s="1951"/>
      <c r="I2058" s="1951"/>
      <c r="J2058" s="1951"/>
      <c r="K2058" s="1951"/>
      <c r="L2058" s="1951"/>
      <c r="M2058" s="1951"/>
      <c r="N2058" s="1951"/>
      <c r="O2058" s="1951"/>
      <c r="P2058" s="1951"/>
      <c r="Q2058" s="1855" t="s">
        <v>1208</v>
      </c>
      <c r="R2058" s="1855"/>
      <c r="S2058" s="1855"/>
    </row>
    <row r="2059" spans="1:19" s="2391" customFormat="1" ht="1.5" customHeight="1">
      <c r="A2059" s="2164"/>
      <c r="B2059" s="2392"/>
      <c r="F2059" s="2252"/>
      <c r="G2059" s="2117"/>
      <c r="M2059" s="2309"/>
      <c r="N2059" s="2309"/>
      <c r="O2059" s="2309"/>
      <c r="P2059" s="2309"/>
      <c r="Q2059" s="1864"/>
    </row>
    <row r="2060" spans="1:19" s="2391" customFormat="1" ht="12" customHeight="1">
      <c r="A2060" s="2445" t="s">
        <v>7190</v>
      </c>
      <c r="B2060" s="2223" t="s">
        <v>4160</v>
      </c>
      <c r="C2060" s="2223"/>
      <c r="H2060" s="2223"/>
      <c r="M2060" s="2309">
        <v>2</v>
      </c>
      <c r="N2060" s="2224" t="s">
        <v>1896</v>
      </c>
      <c r="O2060" s="2371">
        <f>'Part IX Scoring Criteria'!O341</f>
        <v>0</v>
      </c>
      <c r="P2060" s="2371"/>
      <c r="Q2060" s="2397" t="str">
        <f>IF(OR($O2060=$M2060,$O2060=0,$O2060=""),"","*CHECK!*")</f>
        <v/>
      </c>
      <c r="R2060" s="1858" t="s">
        <v>4267</v>
      </c>
    </row>
    <row r="2061" spans="1:19" s="2391" customFormat="1" ht="11.25" customHeight="1">
      <c r="A2061" s="2445"/>
      <c r="B2061" s="2223" t="s">
        <v>7099</v>
      </c>
      <c r="C2061" s="2223"/>
      <c r="D2061" s="2223"/>
      <c r="E2061" s="2223"/>
      <c r="F2061" s="2223"/>
      <c r="G2061" s="2223"/>
      <c r="H2061" s="2223"/>
      <c r="I2061" s="2223"/>
      <c r="J2061" s="2223"/>
      <c r="K2061" s="2223"/>
      <c r="L2061" s="2223"/>
      <c r="M2061" s="1967" t="s">
        <v>4005</v>
      </c>
      <c r="O2061" s="2235">
        <f>'Part VI-Revenues &amp; Expenses'!$P$125</f>
        <v>0</v>
      </c>
      <c r="P2061" s="2235"/>
      <c r="Q2061" s="1864"/>
    </row>
    <row r="2062" spans="1:19" s="2391" customFormat="1" ht="11.25" customHeight="1">
      <c r="A2062" s="2445"/>
      <c r="B2062" s="2223"/>
      <c r="C2062" s="2223"/>
      <c r="D2062" s="2223"/>
      <c r="E2062" s="2223"/>
      <c r="F2062" s="2223"/>
      <c r="G2062" s="2223"/>
      <c r="H2062" s="2223"/>
      <c r="I2062" s="2223"/>
      <c r="J2062" s="2223"/>
      <c r="K2062" s="2223"/>
      <c r="L2062" s="2223"/>
      <c r="M2062" s="2307" t="s">
        <v>2629</v>
      </c>
      <c r="N2062" s="2309"/>
      <c r="O2062" s="2235">
        <f>'Part VI-Revenues &amp; Expenses'!$P$67</f>
        <v>48</v>
      </c>
      <c r="P2062" s="2235"/>
      <c r="Q2062" s="1864"/>
    </row>
    <row r="2063" spans="1:19" s="2391" customFormat="1" ht="11.25" customHeight="1">
      <c r="A2063" s="2445"/>
      <c r="B2063" s="2223"/>
      <c r="C2063" s="2223"/>
      <c r="D2063" s="2223"/>
      <c r="E2063" s="2223"/>
      <c r="F2063" s="2223"/>
      <c r="G2063" s="2223"/>
      <c r="H2063" s="2223"/>
      <c r="I2063" s="2223"/>
      <c r="J2063" s="2223"/>
      <c r="K2063" s="2223"/>
      <c r="L2063" s="2223"/>
      <c r="M2063" s="1912" t="s">
        <v>2630</v>
      </c>
      <c r="N2063" s="2309"/>
      <c r="O2063" s="2177">
        <f>IF(O2062=0,0,O2061/O2062)</f>
        <v>0</v>
      </c>
      <c r="P2063" s="2177"/>
      <c r="Q2063" s="1864"/>
    </row>
    <row r="2064" spans="1:19" s="2274" customFormat="1" ht="11.25" customHeight="1">
      <c r="A2064" s="1818"/>
      <c r="B2064" s="2156" t="s">
        <v>3374</v>
      </c>
      <c r="C2064" s="1818"/>
      <c r="D2064" s="1719"/>
      <c r="E2064" s="1719"/>
      <c r="F2064" s="1719"/>
      <c r="G2064" s="1719"/>
      <c r="H2064" s="435"/>
      <c r="I2064" s="435"/>
      <c r="J2064" s="435"/>
      <c r="K2064" s="435"/>
      <c r="M2064" s="2108"/>
      <c r="N2064" s="2051"/>
      <c r="O2064" s="2192"/>
      <c r="P2064" s="2051"/>
    </row>
    <row r="2065" spans="1:18" s="2274" customFormat="1" ht="73.5" customHeight="1">
      <c r="A2065" s="2226" t="str">
        <f>'Part IX Scoring Criteria'!A346</f>
        <v>The applicant is not claiming points in this category.</v>
      </c>
      <c r="B2065" s="2226"/>
      <c r="C2065" s="2226"/>
      <c r="D2065" s="2226"/>
      <c r="E2065" s="2226"/>
      <c r="F2065" s="2226"/>
      <c r="G2065" s="2226"/>
      <c r="H2065" s="2226"/>
      <c r="I2065" s="2226"/>
      <c r="J2065" s="2226"/>
      <c r="K2065" s="2226"/>
      <c r="L2065" s="2226"/>
      <c r="M2065" s="2226"/>
      <c r="N2065" s="2226"/>
      <c r="O2065" s="2226"/>
      <c r="P2065" s="2226"/>
      <c r="Q2065" s="1855" t="s">
        <v>1208</v>
      </c>
      <c r="R2065" s="1855"/>
    </row>
    <row r="2066" spans="1:18" s="2274" customFormat="1" ht="10.5" customHeight="1">
      <c r="B2066" s="2227" t="s">
        <v>1781</v>
      </c>
      <c r="C2066" s="1818"/>
      <c r="D2066" s="2227"/>
      <c r="E2066" s="2228"/>
      <c r="F2066" s="2228"/>
      <c r="G2066" s="2228"/>
      <c r="H2066" s="2228"/>
      <c r="I2066" s="2228"/>
      <c r="J2066" s="2228"/>
      <c r="K2066" s="2228"/>
      <c r="L2066" s="2228"/>
      <c r="M2066" s="2228"/>
      <c r="N2066" s="2309"/>
      <c r="O2066" s="2309"/>
      <c r="P2066" s="2108"/>
    </row>
    <row r="2067" spans="1:18" s="2274" customFormat="1" ht="22.15" customHeight="1">
      <c r="A2067" s="2223"/>
      <c r="B2067" s="2223"/>
      <c r="C2067" s="2223"/>
      <c r="D2067" s="2223"/>
      <c r="E2067" s="2223"/>
      <c r="F2067" s="2223"/>
      <c r="G2067" s="2223"/>
      <c r="H2067" s="2223"/>
      <c r="I2067" s="2223"/>
      <c r="J2067" s="2223"/>
      <c r="K2067" s="2223"/>
      <c r="L2067" s="2223"/>
      <c r="M2067" s="2223"/>
      <c r="N2067" s="2223"/>
      <c r="O2067" s="2223"/>
      <c r="P2067" s="2223"/>
      <c r="Q2067" s="1855"/>
    </row>
    <row r="2068" spans="1:18" s="2274" customFormat="1" ht="6" customHeight="1">
      <c r="A2068" s="1818"/>
      <c r="B2068" s="1818"/>
      <c r="C2068" s="2228"/>
      <c r="D2068" s="2228"/>
      <c r="E2068" s="2228"/>
      <c r="F2068" s="2228"/>
      <c r="G2068" s="2228"/>
      <c r="H2068" s="2228"/>
      <c r="I2068" s="2228"/>
      <c r="J2068" s="2228"/>
      <c r="K2068" s="2228"/>
      <c r="L2068" s="2228"/>
      <c r="M2068" s="2228"/>
      <c r="N2068" s="2309"/>
      <c r="O2068" s="2309"/>
      <c r="P2068" s="2108"/>
    </row>
    <row r="2069" spans="1:18" s="2284" customFormat="1" ht="14.25" customHeight="1">
      <c r="A2069" s="2431" t="s">
        <v>3525</v>
      </c>
      <c r="B2069" s="2153" t="s">
        <v>4242</v>
      </c>
      <c r="D2069" s="2156"/>
      <c r="E2069" s="2156"/>
      <c r="F2069" s="435"/>
      <c r="G2069" s="435"/>
      <c r="I2069" s="435"/>
      <c r="J2069" s="435"/>
      <c r="K2069" s="435"/>
      <c r="L2069" s="2366" t="str">
        <f>IF(OR($O2069=$M2069,$O2069&lt;=0,$O2069=""),"","* * Check Score! * *")</f>
        <v/>
      </c>
      <c r="M2069" s="2108">
        <v>10</v>
      </c>
      <c r="N2069" s="2108"/>
      <c r="O2069" s="2192">
        <f>'Part IX Scoring Criteria'!O350</f>
        <v>10</v>
      </c>
      <c r="P2069" s="2192">
        <f>'Part IX Scoring Criteria'!P350</f>
        <v>10</v>
      </c>
      <c r="Q2069" s="2108" t="s">
        <v>422</v>
      </c>
    </row>
    <row r="2070" spans="1:18" s="2284" customFormat="1" ht="1.5" customHeight="1">
      <c r="A2070" s="2431"/>
      <c r="B2070" s="2153"/>
      <c r="D2070" s="2156"/>
      <c r="E2070" s="2156"/>
      <c r="F2070" s="435"/>
      <c r="G2070" s="435"/>
      <c r="I2070" s="435"/>
      <c r="J2070" s="435"/>
      <c r="K2070" s="435"/>
      <c r="L2070" s="2366"/>
      <c r="M2070" s="2108"/>
      <c r="N2070" s="2108"/>
      <c r="O2070" s="2108"/>
      <c r="P2070" s="2108"/>
      <c r="Q2070" s="2108"/>
    </row>
    <row r="2071" spans="1:18" s="2284" customFormat="1" ht="12.75" customHeight="1">
      <c r="A2071" s="2431"/>
      <c r="B2071" s="435" t="s">
        <v>3302</v>
      </c>
      <c r="D2071" s="2156"/>
      <c r="E2071" s="2156"/>
      <c r="F2071" s="435"/>
      <c r="G2071" s="435"/>
      <c r="I2071" s="435"/>
      <c r="J2071" s="435"/>
      <c r="K2071" s="435"/>
      <c r="L2071" s="2366"/>
      <c r="M2071" s="2108"/>
      <c r="N2071" s="2108"/>
      <c r="O2071" s="2192">
        <f>'Part IX Scoring Criteria'!O352</f>
        <v>10</v>
      </c>
      <c r="P2071" s="2192">
        <f>'Part IX Scoring Criteria'!P352</f>
        <v>10</v>
      </c>
      <c r="Q2071" s="2108"/>
    </row>
    <row r="2072" spans="1:18" s="2284" customFormat="1" ht="12.75" customHeight="1">
      <c r="A2072" s="2431"/>
      <c r="B2072" s="435" t="s">
        <v>3303</v>
      </c>
      <c r="D2072" s="2156"/>
      <c r="E2072" s="2156"/>
      <c r="F2072" s="435"/>
      <c r="G2072" s="435"/>
      <c r="I2072" s="435"/>
      <c r="J2072" s="435"/>
      <c r="K2072" s="435"/>
      <c r="L2072" s="2366"/>
      <c r="M2072" s="2108"/>
      <c r="N2072" s="2108"/>
      <c r="O2072" s="2371">
        <f>'Part IX Scoring Criteria'!O353</f>
        <v>0</v>
      </c>
      <c r="P2072" s="2192"/>
      <c r="Q2072" s="2108"/>
    </row>
    <row r="2073" spans="1:18" s="2284" customFormat="1" ht="12.75" customHeight="1">
      <c r="A2073" s="2431"/>
      <c r="B2073" s="435" t="s">
        <v>3304</v>
      </c>
      <c r="D2073" s="2156"/>
      <c r="E2073" s="2156"/>
      <c r="F2073" s="435"/>
      <c r="G2073" s="435"/>
      <c r="I2073" s="435"/>
      <c r="J2073" s="435"/>
      <c r="K2073" s="435"/>
      <c r="L2073" s="2366"/>
      <c r="M2073" s="2108"/>
      <c r="N2073" s="2108"/>
      <c r="O2073" s="2371">
        <f>'Part IX Scoring Criteria'!O354</f>
        <v>0</v>
      </c>
      <c r="P2073" s="2192"/>
      <c r="Q2073" s="2108"/>
    </row>
    <row r="2074" spans="1:18" s="2284" customFormat="1" ht="12.75" customHeight="1">
      <c r="A2074" s="2156"/>
      <c r="B2074" s="2156" t="s">
        <v>1781</v>
      </c>
      <c r="C2074" s="1818"/>
      <c r="D2074" s="2156"/>
      <c r="E2074" s="2121"/>
      <c r="F2074" s="2121"/>
      <c r="G2074" s="2121"/>
      <c r="H2074" s="2121"/>
      <c r="I2074" s="2121"/>
      <c r="J2074" s="2121"/>
      <c r="K2074" s="2121"/>
      <c r="L2074" s="2121"/>
      <c r="M2074" s="2121"/>
      <c r="N2074" s="2108"/>
      <c r="O2074" s="2108"/>
      <c r="P2074" s="2108"/>
    </row>
    <row r="2075" spans="1:18" s="2274" customFormat="1" ht="12.75" customHeight="1">
      <c r="A2075" s="2223"/>
      <c r="B2075" s="2223"/>
      <c r="C2075" s="2223"/>
      <c r="D2075" s="2223"/>
      <c r="E2075" s="2223"/>
      <c r="F2075" s="2223"/>
      <c r="G2075" s="2223"/>
      <c r="H2075" s="2223"/>
      <c r="I2075" s="2223"/>
      <c r="J2075" s="2223"/>
      <c r="K2075" s="2223"/>
      <c r="L2075" s="2223"/>
      <c r="M2075" s="2223"/>
      <c r="N2075" s="2223"/>
      <c r="O2075" s="2223"/>
      <c r="P2075" s="2223"/>
      <c r="Q2075" s="1855" t="s">
        <v>1208</v>
      </c>
      <c r="R2075" s="1855"/>
    </row>
    <row r="2076" spans="1:18" s="2274" customFormat="1" ht="6" customHeight="1">
      <c r="A2076" s="2431"/>
      <c r="B2076" s="1818"/>
      <c r="C2076" s="2228"/>
      <c r="D2076" s="2228"/>
      <c r="E2076" s="2228"/>
      <c r="F2076" s="2228"/>
      <c r="G2076" s="2228"/>
      <c r="H2076" s="2228"/>
      <c r="I2076" s="2228"/>
      <c r="J2076" s="2228"/>
      <c r="K2076" s="2228"/>
      <c r="L2076" s="2228"/>
      <c r="M2076" s="2228"/>
      <c r="N2076" s="2309"/>
      <c r="O2076" s="2309"/>
      <c r="P2076" s="2108"/>
    </row>
    <row r="2077" spans="1:18" s="2274" customFormat="1" ht="13.5" customHeight="1">
      <c r="A2077" s="2306" t="s">
        <v>3528</v>
      </c>
      <c r="B2077" s="2153" t="s">
        <v>6515</v>
      </c>
      <c r="C2077" s="2228"/>
      <c r="D2077" s="2228"/>
      <c r="E2077" s="2228"/>
      <c r="F2077" s="2228"/>
      <c r="G2077" s="2170" t="s">
        <v>7172</v>
      </c>
      <c r="H2077" s="2228"/>
      <c r="I2077" s="2121" t="s">
        <v>3988</v>
      </c>
      <c r="J2077" s="2121" t="str">
        <f>'Part I-Project Information'!$H$77</f>
        <v>Family</v>
      </c>
      <c r="K2077" s="2228"/>
      <c r="L2077" s="2228"/>
      <c r="M2077" s="2108">
        <v>2</v>
      </c>
      <c r="N2077" s="2309"/>
      <c r="O2077" s="2371">
        <f>'Part IX Scoring Criteria'!O358</f>
        <v>2</v>
      </c>
      <c r="P2077" s="2192"/>
      <c r="Q2077" s="2108" t="s">
        <v>422</v>
      </c>
      <c r="R2077" s="1858" t="s">
        <v>2555</v>
      </c>
    </row>
    <row r="2078" spans="1:18" s="2274" customFormat="1" ht="12" customHeight="1">
      <c r="A2078" s="2141" t="s">
        <v>1894</v>
      </c>
      <c r="B2078" s="1719" t="s">
        <v>6518</v>
      </c>
      <c r="C2078" s="1852"/>
      <c r="E2078" s="2112"/>
      <c r="F2078" s="435"/>
      <c r="G2078" s="435"/>
      <c r="H2078" s="435"/>
      <c r="K2078" s="2164"/>
      <c r="L2078" s="2438"/>
      <c r="M2078" s="2108">
        <v>2</v>
      </c>
      <c r="N2078" s="2141" t="s">
        <v>1894</v>
      </c>
      <c r="P2078" s="2192"/>
      <c r="Q2078" s="2108"/>
      <c r="R2078" s="1858" t="s">
        <v>2555</v>
      </c>
    </row>
    <row r="2079" spans="1:18" s="2274" customFormat="1" ht="11.25" customHeight="1">
      <c r="A2079" s="2306"/>
      <c r="B2079" s="435" t="s">
        <v>3829</v>
      </c>
      <c r="C2079" s="2228"/>
      <c r="D2079" s="2228"/>
      <c r="E2079" s="2228"/>
      <c r="F2079" s="2228"/>
      <c r="G2079" s="2228"/>
      <c r="H2079" s="2228"/>
      <c r="I2079" s="2228"/>
      <c r="J2079" s="2228"/>
      <c r="K2079" s="2228"/>
      <c r="L2079" s="2413"/>
      <c r="M2079" s="2108"/>
      <c r="N2079" s="2309"/>
      <c r="O2079" s="2230" t="str">
        <f>'Part IX Scoring Criteria'!O360</f>
        <v>Yes</v>
      </c>
      <c r="P2079" s="2164"/>
      <c r="Q2079" s="2108"/>
    </row>
    <row r="2080" spans="1:18" s="2284" customFormat="1" ht="11.25" customHeight="1">
      <c r="A2080" s="2306"/>
      <c r="B2080" s="2121" t="s">
        <v>6521</v>
      </c>
      <c r="D2080" s="2121" t="s">
        <v>6561</v>
      </c>
      <c r="E2080" s="2121"/>
      <c r="F2080" s="2121"/>
      <c r="G2080" s="2121"/>
      <c r="H2080" s="2121"/>
      <c r="K2080" s="2121"/>
      <c r="L2080" s="2121"/>
      <c r="N2080" s="2108"/>
      <c r="O2080" s="435" t="s">
        <v>4265</v>
      </c>
      <c r="P2080" s="435"/>
      <c r="Q2080" s="2108"/>
    </row>
    <row r="2081" spans="1:23" s="2274" customFormat="1" ht="10.5" customHeight="1">
      <c r="A2081" s="2373"/>
      <c r="B2081" s="2270" t="s">
        <v>2325</v>
      </c>
      <c r="C2081" s="2112" t="s">
        <v>6516</v>
      </c>
      <c r="N2081" s="2270" t="s">
        <v>2325</v>
      </c>
      <c r="O2081" s="2446" t="str">
        <f>'Part IX Scoring Criteria'!O362</f>
        <v>Agree</v>
      </c>
      <c r="P2081" s="2372"/>
    </row>
    <row r="2082" spans="1:23" s="2391" customFormat="1" ht="21.75" customHeight="1">
      <c r="A2082" s="2257"/>
      <c r="B2082" s="2224" t="s">
        <v>2326</v>
      </c>
      <c r="C2082" s="2223" t="s">
        <v>6517</v>
      </c>
      <c r="D2082" s="2223"/>
      <c r="E2082" s="2223"/>
      <c r="F2082" s="2223"/>
      <c r="G2082" s="2223"/>
      <c r="H2082" s="2223"/>
      <c r="I2082" s="2223"/>
      <c r="J2082" s="2223"/>
      <c r="K2082" s="2223"/>
      <c r="L2082" s="2223"/>
      <c r="M2082" s="2223"/>
      <c r="N2082" s="2224" t="s">
        <v>2326</v>
      </c>
      <c r="O2082" s="2447" t="str">
        <f>'Part IX Scoring Criteria'!O363</f>
        <v>Agree</v>
      </c>
      <c r="P2082" s="2028"/>
    </row>
    <row r="2083" spans="1:23" s="2391" customFormat="1" ht="21.75" customHeight="1">
      <c r="A2083" s="2257"/>
      <c r="B2083" s="2224" t="s">
        <v>2327</v>
      </c>
      <c r="C2083" s="2223" t="s">
        <v>6519</v>
      </c>
      <c r="D2083" s="2223"/>
      <c r="E2083" s="2223"/>
      <c r="F2083" s="2223"/>
      <c r="G2083" s="2223"/>
      <c r="H2083" s="2223"/>
      <c r="I2083" s="2223"/>
      <c r="J2083" s="2223"/>
      <c r="K2083" s="2223"/>
      <c r="L2083" s="2223"/>
      <c r="M2083" s="2223"/>
      <c r="N2083" s="2224" t="s">
        <v>2327</v>
      </c>
      <c r="O2083" s="2447" t="str">
        <f>'Part IX Scoring Criteria'!O364</f>
        <v>Agree</v>
      </c>
      <c r="P2083" s="2028"/>
    </row>
    <row r="2084" spans="1:23" s="2284" customFormat="1" ht="11.25" customHeight="1">
      <c r="B2084" s="2255" t="s">
        <v>2328</v>
      </c>
      <c r="C2084" s="435" t="s">
        <v>6520</v>
      </c>
      <c r="N2084" s="2255" t="s">
        <v>2328</v>
      </c>
      <c r="O2084" s="2136" t="str">
        <f>'Part IX Scoring Criteria'!O365</f>
        <v>Agree</v>
      </c>
      <c r="P2084" s="2044"/>
    </row>
    <row r="2085" spans="1:23" s="2284" customFormat="1" ht="11.25" customHeight="1">
      <c r="A2085" s="2306"/>
      <c r="B2085" s="2121" t="s">
        <v>6522</v>
      </c>
      <c r="D2085" s="2121"/>
      <c r="E2085" s="2121"/>
      <c r="F2085" s="2121"/>
      <c r="G2085" s="2121"/>
      <c r="H2085" s="2121" t="s">
        <v>6561</v>
      </c>
      <c r="K2085" s="2121"/>
      <c r="L2085" s="2121"/>
      <c r="M2085" s="2108"/>
      <c r="N2085" s="2108"/>
      <c r="O2085" s="2112" t="s">
        <v>4265</v>
      </c>
      <c r="P2085" s="2112"/>
      <c r="Q2085" s="2108"/>
    </row>
    <row r="2086" spans="1:23" s="2274" customFormat="1" ht="12.75" customHeight="1">
      <c r="A2086" s="2373"/>
      <c r="B2086" s="2270" t="s">
        <v>2325</v>
      </c>
      <c r="C2086" s="2298" t="s">
        <v>6523</v>
      </c>
      <c r="D2086" s="2298"/>
      <c r="E2086" s="2298"/>
      <c r="F2086" s="2298"/>
      <c r="G2086" s="2298"/>
      <c r="H2086" s="2298"/>
      <c r="I2086" s="2298"/>
      <c r="J2086" s="2298"/>
      <c r="K2086" s="2298"/>
      <c r="L2086" s="2298"/>
      <c r="N2086" s="2270" t="s">
        <v>2325</v>
      </c>
      <c r="O2086" s="2446" t="str">
        <f>'Part IX Scoring Criteria'!O367</f>
        <v>Agree</v>
      </c>
      <c r="P2086" s="2372"/>
    </row>
    <row r="2087" spans="1:23" s="2274" customFormat="1" ht="12.75" customHeight="1">
      <c r="A2087" s="2373"/>
      <c r="B2087" s="2270" t="s">
        <v>2326</v>
      </c>
      <c r="C2087" s="2298" t="s">
        <v>6524</v>
      </c>
      <c r="D2087" s="2298"/>
      <c r="E2087" s="2298"/>
      <c r="F2087" s="2298"/>
      <c r="G2087" s="2298"/>
      <c r="H2087" s="2298"/>
      <c r="I2087" s="2298"/>
      <c r="J2087" s="2298"/>
      <c r="K2087" s="2298"/>
      <c r="L2087" s="2298"/>
      <c r="M2087" s="2112"/>
      <c r="N2087" s="2270" t="s">
        <v>2326</v>
      </c>
      <c r="O2087" s="2446" t="str">
        <f>'Part IX Scoring Criteria'!O368</f>
        <v>Agree</v>
      </c>
      <c r="P2087" s="2372"/>
    </row>
    <row r="2088" spans="1:23" s="1818" customFormat="1" ht="5.25" customHeight="1">
      <c r="A2088" s="2164"/>
      <c r="B2088" s="2228"/>
      <c r="C2088" s="2121"/>
      <c r="D2088" s="2121"/>
      <c r="E2088" s="2121"/>
      <c r="F2088" s="2121"/>
      <c r="G2088" s="2121"/>
      <c r="H2088" s="2121"/>
      <c r="I2088" s="2121"/>
      <c r="J2088" s="2121"/>
      <c r="K2088" s="2121"/>
      <c r="L2088" s="2121"/>
      <c r="M2088" s="2121"/>
      <c r="Q2088" s="2223"/>
      <c r="R2088" s="2274"/>
      <c r="S2088" s="2274"/>
      <c r="T2088" s="2274"/>
      <c r="U2088" s="2274"/>
      <c r="V2088" s="2436"/>
      <c r="W2088" s="2436"/>
    </row>
    <row r="2089" spans="1:23" s="1852" customFormat="1" ht="11.25" customHeight="1">
      <c r="A2089" s="2141" t="s">
        <v>1896</v>
      </c>
      <c r="B2089" s="1719" t="s">
        <v>6525</v>
      </c>
      <c r="D2089" s="1818"/>
      <c r="M2089" s="2108">
        <v>2</v>
      </c>
      <c r="N2089" s="2141" t="s">
        <v>1896</v>
      </c>
      <c r="O2089" s="2371">
        <f>'Part IX Scoring Criteria'!O370</f>
        <v>0</v>
      </c>
      <c r="P2089" s="2192"/>
      <c r="Q2089" s="1858" t="s">
        <v>2555</v>
      </c>
      <c r="S2089" s="2274"/>
      <c r="T2089" s="2274"/>
      <c r="U2089" s="2274"/>
    </row>
    <row r="2090" spans="1:23" s="1852" customFormat="1" ht="12" customHeight="1">
      <c r="A2090" s="2255"/>
      <c r="B2090" s="2121" t="s">
        <v>6561</v>
      </c>
      <c r="C2090" s="2255"/>
      <c r="D2090" s="2255"/>
      <c r="E2090" s="2255"/>
      <c r="F2090" s="2255"/>
      <c r="J2090" s="2223"/>
      <c r="K2090" s="2223"/>
      <c r="L2090" s="2223"/>
      <c r="N2090" s="2051"/>
      <c r="O2090" s="2112" t="s">
        <v>4265</v>
      </c>
      <c r="P2090" s="2112"/>
      <c r="Q2090" s="1912"/>
      <c r="R2090" s="2274"/>
      <c r="S2090" s="2274"/>
      <c r="T2090" s="2274"/>
      <c r="U2090" s="2274"/>
    </row>
    <row r="2091" spans="1:23" s="2391" customFormat="1" ht="11.25" customHeight="1">
      <c r="A2091" s="2448"/>
      <c r="B2091" s="2392" t="s">
        <v>1897</v>
      </c>
      <c r="C2091" s="2449" t="s">
        <v>6562</v>
      </c>
      <c r="D2091" s="2449"/>
      <c r="E2091" s="2449"/>
      <c r="F2091" s="2449"/>
      <c r="G2091" s="2449"/>
      <c r="H2091" s="2449"/>
      <c r="I2091" s="2449"/>
      <c r="J2091" s="2449"/>
      <c r="K2091" s="2449"/>
      <c r="L2091" s="2449"/>
      <c r="M2091" s="2449"/>
      <c r="N2091" s="2359" t="s">
        <v>1897</v>
      </c>
      <c r="O2091" s="2447" t="str">
        <f>'Part IX Scoring Criteria'!O372</f>
        <v>N/a</v>
      </c>
      <c r="P2091" s="2028"/>
      <c r="Q2091" s="2309"/>
    </row>
    <row r="2092" spans="1:23" s="2284" customFormat="1" ht="11.25" customHeight="1">
      <c r="A2092" s="2306"/>
      <c r="B2092" s="2392" t="s">
        <v>1899</v>
      </c>
      <c r="C2092" s="2449" t="s">
        <v>6563</v>
      </c>
      <c r="D2092" s="2449"/>
      <c r="E2092" s="2449"/>
      <c r="F2092" s="2449"/>
      <c r="G2092" s="2449"/>
      <c r="H2092" s="2449"/>
      <c r="I2092" s="2449"/>
      <c r="J2092" s="2449"/>
      <c r="K2092" s="2449"/>
      <c r="L2092" s="2449"/>
      <c r="M2092" s="2449"/>
      <c r="N2092" s="2359" t="s">
        <v>1899</v>
      </c>
      <c r="O2092" s="2447" t="str">
        <f>'Part IX Scoring Criteria'!O373</f>
        <v>N/a</v>
      </c>
      <c r="P2092" s="2028"/>
      <c r="Q2092" s="2108"/>
    </row>
    <row r="2093" spans="1:23" s="2274" customFormat="1" ht="11.25" customHeight="1">
      <c r="A2093" s="1818"/>
      <c r="B2093" s="2156" t="s">
        <v>3374</v>
      </c>
      <c r="C2093" s="1818"/>
      <c r="D2093" s="1719"/>
      <c r="E2093" s="1719"/>
      <c r="F2093" s="1719"/>
      <c r="G2093" s="1719"/>
      <c r="H2093" s="435"/>
      <c r="I2093" s="435"/>
      <c r="J2093" s="435"/>
      <c r="K2093" s="435"/>
      <c r="M2093" s="2108"/>
      <c r="N2093" s="2051"/>
      <c r="O2093" s="2192"/>
      <c r="P2093" s="2051"/>
    </row>
    <row r="2094" spans="1:23" s="2274" customFormat="1" ht="66.599999999999994" customHeight="1">
      <c r="A2094" s="2226" t="str">
        <f>'Part IX Scoring Criteria'!A375</f>
        <v xml:space="preserve">The Peaks at Turnberry outside of Rincon located in Effingham County is a 48-unit multifamily development. In order to meet the DCA requirements for sufficient number of one-bedroom units without PBRA as outlined in Exhibit B of Appendix II: Scoring, there will be 12 one-bedroom units. This number of one-bedroom units exceeds the 20% required for family tenancy with a total of 25% one-bedroom units.  The property is located near public transportation that operates frequently; Coastal Regional Coaches of Georgia provides rural public transit in Effingham County. Coastal Regional Coaches of Georgia is a demand-response, advance reservation service and therefore is in proximity to The Peaks at Turnberry. The Peaks at Turnberry is located centrally in Effingham County. Its location allows for access to many healthcare services that are distinctly relevant to the family population that will be residents at the development. The health care providers consist of Effingham Family Medicine, Howard Family Dentistry, Rincon Medical Center Urgent Care, Towne Pharmacy of Rincon, and Kids First Pediatrics. All services are within 2 miles of the proposed development site and accessible by public transportation provided by Coastal Regional Coaches of Georgia. It is important to note that the property is located near retail amenities as it scores maximum points in Desirable/Undesirable Activities, subsection A. Desirable Activities. Effingham County exhibits a high concentration of both supportive housing needs and relevant services - many of these services are facilited through a local non-profit, Effingham Family Promise. For almost 40 years Family Promise has been providing support and shelter for families in danger of becoming homeless or are homeless. Effingham Family Promise’s mission is to help homes and low-income families achieve decent, safe, affordable housing while achieving sustainable independence by cooking and serving meals, assisting with resume writing or financial counseling, locating child care services, providing overnight shelter, and general assistance to families in need. We are proud to state that the applicant currently owns 5 RAD Conversions.  Vantage Management also manages several properties with an 811 program/set aside. The selected management company has worked with RAD PBRA, RAD PBV, Tenant Based Housing Choice Vouchers, 811 and the HOME program. Additionally, they have experience owning and/or managing properties serving individuals with disabilities, the formerly homeless, or other supportive housing. All of the applicants owned developments have units set aside for mobility/sensory impaired and/or homeless. Finally, please note that applicant also has long-term experience working with a referring state agency. The selected management company, Vantage Management Company, LLC, is in compliance with DCA on all developments.     </v>
      </c>
      <c r="B2094" s="2226"/>
      <c r="C2094" s="2226"/>
      <c r="D2094" s="2226"/>
      <c r="E2094" s="2226"/>
      <c r="F2094" s="2226"/>
      <c r="G2094" s="2226"/>
      <c r="H2094" s="2226"/>
      <c r="I2094" s="2226"/>
      <c r="J2094" s="2226"/>
      <c r="K2094" s="2226"/>
      <c r="L2094" s="2226"/>
      <c r="M2094" s="2226"/>
      <c r="N2094" s="2226"/>
      <c r="O2094" s="2226"/>
      <c r="P2094" s="2226"/>
      <c r="Q2094" s="1855" t="s">
        <v>1208</v>
      </c>
      <c r="R2094" s="1855"/>
    </row>
    <row r="2095" spans="1:23" s="2274" customFormat="1" ht="10.5" customHeight="1">
      <c r="B2095" s="2227" t="s">
        <v>1781</v>
      </c>
      <c r="C2095" s="1818"/>
      <c r="D2095" s="2227"/>
      <c r="E2095" s="2228"/>
      <c r="F2095" s="2228"/>
      <c r="G2095" s="2228"/>
      <c r="H2095" s="2228"/>
      <c r="I2095" s="2228"/>
      <c r="J2095" s="2228"/>
      <c r="K2095" s="2228"/>
      <c r="L2095" s="2228"/>
      <c r="M2095" s="2228"/>
      <c r="N2095" s="2309"/>
      <c r="O2095" s="2309"/>
      <c r="P2095" s="2108"/>
    </row>
    <row r="2096" spans="1:23" s="2274" customFormat="1" ht="22.15" customHeight="1">
      <c r="A2096" s="2223"/>
      <c r="B2096" s="2223"/>
      <c r="C2096" s="2223"/>
      <c r="D2096" s="2223"/>
      <c r="E2096" s="2223"/>
      <c r="F2096" s="2223"/>
      <c r="G2096" s="2223"/>
      <c r="H2096" s="2223"/>
      <c r="I2096" s="2223"/>
      <c r="J2096" s="2223"/>
      <c r="K2096" s="2223"/>
      <c r="L2096" s="2223"/>
      <c r="M2096" s="2223"/>
      <c r="N2096" s="2223"/>
      <c r="O2096" s="2223"/>
      <c r="P2096" s="2223"/>
      <c r="Q2096" s="1855"/>
    </row>
    <row r="2097" spans="1:18" s="2274" customFormat="1" ht="4.5" customHeight="1">
      <c r="A2097" s="2431"/>
      <c r="B2097" s="1818"/>
      <c r="C2097" s="2228"/>
      <c r="D2097" s="2228"/>
      <c r="E2097" s="2228"/>
      <c r="F2097" s="2228"/>
      <c r="G2097" s="2228"/>
      <c r="H2097" s="2228"/>
      <c r="I2097" s="2228"/>
      <c r="J2097" s="2228"/>
      <c r="K2097" s="2228"/>
      <c r="L2097" s="2228"/>
      <c r="M2097" s="2228"/>
      <c r="N2097" s="2309"/>
      <c r="O2097" s="2309"/>
      <c r="P2097" s="2108"/>
    </row>
    <row r="2098" spans="1:18" s="2284" customFormat="1" ht="11.25" customHeight="1">
      <c r="A2098" s="2431" t="s">
        <v>3529</v>
      </c>
      <c r="B2098" s="2153" t="s">
        <v>6527</v>
      </c>
      <c r="D2098" s="2156"/>
      <c r="E2098" s="2156"/>
      <c r="F2098" s="435"/>
      <c r="M2098" s="2108">
        <v>6</v>
      </c>
      <c r="N2098" s="2108"/>
      <c r="O2098" s="2371">
        <f>'Part IX Scoring Criteria'!O379</f>
        <v>0</v>
      </c>
      <c r="P2098" s="2192"/>
      <c r="Q2098" s="2108" t="s">
        <v>422</v>
      </c>
      <c r="R2098" s="1858" t="s">
        <v>2555</v>
      </c>
    </row>
    <row r="2099" spans="1:18" s="2284" customFormat="1" ht="10.5" customHeight="1">
      <c r="A2099" s="2156"/>
      <c r="B2099" s="2156" t="s">
        <v>1781</v>
      </c>
      <c r="C2099" s="1818"/>
      <c r="D2099" s="2156"/>
      <c r="E2099" s="2121"/>
      <c r="F2099" s="2121"/>
      <c r="G2099" s="2121"/>
      <c r="H2099" s="2121"/>
      <c r="I2099" s="2121"/>
      <c r="J2099" s="2121"/>
      <c r="K2099" s="2121"/>
      <c r="L2099" s="2121"/>
      <c r="M2099" s="2121"/>
      <c r="N2099" s="2108"/>
      <c r="O2099" s="2108"/>
      <c r="P2099" s="2108"/>
    </row>
    <row r="2100" spans="1:18" s="2274" customFormat="1" ht="10.9" customHeight="1">
      <c r="A2100" s="2223"/>
      <c r="B2100" s="2223"/>
      <c r="C2100" s="2223"/>
      <c r="D2100" s="2223"/>
      <c r="E2100" s="2223"/>
      <c r="F2100" s="2223"/>
      <c r="G2100" s="2223"/>
      <c r="H2100" s="2223"/>
      <c r="I2100" s="2223"/>
      <c r="J2100" s="2223"/>
      <c r="K2100" s="2223"/>
      <c r="L2100" s="2223"/>
      <c r="M2100" s="2223"/>
      <c r="N2100" s="2223"/>
      <c r="O2100" s="2223"/>
      <c r="P2100" s="2223"/>
      <c r="Q2100" s="1855" t="s">
        <v>1208</v>
      </c>
      <c r="R2100" s="1855"/>
    </row>
    <row r="2101" spans="1:18" s="2274" customFormat="1" ht="4.5" customHeight="1">
      <c r="A2101" s="2431"/>
      <c r="B2101" s="1818"/>
      <c r="C2101" s="2228"/>
      <c r="D2101" s="2228"/>
      <c r="E2101" s="2228"/>
      <c r="F2101" s="2228"/>
      <c r="G2101" s="2228"/>
      <c r="H2101" s="2228"/>
      <c r="I2101" s="2228"/>
      <c r="J2101" s="2228"/>
      <c r="K2101" s="2228"/>
      <c r="L2101" s="2228"/>
      <c r="M2101" s="2228"/>
      <c r="N2101" s="2309"/>
      <c r="O2101" s="2309"/>
      <c r="P2101" s="2108"/>
    </row>
    <row r="2102" spans="1:18" s="2284" customFormat="1" ht="11.25" customHeight="1">
      <c r="A2102" s="2431" t="s">
        <v>3530</v>
      </c>
      <c r="B2102" s="2153" t="s">
        <v>6528</v>
      </c>
      <c r="D2102" s="2156"/>
      <c r="E2102" s="2156"/>
      <c r="F2102" s="435"/>
      <c r="G2102" s="435"/>
      <c r="M2102" s="2108">
        <v>6</v>
      </c>
      <c r="N2102" s="2108"/>
      <c r="O2102" s="2371">
        <f>'Part IX Scoring Criteria'!O383</f>
        <v>0</v>
      </c>
      <c r="P2102" s="2192"/>
      <c r="Q2102" s="2108" t="s">
        <v>422</v>
      </c>
      <c r="R2102" s="1858" t="s">
        <v>2555</v>
      </c>
    </row>
    <row r="2103" spans="1:18" s="2284" customFormat="1" ht="10.5" customHeight="1">
      <c r="A2103" s="2156"/>
      <c r="B2103" s="2156" t="s">
        <v>1781</v>
      </c>
      <c r="C2103" s="1818"/>
      <c r="D2103" s="2156"/>
      <c r="E2103" s="2121"/>
      <c r="F2103" s="2121"/>
      <c r="G2103" s="2121"/>
      <c r="H2103" s="2121"/>
      <c r="I2103" s="2121"/>
      <c r="J2103" s="2121"/>
      <c r="K2103" s="2121"/>
      <c r="L2103" s="2121"/>
      <c r="M2103" s="2121"/>
      <c r="N2103" s="2108"/>
      <c r="O2103" s="2108"/>
      <c r="P2103" s="2108"/>
    </row>
    <row r="2104" spans="1:18" s="2274" customFormat="1" ht="10.9" customHeight="1">
      <c r="A2104" s="2223"/>
      <c r="B2104" s="2223"/>
      <c r="C2104" s="2223"/>
      <c r="D2104" s="2223"/>
      <c r="E2104" s="2223"/>
      <c r="F2104" s="2223"/>
      <c r="G2104" s="2223"/>
      <c r="H2104" s="2223"/>
      <c r="I2104" s="2223"/>
      <c r="J2104" s="2223"/>
      <c r="K2104" s="2223"/>
      <c r="L2104" s="2223"/>
      <c r="M2104" s="2223"/>
      <c r="N2104" s="2223"/>
      <c r="O2104" s="2223"/>
      <c r="P2104" s="2223"/>
      <c r="Q2104" s="1855" t="s">
        <v>1208</v>
      </c>
      <c r="R2104" s="1855"/>
    </row>
    <row r="2105" spans="1:18" s="2274" customFormat="1" ht="4.5" customHeight="1">
      <c r="A2105" s="2431"/>
      <c r="B2105" s="1818"/>
      <c r="C2105" s="2228"/>
      <c r="D2105" s="2228"/>
      <c r="E2105" s="2228"/>
      <c r="F2105" s="2228"/>
      <c r="G2105" s="2228"/>
      <c r="H2105" s="2228"/>
      <c r="I2105" s="2228"/>
      <c r="J2105" s="2228"/>
      <c r="K2105" s="2228"/>
      <c r="L2105" s="2228"/>
      <c r="M2105" s="2228"/>
      <c r="N2105" s="2309"/>
      <c r="O2105" s="2309"/>
      <c r="P2105" s="2108"/>
    </row>
    <row r="2106" spans="1:18" s="2284" customFormat="1" ht="11.25" customHeight="1">
      <c r="A2106" s="2431" t="s">
        <v>3531</v>
      </c>
      <c r="B2106" s="2153" t="s">
        <v>6529</v>
      </c>
      <c r="D2106" s="2156"/>
      <c r="M2106" s="2108">
        <v>2</v>
      </c>
      <c r="N2106" s="2108"/>
      <c r="O2106" s="2371">
        <f>'Part IX Scoring Criteria'!O387</f>
        <v>0</v>
      </c>
      <c r="P2106" s="2192"/>
      <c r="Q2106" s="2108" t="s">
        <v>422</v>
      </c>
      <c r="R2106" s="1858" t="s">
        <v>2555</v>
      </c>
    </row>
    <row r="2107" spans="1:18" s="2284" customFormat="1" ht="10.5" customHeight="1">
      <c r="A2107" s="2156"/>
      <c r="B2107" s="2156" t="s">
        <v>1781</v>
      </c>
      <c r="C2107" s="1818"/>
      <c r="D2107" s="2156"/>
      <c r="E2107" s="2121"/>
      <c r="F2107" s="2121"/>
      <c r="G2107" s="2121"/>
      <c r="H2107" s="2121"/>
      <c r="I2107" s="2121"/>
      <c r="J2107" s="2121"/>
      <c r="K2107" s="2121"/>
      <c r="L2107" s="2121"/>
      <c r="M2107" s="2121"/>
      <c r="N2107" s="2108"/>
      <c r="O2107" s="2108"/>
      <c r="P2107" s="2108"/>
    </row>
    <row r="2108" spans="1:18" s="2274" customFormat="1" ht="10.9" customHeight="1">
      <c r="A2108" s="2223"/>
      <c r="B2108" s="2223"/>
      <c r="C2108" s="2223"/>
      <c r="D2108" s="2223"/>
      <c r="E2108" s="2223"/>
      <c r="F2108" s="2223"/>
      <c r="G2108" s="2223"/>
      <c r="H2108" s="2223"/>
      <c r="I2108" s="2223"/>
      <c r="J2108" s="2223"/>
      <c r="K2108" s="2223"/>
      <c r="L2108" s="2223"/>
      <c r="M2108" s="2223"/>
      <c r="N2108" s="2223"/>
      <c r="O2108" s="2223"/>
      <c r="P2108" s="2223"/>
      <c r="Q2108" s="1855" t="s">
        <v>1208</v>
      </c>
      <c r="R2108" s="1855"/>
    </row>
    <row r="2109" spans="1:18" s="2274" customFormat="1" ht="4.5" customHeight="1">
      <c r="A2109" s="2431"/>
      <c r="B2109" s="1818"/>
      <c r="C2109" s="2228"/>
      <c r="D2109" s="2228"/>
      <c r="E2109" s="2228"/>
      <c r="F2109" s="2228"/>
      <c r="G2109" s="2228"/>
      <c r="H2109" s="2228"/>
      <c r="I2109" s="2228"/>
      <c r="J2109" s="2228"/>
      <c r="K2109" s="2228"/>
      <c r="L2109" s="2228"/>
      <c r="M2109" s="2228"/>
      <c r="N2109" s="2309"/>
      <c r="O2109" s="2309"/>
      <c r="P2109" s="2108"/>
    </row>
    <row r="2110" spans="1:18" s="2284" customFormat="1" ht="11.25" customHeight="1">
      <c r="A2110" s="2431" t="s">
        <v>3532</v>
      </c>
      <c r="B2110" s="2153" t="s">
        <v>6530</v>
      </c>
      <c r="D2110" s="2156"/>
      <c r="M2110" s="2108">
        <v>6</v>
      </c>
      <c r="N2110" s="2108"/>
      <c r="O2110" s="2371">
        <f>'Part IX Scoring Criteria'!O391</f>
        <v>0</v>
      </c>
      <c r="P2110" s="2192"/>
      <c r="Q2110" s="2108" t="s">
        <v>422</v>
      </c>
      <c r="R2110" s="1858" t="s">
        <v>2555</v>
      </c>
    </row>
    <row r="2111" spans="1:18" s="2284" customFormat="1" ht="10.5" customHeight="1">
      <c r="A2111" s="2156"/>
      <c r="B2111" s="2156" t="s">
        <v>1781</v>
      </c>
      <c r="C2111" s="1818"/>
      <c r="D2111" s="2156"/>
      <c r="E2111" s="2121"/>
      <c r="F2111" s="2121"/>
      <c r="G2111" s="2121"/>
      <c r="H2111" s="2121"/>
      <c r="I2111" s="2121"/>
      <c r="J2111" s="2121"/>
      <c r="K2111" s="2121"/>
      <c r="L2111" s="2121"/>
      <c r="M2111" s="2121"/>
      <c r="N2111" s="2108"/>
      <c r="O2111" s="2108"/>
      <c r="P2111" s="2108"/>
    </row>
    <row r="2112" spans="1:18" s="2274" customFormat="1" ht="10.9" customHeight="1">
      <c r="A2112" s="2223"/>
      <c r="B2112" s="2223"/>
      <c r="C2112" s="2223"/>
      <c r="D2112" s="2223"/>
      <c r="E2112" s="2223"/>
      <c r="F2112" s="2223"/>
      <c r="G2112" s="2223"/>
      <c r="H2112" s="2223"/>
      <c r="I2112" s="2223"/>
      <c r="J2112" s="2223"/>
      <c r="K2112" s="2223"/>
      <c r="L2112" s="2223"/>
      <c r="M2112" s="2223"/>
      <c r="N2112" s="2223"/>
      <c r="O2112" s="2223"/>
      <c r="P2112" s="2223"/>
      <c r="Q2112" s="1855" t="s">
        <v>1208</v>
      </c>
      <c r="R2112" s="1855"/>
    </row>
    <row r="2113" spans="1:18" s="2274" customFormat="1" ht="15">
      <c r="A2113" s="2431"/>
      <c r="B2113" s="1818"/>
      <c r="C2113" s="2228"/>
      <c r="D2113" s="2228"/>
      <c r="E2113" s="2228"/>
      <c r="F2113" s="2228"/>
      <c r="G2113" s="2228"/>
      <c r="H2113" s="2228"/>
      <c r="I2113" s="2228"/>
      <c r="J2113" s="2228"/>
      <c r="K2113" s="2228"/>
      <c r="L2113" s="2228"/>
      <c r="M2113" s="2228"/>
      <c r="N2113" s="2309"/>
      <c r="O2113" s="2309"/>
      <c r="P2113" s="2108"/>
    </row>
    <row r="2114" spans="1:18" s="2274" customFormat="1" ht="13.5" customHeight="1">
      <c r="A2114" s="2431" t="s">
        <v>3533</v>
      </c>
      <c r="B2114" s="2153" t="s">
        <v>6851</v>
      </c>
      <c r="C2114" s="2112"/>
      <c r="D2114" s="2112"/>
      <c r="E2114" s="435"/>
      <c r="G2114" s="2112"/>
      <c r="I2114" s="1967" t="s">
        <v>6533</v>
      </c>
      <c r="J2114" s="2228"/>
      <c r="L2114" s="2117">
        <f>F1789</f>
        <v>0</v>
      </c>
      <c r="M2114" s="2108">
        <v>16</v>
      </c>
      <c r="N2114" s="2108"/>
      <c r="O2114" s="2371">
        <f>'Part IX Scoring Criteria'!O395</f>
        <v>0</v>
      </c>
      <c r="P2114" s="2192"/>
      <c r="Q2114" s="2108" t="s">
        <v>422</v>
      </c>
    </row>
    <row r="2115" spans="1:18" s="2274" customFormat="1" ht="15">
      <c r="B2115" s="2227" t="s">
        <v>1781</v>
      </c>
      <c r="C2115" s="1818"/>
      <c r="D2115" s="2227"/>
      <c r="E2115" s="2228"/>
      <c r="F2115" s="2228"/>
      <c r="G2115" s="2228"/>
      <c r="H2115" s="2228"/>
      <c r="I2115" s="2228"/>
      <c r="J2115" s="2228"/>
      <c r="K2115" s="2228"/>
      <c r="L2115" s="2228"/>
      <c r="M2115" s="2228"/>
      <c r="N2115" s="2309"/>
      <c r="O2115" s="2309"/>
      <c r="P2115" s="2108"/>
    </row>
    <row r="2116" spans="1:18" s="2274" customFormat="1" ht="12.75" customHeight="1">
      <c r="A2116" s="2223"/>
      <c r="B2116" s="2223"/>
      <c r="C2116" s="2223"/>
      <c r="D2116" s="2223"/>
      <c r="E2116" s="2223"/>
      <c r="F2116" s="2223"/>
      <c r="G2116" s="2223"/>
      <c r="H2116" s="2223"/>
      <c r="I2116" s="2223"/>
      <c r="J2116" s="2223"/>
      <c r="K2116" s="2223"/>
      <c r="L2116" s="2223"/>
      <c r="M2116" s="2223"/>
      <c r="N2116" s="2223"/>
      <c r="O2116" s="2223"/>
      <c r="P2116" s="2223"/>
      <c r="Q2116" s="1855"/>
    </row>
    <row r="2117" spans="1:18" s="1852" customFormat="1">
      <c r="N2117" s="2051"/>
      <c r="O2117" s="2051"/>
      <c r="P2117" s="2051"/>
    </row>
    <row r="2118" spans="1:18" s="2274" customFormat="1" ht="15">
      <c r="A2118" s="1818"/>
      <c r="C2118" s="2228"/>
      <c r="D2118" s="2228"/>
      <c r="E2118" s="2228"/>
      <c r="F2118" s="2228"/>
      <c r="G2118" s="2228"/>
      <c r="H2118" s="2228"/>
      <c r="I2118" s="2228"/>
      <c r="J2118" s="2228"/>
      <c r="K2118" s="2228"/>
      <c r="L2118" s="2228"/>
      <c r="M2118" s="2228"/>
      <c r="N2118" s="2309"/>
      <c r="O2118" s="2309"/>
      <c r="P2118" s="2108"/>
    </row>
    <row r="2119" spans="1:18" s="2274" customFormat="1" ht="10.5" customHeight="1">
      <c r="A2119" s="2431"/>
      <c r="B2119" s="1818"/>
      <c r="C2119" s="2228"/>
      <c r="D2119" s="2228"/>
      <c r="E2119" s="2228"/>
      <c r="F2119" s="2228"/>
      <c r="G2119" s="2228"/>
      <c r="H2119" s="2228"/>
      <c r="I2119" s="2228"/>
      <c r="J2119" s="2228"/>
      <c r="K2119" s="2228"/>
      <c r="L2119" s="2228"/>
      <c r="M2119" s="2228"/>
      <c r="N2119" s="2309"/>
      <c r="O2119" s="2309"/>
      <c r="P2119" s="2108"/>
    </row>
    <row r="2120" spans="1:18" s="1818" customFormat="1" ht="12.75" customHeight="1">
      <c r="A2120" s="2431"/>
      <c r="B2120" s="2450"/>
      <c r="D2120" s="1852"/>
      <c r="E2120" s="1852"/>
      <c r="F2120" s="2274"/>
      <c r="G2120" s="2244" t="s">
        <v>408</v>
      </c>
      <c r="I2120" s="2244"/>
      <c r="J2120" s="2244"/>
      <c r="K2120" s="2244"/>
      <c r="L2120" s="2284"/>
      <c r="M2120" s="2451">
        <f>IF(AND(P1752="9%",M1762="New Supply"),G1777,IF(AND(P1752="4%",M1762="New Supply"),H1777,IF(AND(P1752="9%",M1762="Rehabilitation"),I1777,IF(AND(P1752="4%",M1762="Rehabilitation"),J1777,K1777))))</f>
        <v>107</v>
      </c>
      <c r="N2120" s="2451"/>
      <c r="O2120" s="2452">
        <f>-O1727-O1733+O1778+O1803+O1817+O1827+O1866+O1882+O1918+O1939+O1947+O1956+O1966+O1975+O2005+O2013+O2049+O2069+O2077+O2098+O2102+O2106+O2110+O2114</f>
        <v>67</v>
      </c>
      <c r="P2120" s="2452">
        <f>-P1727-P1733+P1778+P1803+P1817+P1827+P1866+P1882+P1903+P1918+P1939+P1947+P1956+P1966+P1975+P1988+P2005+P2013+P2049+P2069+P2077+P2098+P2102+P2106+P2110+P2114</f>
        <v>20</v>
      </c>
    </row>
    <row r="2121" spans="1:18" s="1852" customFormat="1" ht="6.75" customHeight="1">
      <c r="A2121" s="2274"/>
      <c r="B2121" s="2450"/>
      <c r="C2121" s="2274"/>
      <c r="F2121" s="2121"/>
      <c r="G2121" s="2121"/>
      <c r="H2121" s="2221"/>
      <c r="I2121" s="2221"/>
      <c r="L2121" s="2274"/>
      <c r="N2121" s="2108"/>
      <c r="O2121" s="2108"/>
      <c r="P2121" s="2192"/>
    </row>
    <row r="2122" spans="1:18" s="2274" customFormat="1" ht="22.5" customHeight="1">
      <c r="A2122" s="2156" t="s">
        <v>7100</v>
      </c>
      <c r="B2122" s="2156"/>
      <c r="C2122" s="2156"/>
      <c r="D2122" s="2156"/>
      <c r="E2122" s="2156"/>
      <c r="F2122" s="2156"/>
      <c r="G2122" s="2156"/>
      <c r="H2122" s="2156"/>
      <c r="I2122" s="2156"/>
      <c r="J2122" s="2156"/>
      <c r="K2122" s="2156"/>
      <c r="L2122" s="2156"/>
      <c r="M2122" s="2156"/>
      <c r="N2122" s="2156"/>
      <c r="O2122" s="2156"/>
      <c r="P2122" s="2156"/>
    </row>
    <row r="2123" spans="1:18" s="2274" customFormat="1" ht="409.15" customHeight="1">
      <c r="A2123" s="2226" t="str">
        <f>'Part IX Scoring Criteria'!A404</f>
        <v xml:space="preserve">The applicant has made all of the scoring comments we feel as necessary to explain our self-score. All backup documentation for scoring justifications has been included within the appropriate folders. </v>
      </c>
      <c r="B2123" s="2226"/>
      <c r="C2123" s="2226"/>
      <c r="D2123" s="2226"/>
      <c r="E2123" s="2226"/>
      <c r="F2123" s="2226"/>
      <c r="G2123" s="2226"/>
      <c r="H2123" s="2226"/>
      <c r="I2123" s="2226"/>
      <c r="J2123" s="2226"/>
      <c r="K2123" s="2226"/>
      <c r="L2123" s="2226"/>
      <c r="M2123" s="2226"/>
      <c r="N2123" s="2226"/>
      <c r="O2123" s="2226"/>
      <c r="P2123" s="2226"/>
      <c r="Q2123" s="1855" t="s">
        <v>1208</v>
      </c>
      <c r="R2123" s="1855"/>
    </row>
    <row r="2128" spans="1:18" s="2454" customFormat="1" ht="18.75">
      <c r="A2128" s="2453" t="s">
        <v>4170</v>
      </c>
      <c r="B2128" s="2453"/>
      <c r="C2128" s="2453"/>
      <c r="D2128" s="2453"/>
      <c r="E2128" s="2453"/>
      <c r="F2128" s="2453"/>
      <c r="G2128" s="2453"/>
      <c r="H2128" s="2453"/>
    </row>
    <row r="2129" spans="1:11" s="2454" customFormat="1" ht="18.75">
      <c r="A2129" s="2453" t="s">
        <v>4171</v>
      </c>
      <c r="B2129" s="2453"/>
      <c r="C2129" s="2453"/>
      <c r="D2129" s="2453"/>
      <c r="E2129" s="2453"/>
      <c r="F2129" s="2453"/>
      <c r="G2129" s="2453"/>
      <c r="H2129" s="2453"/>
    </row>
    <row r="2130" spans="1:11" s="2454" customFormat="1" ht="15" customHeight="1">
      <c r="A2130" s="2455" t="s">
        <v>4172</v>
      </c>
      <c r="B2130" s="2456"/>
      <c r="C2130" s="2456"/>
      <c r="D2130" s="2457">
        <f>'Part I-Project Information'!F2114</f>
        <v>0</v>
      </c>
      <c r="E2130" s="2457"/>
      <c r="F2130" s="2457"/>
      <c r="G2130" s="2457"/>
      <c r="H2130" s="2457"/>
      <c r="I2130" s="2457"/>
      <c r="J2130" s="2458" t="s">
        <v>6424</v>
      </c>
      <c r="K2130" s="2458"/>
    </row>
    <row r="2131" spans="1:11" s="2454" customFormat="1" ht="15" customHeight="1">
      <c r="A2131" s="2455" t="s">
        <v>4173</v>
      </c>
      <c r="B2131" s="2456"/>
      <c r="C2131" s="2456"/>
      <c r="D2131" s="2457" t="str">
        <f>CONCATENATE('Part I-Project Information'!F2115,", ",'Part I-Project Information'!F2118,", GA ",'Part I-Project Information'!J2118," (",'Part I-Project Information'!J2119," Co.)",)</f>
        <v>, , GA  ( Co.)</v>
      </c>
      <c r="E2131" s="2457"/>
      <c r="F2131" s="2457"/>
      <c r="G2131" s="2457"/>
      <c r="H2131" s="2457"/>
      <c r="I2131" s="2457"/>
      <c r="J2131" s="2458" t="s">
        <v>4214</v>
      </c>
      <c r="K2131" s="2458"/>
    </row>
    <row r="2132" spans="1:11" s="2454" customFormat="1" ht="15" customHeight="1">
      <c r="A2132" s="2455" t="s">
        <v>4174</v>
      </c>
      <c r="B2132" s="2456"/>
      <c r="C2132" s="2456"/>
      <c r="D2132" s="2459"/>
      <c r="E2132" s="2459"/>
      <c r="F2132" s="2459"/>
      <c r="G2132" s="2459"/>
      <c r="H2132" s="2459"/>
      <c r="I2132" s="2459"/>
      <c r="J2132" s="2458"/>
      <c r="K2132" s="2458"/>
    </row>
    <row r="2133" spans="1:11" s="2454" customFormat="1" ht="9" customHeight="1"/>
    <row r="2134" spans="1:11" s="2454" customFormat="1" ht="16.5">
      <c r="A2134" s="2456" t="s">
        <v>4176</v>
      </c>
      <c r="B2134" s="2456"/>
      <c r="C2134" s="2456"/>
      <c r="D2134" s="2456"/>
      <c r="E2134" s="2456"/>
      <c r="F2134" s="2456"/>
      <c r="G2134" s="2456"/>
      <c r="H2134" s="2456"/>
      <c r="I2134" s="2456"/>
      <c r="J2134" s="2456"/>
      <c r="K2134" s="2456"/>
    </row>
    <row r="2135" spans="1:11" s="2454" customFormat="1" ht="14.25" customHeight="1">
      <c r="A2135" s="2456"/>
      <c r="B2135" s="2456"/>
      <c r="C2135" s="2460">
        <v>1</v>
      </c>
      <c r="D2135" s="2456" t="s">
        <v>4177</v>
      </c>
      <c r="E2135" s="2456"/>
      <c r="F2135" s="2456"/>
      <c r="G2135" s="2456"/>
      <c r="H2135" s="2456"/>
      <c r="I2135" s="2456"/>
      <c r="J2135" s="2461">
        <f>'Part X - HOME NHTF Unit Calcs'!J8</f>
        <v>0</v>
      </c>
      <c r="K2135" s="2461"/>
    </row>
    <row r="2136" spans="1:11" s="2454" customFormat="1" ht="7.15" customHeight="1">
      <c r="A2136" s="2456"/>
      <c r="B2136" s="2456"/>
      <c r="C2136" s="2456"/>
      <c r="D2136" s="2456"/>
      <c r="E2136" s="2456"/>
      <c r="F2136" s="2456"/>
      <c r="G2136" s="2456"/>
      <c r="H2136" s="2456"/>
      <c r="I2136" s="2456"/>
      <c r="J2136" s="2456"/>
      <c r="K2136" s="2462"/>
    </row>
    <row r="2137" spans="1:11" s="2454" customFormat="1" ht="16.5">
      <c r="A2137" s="2456" t="s">
        <v>4178</v>
      </c>
      <c r="B2137" s="2456"/>
      <c r="C2137" s="2456"/>
      <c r="D2137" s="2456"/>
      <c r="E2137" s="2456"/>
      <c r="F2137" s="2456"/>
      <c r="G2137" s="2456"/>
      <c r="H2137" s="2456"/>
      <c r="I2137" s="2456"/>
      <c r="J2137" s="2456"/>
      <c r="K2137" s="2456"/>
    </row>
    <row r="2138" spans="1:11" s="2454" customFormat="1" ht="14.25" customHeight="1">
      <c r="A2138" s="2456"/>
      <c r="B2138" s="2456"/>
      <c r="C2138" s="2460">
        <v>2</v>
      </c>
      <c r="D2138" s="2456" t="s">
        <v>4179</v>
      </c>
      <c r="E2138" s="2456"/>
      <c r="F2138" s="2456"/>
      <c r="G2138" s="2456"/>
      <c r="H2138" s="2456"/>
      <c r="I2138" s="2456"/>
      <c r="J2138" s="2461">
        <f>'Part X - HOME NHTF Unit Calcs'!J11</f>
        <v>0</v>
      </c>
      <c r="K2138" s="2461"/>
    </row>
    <row r="2139" spans="1:11" s="2454" customFormat="1" ht="7.15" customHeight="1">
      <c r="A2139" s="2456"/>
      <c r="B2139" s="2456"/>
      <c r="C2139" s="2456"/>
      <c r="D2139" s="2456"/>
      <c r="E2139" s="2456"/>
      <c r="F2139" s="2456"/>
      <c r="G2139" s="2456"/>
      <c r="H2139" s="2456"/>
      <c r="I2139" s="2456"/>
      <c r="J2139" s="2456"/>
      <c r="K2139" s="2460"/>
    </row>
    <row r="2140" spans="1:11" s="2454" customFormat="1" ht="16.5">
      <c r="A2140" s="2456" t="s">
        <v>4180</v>
      </c>
      <c r="B2140" s="2456"/>
      <c r="C2140" s="2456"/>
      <c r="D2140" s="2456"/>
      <c r="E2140" s="2456"/>
      <c r="F2140" s="2456"/>
      <c r="G2140" s="2456"/>
      <c r="H2140" s="2456"/>
      <c r="I2140" s="2456"/>
      <c r="J2140" s="2456"/>
      <c r="K2140" s="2456"/>
    </row>
    <row r="2141" spans="1:11" s="2454" customFormat="1" ht="14.25" customHeight="1">
      <c r="A2141" s="2456"/>
      <c r="B2141" s="2456"/>
      <c r="C2141" s="2460">
        <v>3</v>
      </c>
      <c r="D2141" s="2456" t="s">
        <v>4181</v>
      </c>
      <c r="E2141" s="2456"/>
      <c r="F2141" s="2456"/>
      <c r="G2141" s="2456"/>
      <c r="H2141" s="2456"/>
      <c r="I2141" s="2456"/>
      <c r="J2141" s="2461">
        <f>'Part X - HOME NHTF Unit Calcs'!J14</f>
        <v>0</v>
      </c>
      <c r="K2141" s="2461"/>
    </row>
    <row r="2142" spans="1:11" s="2454" customFormat="1" ht="14.25" customHeight="1">
      <c r="A2142" s="2456"/>
      <c r="B2142" s="2456"/>
      <c r="C2142" s="2460">
        <v>4</v>
      </c>
      <c r="D2142" s="2456" t="s">
        <v>4182</v>
      </c>
      <c r="E2142" s="2456"/>
      <c r="F2142" s="2456"/>
      <c r="G2142" s="2456"/>
      <c r="H2142" s="2456"/>
      <c r="I2142" s="2456"/>
      <c r="J2142" s="2461">
        <f>'Part X - HOME NHTF Unit Calcs'!J15</f>
        <v>0</v>
      </c>
      <c r="K2142" s="2461"/>
    </row>
    <row r="2143" spans="1:11" s="2454" customFormat="1" ht="14.25" customHeight="1">
      <c r="A2143" s="2456"/>
      <c r="B2143" s="2456"/>
      <c r="C2143" s="2460">
        <v>5</v>
      </c>
      <c r="D2143" s="2456" t="s">
        <v>4183</v>
      </c>
      <c r="E2143" s="2456"/>
      <c r="F2143" s="2456"/>
      <c r="G2143" s="2456"/>
      <c r="H2143" s="2456"/>
      <c r="I2143" s="2456"/>
      <c r="J2143" s="2461">
        <f>'Part X - HOME NHTF Unit Calcs'!J16</f>
        <v>0</v>
      </c>
      <c r="K2143" s="2461"/>
    </row>
    <row r="2144" spans="1:11" s="2454" customFormat="1" ht="14.25" customHeight="1">
      <c r="A2144" s="2456"/>
      <c r="B2144" s="2456"/>
      <c r="C2144" s="2460">
        <v>6</v>
      </c>
      <c r="D2144" s="2456" t="s">
        <v>4184</v>
      </c>
      <c r="E2144" s="2456"/>
      <c r="F2144" s="2456"/>
      <c r="G2144" s="2456"/>
      <c r="H2144" s="2456"/>
      <c r="I2144" s="2456"/>
      <c r="J2144" s="2461">
        <f>'Part X - HOME NHTF Unit Calcs'!J17</f>
        <v>0</v>
      </c>
      <c r="K2144" s="2461"/>
    </row>
    <row r="2145" spans="1:13" s="2454" customFormat="1" ht="7.15" customHeight="1">
      <c r="A2145" s="2456"/>
      <c r="B2145" s="2456"/>
      <c r="C2145" s="2456"/>
      <c r="D2145" s="2456"/>
      <c r="E2145" s="2456"/>
      <c r="F2145" s="2456"/>
      <c r="G2145" s="2456"/>
      <c r="H2145" s="2456"/>
      <c r="I2145" s="2456"/>
      <c r="J2145" s="2456"/>
      <c r="K2145" s="2460"/>
    </row>
    <row r="2146" spans="1:13" s="2454" customFormat="1" ht="14.25" customHeight="1">
      <c r="A2146" s="2456"/>
      <c r="B2146" s="2456"/>
      <c r="C2146" s="2460">
        <v>7</v>
      </c>
      <c r="D2146" s="2456" t="s">
        <v>4185</v>
      </c>
      <c r="E2146" s="2456"/>
      <c r="F2146" s="2456"/>
      <c r="G2146" s="2456"/>
      <c r="H2146" s="2456"/>
      <c r="I2146" s="2456"/>
      <c r="J2146" s="2457" t="str">
        <f>IF(J2144="No",J2141-J2142,IF(J2144="Yes",J2141-J2142-J2143,"Error"))</f>
        <v>Error</v>
      </c>
      <c r="K2146" s="2457"/>
    </row>
    <row r="2147" spans="1:13" s="2454" customFormat="1" ht="14.25" customHeight="1">
      <c r="A2147" s="2456"/>
      <c r="B2147" s="2456"/>
      <c r="C2147" s="2460">
        <v>8</v>
      </c>
      <c r="D2147" s="2456" t="s">
        <v>4186</v>
      </c>
      <c r="E2147" s="2456"/>
      <c r="F2147" s="2456"/>
      <c r="G2147" s="2456"/>
      <c r="H2147" s="2456"/>
      <c r="I2147" s="2456"/>
      <c r="J2147" s="2463" t="e">
        <f>ROUNDDOWN(J2146/J2135,2)</f>
        <v>#VALUE!</v>
      </c>
      <c r="K2147" s="2463"/>
    </row>
    <row r="2148" spans="1:13" s="2454" customFormat="1" ht="7.15" customHeight="1">
      <c r="A2148" s="2456"/>
      <c r="B2148" s="2456"/>
      <c r="C2148" s="2456"/>
      <c r="D2148" s="2456"/>
      <c r="E2148" s="2456"/>
      <c r="F2148" s="2456"/>
      <c r="G2148" s="2456"/>
      <c r="H2148" s="2456"/>
      <c r="I2148" s="2456"/>
      <c r="J2148" s="2456"/>
      <c r="K2148" s="2460"/>
    </row>
    <row r="2149" spans="1:13" s="2454" customFormat="1" ht="14.25" customHeight="1">
      <c r="A2149" s="2456"/>
      <c r="B2149" s="2456"/>
      <c r="C2149" s="2460">
        <v>9</v>
      </c>
      <c r="D2149" s="2456" t="s">
        <v>4187</v>
      </c>
      <c r="E2149" s="2456"/>
      <c r="F2149" s="2456"/>
      <c r="G2149" s="2456"/>
      <c r="H2149" s="2456"/>
      <c r="I2149" s="2456"/>
      <c r="J2149" s="2464" t="e">
        <f>J2138/J2146</f>
        <v>#VALUE!</v>
      </c>
      <c r="K2149" s="2464"/>
    </row>
    <row r="2150" spans="1:13" s="2454" customFormat="1" ht="9" customHeight="1">
      <c r="A2150" s="2465"/>
      <c r="C2150" s="2466"/>
      <c r="D2150" s="2466"/>
      <c r="E2150" s="2466"/>
      <c r="F2150" s="2466"/>
      <c r="G2150" s="2466"/>
      <c r="H2150" s="2466"/>
      <c r="I2150" s="2466"/>
      <c r="J2150" s="2466"/>
      <c r="K2150" s="2467"/>
    </row>
    <row r="2151" spans="1:13" s="2454" customFormat="1" ht="18.75">
      <c r="A2151" s="2468" t="s">
        <v>4188</v>
      </c>
      <c r="C2151" s="2466"/>
      <c r="D2151" s="2466"/>
      <c r="E2151" s="2466"/>
      <c r="F2151" s="2466"/>
      <c r="G2151" s="2466"/>
      <c r="H2151" s="2466"/>
      <c r="I2151" s="2466"/>
      <c r="J2151" s="2466"/>
      <c r="K2151" s="2467"/>
    </row>
    <row r="2152" spans="1:13" s="2454" customFormat="1" ht="14.25" customHeight="1">
      <c r="A2152" s="2469" t="s">
        <v>7191</v>
      </c>
      <c r="C2152" s="2466"/>
      <c r="D2152" s="2466"/>
      <c r="E2152" s="2466"/>
      <c r="F2152" s="2466"/>
      <c r="G2152" s="2466"/>
      <c r="H2152" s="2466"/>
      <c r="I2152" s="2466"/>
      <c r="J2152" s="2466"/>
      <c r="K2152" s="2467"/>
    </row>
    <row r="2153" spans="1:13" s="2454" customFormat="1" ht="14.25" customHeight="1">
      <c r="A2153" s="2469" t="s">
        <v>7192</v>
      </c>
      <c r="C2153" s="2466"/>
      <c r="D2153" s="2466"/>
      <c r="E2153" s="2466"/>
      <c r="F2153" s="2466"/>
      <c r="G2153" s="2466"/>
      <c r="H2153" s="2466"/>
      <c r="I2153" s="2466"/>
      <c r="J2153" s="2466"/>
      <c r="K2153" s="2467"/>
    </row>
    <row r="2154" spans="1:13" s="2454" customFormat="1" ht="14.25" customHeight="1">
      <c r="A2154" s="2469" t="s">
        <v>7193</v>
      </c>
      <c r="C2154" s="2466"/>
      <c r="D2154" s="2466"/>
      <c r="E2154" s="2466"/>
      <c r="F2154" s="2466"/>
      <c r="G2154" s="2466"/>
      <c r="H2154" s="2466"/>
      <c r="I2154" s="2466"/>
      <c r="J2154" s="2466"/>
      <c r="K2154" s="2467"/>
    </row>
    <row r="2155" spans="1:13" s="2454" customFormat="1" ht="14.25" customHeight="1">
      <c r="A2155" s="2469" t="s">
        <v>7194</v>
      </c>
      <c r="C2155" s="2466"/>
      <c r="D2155" s="2466"/>
      <c r="E2155" s="2466"/>
      <c r="F2155" s="2466"/>
      <c r="G2155" s="2466"/>
      <c r="H2155" s="2466"/>
      <c r="I2155" s="2466"/>
      <c r="J2155" s="2466"/>
      <c r="K2155" s="2467"/>
    </row>
    <row r="2156" spans="1:13" s="2454" customFormat="1" ht="9" customHeight="1">
      <c r="A2156" s="2466"/>
      <c r="C2156" s="2466"/>
      <c r="D2156" s="2466"/>
      <c r="E2156" s="2466"/>
      <c r="F2156" s="2466"/>
      <c r="G2156" s="2466"/>
      <c r="H2156" s="2466"/>
      <c r="I2156" s="2466"/>
      <c r="J2156" s="2466"/>
      <c r="K2156" s="2467"/>
    </row>
    <row r="2157" spans="1:13" s="2454" customFormat="1" ht="16.5">
      <c r="A2157" s="2458" t="s">
        <v>4218</v>
      </c>
      <c r="B2157" s="2458"/>
      <c r="C2157" s="2458"/>
      <c r="D2157" s="2458"/>
      <c r="E2157" s="2458"/>
      <c r="F2157" s="2458"/>
      <c r="G2157" s="2458"/>
      <c r="H2157" s="2458"/>
      <c r="I2157" s="2458"/>
      <c r="J2157" s="2458"/>
      <c r="K2157" s="2458"/>
    </row>
    <row r="2158" spans="1:13" s="2454" customFormat="1" ht="16.5">
      <c r="B2158" s="2458" t="s">
        <v>6424</v>
      </c>
      <c r="C2158" s="2458"/>
      <c r="D2158" s="2458"/>
      <c r="E2158" s="2458"/>
      <c r="F2158" s="2458"/>
      <c r="G2158" s="2458" t="s">
        <v>4189</v>
      </c>
      <c r="H2158" s="2458"/>
      <c r="I2158" s="2458"/>
      <c r="J2158" s="2458"/>
      <c r="K2158" s="2458"/>
    </row>
    <row r="2159" spans="1:13" s="2454" customFormat="1" ht="56.25" customHeight="1">
      <c r="B2159" s="2465" t="s">
        <v>7195</v>
      </c>
      <c r="C2159" s="2465" t="s">
        <v>7196</v>
      </c>
      <c r="D2159" s="2465" t="s">
        <v>7197</v>
      </c>
      <c r="E2159" s="2470" t="s">
        <v>6316</v>
      </c>
      <c r="F2159" s="2470"/>
      <c r="G2159" s="2465" t="s">
        <v>4190</v>
      </c>
      <c r="H2159" s="2465" t="s">
        <v>4191</v>
      </c>
      <c r="J2159" s="2465" t="s">
        <v>4192</v>
      </c>
      <c r="K2159" s="2465" t="s">
        <v>4193</v>
      </c>
      <c r="L2159" s="2471" t="s">
        <v>4194</v>
      </c>
      <c r="M2159" s="2471"/>
    </row>
    <row r="2160" spans="1:13" s="2454" customFormat="1" ht="12.75" customHeight="1">
      <c r="B2160" s="2472">
        <f>'Part X - HOME NHTF Unit Calcs'!B33</f>
        <v>0</v>
      </c>
      <c r="C2160" s="2472">
        <f>'Part X - HOME NHTF Unit Calcs'!C33</f>
        <v>0</v>
      </c>
      <c r="D2160" s="2473">
        <f>'Part X - HOME NHTF Unit Calcs'!D33</f>
        <v>0</v>
      </c>
      <c r="E2160" s="2474">
        <f>'Part X - HOME NHTF Unit Calcs'!E33</f>
        <v>0</v>
      </c>
      <c r="F2160" s="2474"/>
      <c r="G2160" s="2475" t="e">
        <f>'Part X - HOME NHTF Unit Calcs'!G33</f>
        <v>#VALUE!</v>
      </c>
      <c r="H2160" s="2476" t="e">
        <f>ROUNDUP(G2160,0)</f>
        <v>#VALUE!</v>
      </c>
      <c r="I2160" s="2477"/>
      <c r="J2160" s="2478" t="e">
        <f>'Part X - HOME NHTF Unit Calcs'!J33</f>
        <v>#VALUE!</v>
      </c>
      <c r="K2160" s="2478" t="e">
        <f t="shared" ref="K2160:K2178" si="387">ROUNDDOWN(J2160*H2160,0)</f>
        <v>#VALUE!</v>
      </c>
      <c r="L2160" s="2471"/>
      <c r="M2160" s="2471"/>
    </row>
    <row r="2161" spans="2:14" s="2454" customFormat="1" ht="12.75" customHeight="1">
      <c r="B2161" s="2472">
        <f>'Part X - HOME NHTF Unit Calcs'!B34</f>
        <v>0</v>
      </c>
      <c r="C2161" s="2472">
        <f>'Part X - HOME NHTF Unit Calcs'!C34</f>
        <v>0</v>
      </c>
      <c r="D2161" s="2473">
        <f>'Part X - HOME NHTF Unit Calcs'!D34</f>
        <v>0</v>
      </c>
      <c r="E2161" s="2474">
        <f>'Part X - HOME NHTF Unit Calcs'!E34</f>
        <v>0</v>
      </c>
      <c r="F2161" s="2474"/>
      <c r="G2161" s="2475" t="e">
        <f>'Part X - HOME NHTF Unit Calcs'!G34</f>
        <v>#VALUE!</v>
      </c>
      <c r="H2161" s="2476" t="e">
        <f t="shared" ref="H2161:H2178" si="388">ROUNDUP(G2161,0)</f>
        <v>#VALUE!</v>
      </c>
      <c r="I2161" s="2477"/>
      <c r="J2161" s="2478" t="e">
        <f>'Part X - HOME NHTF Unit Calcs'!J34</f>
        <v>#VALUE!</v>
      </c>
      <c r="K2161" s="2478" t="e">
        <f t="shared" si="387"/>
        <v>#VALUE!</v>
      </c>
      <c r="L2161" s="2471"/>
      <c r="M2161" s="2471"/>
    </row>
    <row r="2162" spans="2:14" s="2454" customFormat="1" ht="12.75" customHeight="1">
      <c r="B2162" s="2472">
        <f>'Part X - HOME NHTF Unit Calcs'!B35</f>
        <v>0</v>
      </c>
      <c r="C2162" s="2472">
        <f>'Part X - HOME NHTF Unit Calcs'!C35</f>
        <v>0</v>
      </c>
      <c r="D2162" s="2473">
        <f>'Part X - HOME NHTF Unit Calcs'!D35</f>
        <v>0</v>
      </c>
      <c r="E2162" s="2474">
        <f>'Part X - HOME NHTF Unit Calcs'!E35</f>
        <v>0</v>
      </c>
      <c r="F2162" s="2474"/>
      <c r="G2162" s="2475" t="e">
        <f>'Part X - HOME NHTF Unit Calcs'!G35</f>
        <v>#VALUE!</v>
      </c>
      <c r="H2162" s="2476" t="e">
        <f t="shared" si="388"/>
        <v>#VALUE!</v>
      </c>
      <c r="I2162" s="2477"/>
      <c r="J2162" s="2478" t="e">
        <f>'Part X - HOME NHTF Unit Calcs'!J35</f>
        <v>#VALUE!</v>
      </c>
      <c r="K2162" s="2478" t="e">
        <f t="shared" si="387"/>
        <v>#VALUE!</v>
      </c>
      <c r="L2162" s="2471"/>
      <c r="M2162" s="2471"/>
    </row>
    <row r="2163" spans="2:14" s="2454" customFormat="1" ht="12.75" customHeight="1">
      <c r="B2163" s="2472">
        <f>'Part X - HOME NHTF Unit Calcs'!B36</f>
        <v>0</v>
      </c>
      <c r="C2163" s="2472">
        <f>'Part X - HOME NHTF Unit Calcs'!C36</f>
        <v>0</v>
      </c>
      <c r="D2163" s="2473">
        <f>'Part X - HOME NHTF Unit Calcs'!D36</f>
        <v>0</v>
      </c>
      <c r="E2163" s="2474">
        <f>'Part X - HOME NHTF Unit Calcs'!E36</f>
        <v>0</v>
      </c>
      <c r="F2163" s="2474"/>
      <c r="G2163" s="2475" t="e">
        <f>'Part X - HOME NHTF Unit Calcs'!G36</f>
        <v>#VALUE!</v>
      </c>
      <c r="H2163" s="2476" t="e">
        <f t="shared" si="388"/>
        <v>#VALUE!</v>
      </c>
      <c r="I2163" s="2477"/>
      <c r="J2163" s="2478" t="e">
        <f>'Part X - HOME NHTF Unit Calcs'!J36</f>
        <v>#VALUE!</v>
      </c>
      <c r="K2163" s="2478" t="e">
        <f t="shared" si="387"/>
        <v>#VALUE!</v>
      </c>
      <c r="L2163" s="2471"/>
      <c r="M2163" s="2471"/>
      <c r="N2163" s="2479"/>
    </row>
    <row r="2164" spans="2:14" s="2454" customFormat="1" ht="12.75" customHeight="1">
      <c r="B2164" s="2472">
        <f>'Part X - HOME NHTF Unit Calcs'!B37</f>
        <v>0</v>
      </c>
      <c r="C2164" s="2472">
        <f>'Part X - HOME NHTF Unit Calcs'!C37</f>
        <v>0</v>
      </c>
      <c r="D2164" s="2473">
        <f>'Part X - HOME NHTF Unit Calcs'!D37</f>
        <v>0</v>
      </c>
      <c r="E2164" s="2474">
        <f>'Part X - HOME NHTF Unit Calcs'!E37</f>
        <v>0</v>
      </c>
      <c r="F2164" s="2474"/>
      <c r="G2164" s="2475" t="e">
        <f>'Part X - HOME NHTF Unit Calcs'!G37</f>
        <v>#VALUE!</v>
      </c>
      <c r="H2164" s="2476" t="e">
        <f t="shared" si="388"/>
        <v>#VALUE!</v>
      </c>
      <c r="I2164" s="2477"/>
      <c r="J2164" s="2478" t="e">
        <f>'Part X - HOME NHTF Unit Calcs'!J37</f>
        <v>#VALUE!</v>
      </c>
      <c r="K2164" s="2478" t="e">
        <f t="shared" si="387"/>
        <v>#VALUE!</v>
      </c>
      <c r="L2164" s="2471"/>
      <c r="M2164" s="2471"/>
    </row>
    <row r="2165" spans="2:14" s="2454" customFormat="1" ht="12.75" customHeight="1">
      <c r="B2165" s="2472">
        <f>'Part X - HOME NHTF Unit Calcs'!B38</f>
        <v>0</v>
      </c>
      <c r="C2165" s="2472">
        <f>'Part X - HOME NHTF Unit Calcs'!C38</f>
        <v>0</v>
      </c>
      <c r="D2165" s="2473">
        <f>'Part X - HOME NHTF Unit Calcs'!D38</f>
        <v>0</v>
      </c>
      <c r="E2165" s="2474">
        <f>'Part X - HOME NHTF Unit Calcs'!E38</f>
        <v>0</v>
      </c>
      <c r="F2165" s="2474"/>
      <c r="G2165" s="2475" t="e">
        <f>'Part X - HOME NHTF Unit Calcs'!G38</f>
        <v>#VALUE!</v>
      </c>
      <c r="H2165" s="2476" t="e">
        <f t="shared" si="388"/>
        <v>#VALUE!</v>
      </c>
      <c r="I2165" s="2477"/>
      <c r="J2165" s="2478" t="e">
        <f>'Part X - HOME NHTF Unit Calcs'!J38</f>
        <v>#VALUE!</v>
      </c>
      <c r="K2165" s="2478" t="e">
        <f t="shared" si="387"/>
        <v>#VALUE!</v>
      </c>
      <c r="L2165" s="2471"/>
      <c r="M2165" s="2471"/>
    </row>
    <row r="2166" spans="2:14" s="2454" customFormat="1" ht="12.75" customHeight="1">
      <c r="B2166" s="2472">
        <f>'Part X - HOME NHTF Unit Calcs'!B39</f>
        <v>0</v>
      </c>
      <c r="C2166" s="2472">
        <f>'Part X - HOME NHTF Unit Calcs'!C39</f>
        <v>0</v>
      </c>
      <c r="D2166" s="2473">
        <f>'Part X - HOME NHTF Unit Calcs'!D39</f>
        <v>0</v>
      </c>
      <c r="E2166" s="2474">
        <f>'Part X - HOME NHTF Unit Calcs'!E39</f>
        <v>0</v>
      </c>
      <c r="F2166" s="2474"/>
      <c r="G2166" s="2475" t="e">
        <f>'Part X - HOME NHTF Unit Calcs'!G39</f>
        <v>#VALUE!</v>
      </c>
      <c r="H2166" s="2476" t="e">
        <f t="shared" si="388"/>
        <v>#VALUE!</v>
      </c>
      <c r="I2166" s="2477"/>
      <c r="J2166" s="2478" t="e">
        <f>'Part X - HOME NHTF Unit Calcs'!J39</f>
        <v>#VALUE!</v>
      </c>
      <c r="K2166" s="2478" t="e">
        <f t="shared" si="387"/>
        <v>#VALUE!</v>
      </c>
      <c r="L2166" s="2471"/>
      <c r="M2166" s="2471"/>
    </row>
    <row r="2167" spans="2:14" s="2454" customFormat="1" ht="12.75" customHeight="1">
      <c r="B2167" s="2472">
        <f>'Part X - HOME NHTF Unit Calcs'!B40</f>
        <v>0</v>
      </c>
      <c r="C2167" s="2472">
        <f>'Part X - HOME NHTF Unit Calcs'!C40</f>
        <v>0</v>
      </c>
      <c r="D2167" s="2473">
        <f>'Part X - HOME NHTF Unit Calcs'!D40</f>
        <v>0</v>
      </c>
      <c r="E2167" s="2474">
        <f>'Part X - HOME NHTF Unit Calcs'!E40</f>
        <v>0</v>
      </c>
      <c r="F2167" s="2474"/>
      <c r="G2167" s="2475" t="e">
        <f>'Part X - HOME NHTF Unit Calcs'!G40</f>
        <v>#VALUE!</v>
      </c>
      <c r="H2167" s="2476" t="e">
        <f t="shared" si="388"/>
        <v>#VALUE!</v>
      </c>
      <c r="I2167" s="2477"/>
      <c r="J2167" s="2478" t="e">
        <f>'Part X - HOME NHTF Unit Calcs'!J40</f>
        <v>#VALUE!</v>
      </c>
      <c r="K2167" s="2478" t="e">
        <f t="shared" si="387"/>
        <v>#VALUE!</v>
      </c>
      <c r="L2167" s="2471"/>
      <c r="M2167" s="2471"/>
    </row>
    <row r="2168" spans="2:14" s="2454" customFormat="1" ht="12.75" customHeight="1">
      <c r="B2168" s="2472">
        <f>'Part X - HOME NHTF Unit Calcs'!B41</f>
        <v>0</v>
      </c>
      <c r="C2168" s="2472">
        <f>'Part X - HOME NHTF Unit Calcs'!C41</f>
        <v>0</v>
      </c>
      <c r="D2168" s="2473">
        <f>'Part X - HOME NHTF Unit Calcs'!D41</f>
        <v>0</v>
      </c>
      <c r="E2168" s="2474">
        <f>'Part X - HOME NHTF Unit Calcs'!E41</f>
        <v>0</v>
      </c>
      <c r="F2168" s="2474"/>
      <c r="G2168" s="2475" t="e">
        <f>'Part X - HOME NHTF Unit Calcs'!G41</f>
        <v>#VALUE!</v>
      </c>
      <c r="H2168" s="2476" t="e">
        <f t="shared" si="388"/>
        <v>#VALUE!</v>
      </c>
      <c r="I2168" s="2477"/>
      <c r="J2168" s="2478" t="e">
        <f>'Part X - HOME NHTF Unit Calcs'!J41</f>
        <v>#VALUE!</v>
      </c>
      <c r="K2168" s="2478" t="e">
        <f t="shared" si="387"/>
        <v>#VALUE!</v>
      </c>
      <c r="L2168" s="2471"/>
      <c r="M2168" s="2471"/>
    </row>
    <row r="2169" spans="2:14" s="2454" customFormat="1" ht="12.75" customHeight="1">
      <c r="B2169" s="2472">
        <f>'Part X - HOME NHTF Unit Calcs'!B42</f>
        <v>0</v>
      </c>
      <c r="C2169" s="2472">
        <f>'Part X - HOME NHTF Unit Calcs'!C42</f>
        <v>0</v>
      </c>
      <c r="D2169" s="2473">
        <f>'Part X - HOME NHTF Unit Calcs'!D42</f>
        <v>0</v>
      </c>
      <c r="E2169" s="2474">
        <f>'Part X - HOME NHTF Unit Calcs'!E42</f>
        <v>0</v>
      </c>
      <c r="F2169" s="2474"/>
      <c r="G2169" s="2475" t="e">
        <f>'Part X - HOME NHTF Unit Calcs'!G42</f>
        <v>#VALUE!</v>
      </c>
      <c r="H2169" s="2476" t="e">
        <f t="shared" si="388"/>
        <v>#VALUE!</v>
      </c>
      <c r="I2169" s="2477"/>
      <c r="J2169" s="2478" t="e">
        <f>'Part X - HOME NHTF Unit Calcs'!J42</f>
        <v>#VALUE!</v>
      </c>
      <c r="K2169" s="2478" t="e">
        <f t="shared" si="387"/>
        <v>#VALUE!</v>
      </c>
      <c r="L2169" s="2471"/>
      <c r="M2169" s="2471"/>
    </row>
    <row r="2170" spans="2:14" s="2454" customFormat="1" ht="12.75" customHeight="1">
      <c r="B2170" s="2472">
        <f>'Part X - HOME NHTF Unit Calcs'!B43</f>
        <v>0</v>
      </c>
      <c r="C2170" s="2472">
        <f>'Part X - HOME NHTF Unit Calcs'!C43</f>
        <v>0</v>
      </c>
      <c r="D2170" s="2473">
        <f>'Part X - HOME NHTF Unit Calcs'!D43</f>
        <v>0</v>
      </c>
      <c r="E2170" s="2474">
        <f>'Part X - HOME NHTF Unit Calcs'!E43</f>
        <v>0</v>
      </c>
      <c r="F2170" s="2474"/>
      <c r="G2170" s="2475" t="e">
        <f>'Part X - HOME NHTF Unit Calcs'!G43</f>
        <v>#VALUE!</v>
      </c>
      <c r="H2170" s="2476" t="e">
        <f t="shared" si="388"/>
        <v>#VALUE!</v>
      </c>
      <c r="I2170" s="2477"/>
      <c r="J2170" s="2478" t="e">
        <f>'Part X - HOME NHTF Unit Calcs'!J43</f>
        <v>#VALUE!</v>
      </c>
      <c r="K2170" s="2478" t="e">
        <f t="shared" si="387"/>
        <v>#VALUE!</v>
      </c>
      <c r="L2170" s="2471"/>
      <c r="M2170" s="2471"/>
    </row>
    <row r="2171" spans="2:14" s="2454" customFormat="1" ht="12.75" customHeight="1">
      <c r="B2171" s="2472">
        <f>'Part X - HOME NHTF Unit Calcs'!B44</f>
        <v>0</v>
      </c>
      <c r="C2171" s="2472">
        <f>'Part X - HOME NHTF Unit Calcs'!C44</f>
        <v>0</v>
      </c>
      <c r="D2171" s="2473">
        <f>'Part X - HOME NHTF Unit Calcs'!D44</f>
        <v>0</v>
      </c>
      <c r="E2171" s="2474">
        <f>'Part X - HOME NHTF Unit Calcs'!E44</f>
        <v>0</v>
      </c>
      <c r="F2171" s="2474"/>
      <c r="G2171" s="2475" t="e">
        <f>'Part X - HOME NHTF Unit Calcs'!G44</f>
        <v>#VALUE!</v>
      </c>
      <c r="H2171" s="2476" t="e">
        <f t="shared" si="388"/>
        <v>#VALUE!</v>
      </c>
      <c r="I2171" s="2477"/>
      <c r="J2171" s="2478" t="e">
        <f>'Part X - HOME NHTF Unit Calcs'!J44</f>
        <v>#VALUE!</v>
      </c>
      <c r="K2171" s="2478" t="e">
        <f t="shared" si="387"/>
        <v>#VALUE!</v>
      </c>
      <c r="L2171" s="2471"/>
      <c r="M2171" s="2471"/>
    </row>
    <row r="2172" spans="2:14" s="2454" customFormat="1" ht="12.75" customHeight="1">
      <c r="B2172" s="2472">
        <f>'Part X - HOME NHTF Unit Calcs'!B45</f>
        <v>0</v>
      </c>
      <c r="C2172" s="2472">
        <f>'Part X - HOME NHTF Unit Calcs'!C45</f>
        <v>0</v>
      </c>
      <c r="D2172" s="2473">
        <f>'Part X - HOME NHTF Unit Calcs'!D45</f>
        <v>0</v>
      </c>
      <c r="E2172" s="2474">
        <f>'Part X - HOME NHTF Unit Calcs'!E45</f>
        <v>0</v>
      </c>
      <c r="F2172" s="2474"/>
      <c r="G2172" s="2475" t="e">
        <f>'Part X - HOME NHTF Unit Calcs'!G45</f>
        <v>#VALUE!</v>
      </c>
      <c r="H2172" s="2476" t="e">
        <f t="shared" si="388"/>
        <v>#VALUE!</v>
      </c>
      <c r="I2172" s="2477"/>
      <c r="J2172" s="2478" t="e">
        <f>'Part X - HOME NHTF Unit Calcs'!J45</f>
        <v>#VALUE!</v>
      </c>
      <c r="K2172" s="2478" t="e">
        <f t="shared" si="387"/>
        <v>#VALUE!</v>
      </c>
      <c r="L2172" s="2471"/>
      <c r="M2172" s="2471"/>
    </row>
    <row r="2173" spans="2:14" s="2454" customFormat="1" ht="12.75" customHeight="1">
      <c r="B2173" s="2472">
        <f>'Part X - HOME NHTF Unit Calcs'!B46</f>
        <v>0</v>
      </c>
      <c r="C2173" s="2472">
        <f>'Part X - HOME NHTF Unit Calcs'!C46</f>
        <v>0</v>
      </c>
      <c r="D2173" s="2473">
        <f>'Part X - HOME NHTF Unit Calcs'!D46</f>
        <v>0</v>
      </c>
      <c r="E2173" s="2474">
        <f>'Part X - HOME NHTF Unit Calcs'!E46</f>
        <v>0</v>
      </c>
      <c r="F2173" s="2474"/>
      <c r="G2173" s="2475" t="e">
        <f>'Part X - HOME NHTF Unit Calcs'!G46</f>
        <v>#VALUE!</v>
      </c>
      <c r="H2173" s="2476" t="e">
        <f t="shared" si="388"/>
        <v>#VALUE!</v>
      </c>
      <c r="I2173" s="2477"/>
      <c r="J2173" s="2478" t="e">
        <f>'Part X - HOME NHTF Unit Calcs'!J46</f>
        <v>#VALUE!</v>
      </c>
      <c r="K2173" s="2478" t="e">
        <f t="shared" si="387"/>
        <v>#VALUE!</v>
      </c>
      <c r="L2173" s="2471"/>
      <c r="M2173" s="2471"/>
    </row>
    <row r="2174" spans="2:14" s="2454" customFormat="1" ht="12.75" customHeight="1">
      <c r="B2174" s="2472">
        <f>'Part X - HOME NHTF Unit Calcs'!B47</f>
        <v>0</v>
      </c>
      <c r="C2174" s="2472">
        <f>'Part X - HOME NHTF Unit Calcs'!C47</f>
        <v>0</v>
      </c>
      <c r="D2174" s="2473">
        <f>'Part X - HOME NHTF Unit Calcs'!D47</f>
        <v>0</v>
      </c>
      <c r="E2174" s="2474">
        <f>'Part X - HOME NHTF Unit Calcs'!E47</f>
        <v>0</v>
      </c>
      <c r="F2174" s="2474"/>
      <c r="G2174" s="2475" t="e">
        <f>'Part X - HOME NHTF Unit Calcs'!G47</f>
        <v>#VALUE!</v>
      </c>
      <c r="H2174" s="2476" t="e">
        <f t="shared" si="388"/>
        <v>#VALUE!</v>
      </c>
      <c r="I2174" s="2477"/>
      <c r="J2174" s="2478" t="e">
        <f>'Part X - HOME NHTF Unit Calcs'!J47</f>
        <v>#VALUE!</v>
      </c>
      <c r="K2174" s="2478" t="e">
        <f t="shared" si="387"/>
        <v>#VALUE!</v>
      </c>
      <c r="L2174" s="2471"/>
      <c r="M2174" s="2471"/>
    </row>
    <row r="2175" spans="2:14" s="2454" customFormat="1" ht="12.75" customHeight="1">
      <c r="B2175" s="2472">
        <f>'Part X - HOME NHTF Unit Calcs'!B48</f>
        <v>0</v>
      </c>
      <c r="C2175" s="2472">
        <f>'Part X - HOME NHTF Unit Calcs'!C48</f>
        <v>0</v>
      </c>
      <c r="D2175" s="2473">
        <f>'Part X - HOME NHTF Unit Calcs'!D48</f>
        <v>0</v>
      </c>
      <c r="E2175" s="2474">
        <f>'Part X - HOME NHTF Unit Calcs'!E48</f>
        <v>0</v>
      </c>
      <c r="F2175" s="2474"/>
      <c r="G2175" s="2475" t="e">
        <f>'Part X - HOME NHTF Unit Calcs'!G48</f>
        <v>#VALUE!</v>
      </c>
      <c r="H2175" s="2476" t="e">
        <f t="shared" si="388"/>
        <v>#VALUE!</v>
      </c>
      <c r="I2175" s="2477"/>
      <c r="J2175" s="2478" t="e">
        <f>'Part X - HOME NHTF Unit Calcs'!J48</f>
        <v>#VALUE!</v>
      </c>
      <c r="K2175" s="2478" t="e">
        <f t="shared" si="387"/>
        <v>#VALUE!</v>
      </c>
      <c r="L2175" s="2471"/>
      <c r="M2175" s="2471"/>
    </row>
    <row r="2176" spans="2:14" s="2454" customFormat="1" ht="12.75" customHeight="1">
      <c r="B2176" s="2472">
        <f>'Part X - HOME NHTF Unit Calcs'!B49</f>
        <v>0</v>
      </c>
      <c r="C2176" s="2472">
        <f>'Part X - HOME NHTF Unit Calcs'!C49</f>
        <v>0</v>
      </c>
      <c r="D2176" s="2473">
        <f>'Part X - HOME NHTF Unit Calcs'!D49</f>
        <v>0</v>
      </c>
      <c r="E2176" s="2474">
        <f>'Part X - HOME NHTF Unit Calcs'!E49</f>
        <v>0</v>
      </c>
      <c r="F2176" s="2474"/>
      <c r="G2176" s="2475" t="e">
        <f>'Part X - HOME NHTF Unit Calcs'!G49</f>
        <v>#VALUE!</v>
      </c>
      <c r="H2176" s="2476" t="e">
        <f t="shared" si="388"/>
        <v>#VALUE!</v>
      </c>
      <c r="I2176" s="2477"/>
      <c r="J2176" s="2478" t="e">
        <f>'Part X - HOME NHTF Unit Calcs'!J49</f>
        <v>#VALUE!</v>
      </c>
      <c r="K2176" s="2478" t="e">
        <f t="shared" si="387"/>
        <v>#VALUE!</v>
      </c>
      <c r="L2176" s="2471"/>
      <c r="M2176" s="2471"/>
    </row>
    <row r="2177" spans="1:13" s="2454" customFormat="1" ht="12.75" customHeight="1">
      <c r="B2177" s="2472">
        <f>'Part X - HOME NHTF Unit Calcs'!B50</f>
        <v>0</v>
      </c>
      <c r="C2177" s="2472">
        <f>'Part X - HOME NHTF Unit Calcs'!C50</f>
        <v>0</v>
      </c>
      <c r="D2177" s="2473">
        <f>'Part X - HOME NHTF Unit Calcs'!D50</f>
        <v>0</v>
      </c>
      <c r="E2177" s="2474">
        <f>'Part X - HOME NHTF Unit Calcs'!E50</f>
        <v>0</v>
      </c>
      <c r="F2177" s="2474"/>
      <c r="G2177" s="2475" t="e">
        <f>'Part X - HOME NHTF Unit Calcs'!G50</f>
        <v>#VALUE!</v>
      </c>
      <c r="H2177" s="2476" t="e">
        <f t="shared" si="388"/>
        <v>#VALUE!</v>
      </c>
      <c r="I2177" s="2477"/>
      <c r="J2177" s="2478" t="e">
        <f>'Part X - HOME NHTF Unit Calcs'!J50</f>
        <v>#VALUE!</v>
      </c>
      <c r="K2177" s="2478" t="e">
        <f t="shared" si="387"/>
        <v>#VALUE!</v>
      </c>
      <c r="L2177" s="2471"/>
      <c r="M2177" s="2471"/>
    </row>
    <row r="2178" spans="1:13" s="2454" customFormat="1" ht="12.75" customHeight="1">
      <c r="B2178" s="2472">
        <f>'Part X - HOME NHTF Unit Calcs'!B51</f>
        <v>0</v>
      </c>
      <c r="C2178" s="2472">
        <f>'Part X - HOME NHTF Unit Calcs'!C51</f>
        <v>0</v>
      </c>
      <c r="D2178" s="2473">
        <f>'Part X - HOME NHTF Unit Calcs'!D51</f>
        <v>0</v>
      </c>
      <c r="E2178" s="2474">
        <f>'Part X - HOME NHTF Unit Calcs'!E51</f>
        <v>0</v>
      </c>
      <c r="F2178" s="2474"/>
      <c r="G2178" s="2475" t="e">
        <f>'Part X - HOME NHTF Unit Calcs'!G51</f>
        <v>#VALUE!</v>
      </c>
      <c r="H2178" s="2476" t="e">
        <f t="shared" si="388"/>
        <v>#VALUE!</v>
      </c>
      <c r="I2178" s="2477"/>
      <c r="J2178" s="2478" t="e">
        <f>'Part X - HOME NHTF Unit Calcs'!J51</f>
        <v>#VALUE!</v>
      </c>
      <c r="K2178" s="2478" t="e">
        <f t="shared" si="387"/>
        <v>#VALUE!</v>
      </c>
      <c r="L2178" s="2471"/>
      <c r="M2178" s="2471"/>
    </row>
    <row r="2179" spans="1:13" s="2454" customFormat="1" ht="15" customHeight="1">
      <c r="B2179" s="2480"/>
      <c r="D2179" s="2456"/>
      <c r="E2179" s="2456"/>
      <c r="F2179" s="2456"/>
      <c r="G2179" s="2481" t="s">
        <v>4195</v>
      </c>
      <c r="H2179" s="2482" t="e">
        <f>SUM(H2160:H2178)</f>
        <v>#VALUE!</v>
      </c>
      <c r="I2179" s="2456"/>
      <c r="J2179" s="2480" t="s">
        <v>4196</v>
      </c>
      <c r="K2179" s="2462" t="e">
        <f>SUM(K2160:K2178)</f>
        <v>#VALUE!</v>
      </c>
      <c r="L2179" s="2471"/>
      <c r="M2179" s="2471"/>
    </row>
    <row r="2180" spans="1:13" s="2454" customFormat="1" ht="15" customHeight="1">
      <c r="B2180" s="2480"/>
      <c r="C2180" s="2456" t="s">
        <v>4197</v>
      </c>
      <c r="D2180" s="2456"/>
      <c r="E2180" s="2456"/>
      <c r="F2180" s="2456"/>
      <c r="G2180" s="2456"/>
      <c r="H2180" s="2456"/>
      <c r="I2180" s="2456"/>
      <c r="J2180" s="2456"/>
      <c r="K2180" s="2462" t="str">
        <f>IF(J2144="no",0,IF(J2144="yes",J2143,"Error"))</f>
        <v>Error</v>
      </c>
      <c r="L2180" s="2471"/>
      <c r="M2180" s="2471"/>
    </row>
    <row r="2181" spans="1:13" s="2454" customFormat="1" ht="15" customHeight="1">
      <c r="B2181" s="2480"/>
      <c r="C2181" s="2456" t="s">
        <v>4198</v>
      </c>
      <c r="D2181" s="2456"/>
      <c r="E2181" s="2456"/>
      <c r="F2181" s="2456"/>
      <c r="G2181" s="2456"/>
      <c r="H2181" s="2456"/>
      <c r="I2181" s="2456"/>
      <c r="J2181" s="2456"/>
      <c r="K2181" s="2462" t="e">
        <f>K2179+K2180</f>
        <v>#VALUE!</v>
      </c>
    </row>
    <row r="2182" spans="1:13" s="2454" customFormat="1" ht="7.9" customHeight="1"/>
    <row r="2183" spans="1:13" s="2454" customFormat="1" ht="15" customHeight="1">
      <c r="A2183" s="2454" t="s">
        <v>4199</v>
      </c>
    </row>
    <row r="2184" spans="1:13" s="2454" customFormat="1" ht="48" customHeight="1">
      <c r="C2184" s="2465" t="s">
        <v>4200</v>
      </c>
      <c r="D2184" s="2465" t="s">
        <v>6276</v>
      </c>
      <c r="E2184" s="2454" t="s">
        <v>4216</v>
      </c>
      <c r="G2184" s="2470" t="s">
        <v>4201</v>
      </c>
      <c r="H2184" s="2470"/>
      <c r="I2184" s="2454" t="s">
        <v>4215</v>
      </c>
    </row>
    <row r="2185" spans="1:13" s="2454" customFormat="1" ht="15" customHeight="1">
      <c r="A2185" s="2465"/>
      <c r="C2185" s="2483" t="e">
        <f>SUMIF(C2160:C2178, "0", H2160:H2178)</f>
        <v>#VALUE!</v>
      </c>
      <c r="D2185" s="2465" t="e">
        <f t="shared" ref="D2185:D2190" si="389">ROUNDUP(C2185*1.1,0)</f>
        <v>#VALUE!</v>
      </c>
      <c r="E2185" s="2456" t="s">
        <v>4202</v>
      </c>
      <c r="F2185" s="2456"/>
      <c r="G2185" s="2484">
        <v>153314.4</v>
      </c>
      <c r="H2185" s="2484"/>
      <c r="I2185" s="2485" t="e">
        <f t="shared" ref="I2185:I2190" si="390">D2185*G2185</f>
        <v>#VALUE!</v>
      </c>
      <c r="J2185" s="2485"/>
    </row>
    <row r="2186" spans="1:13" s="2454" customFormat="1" ht="16.5">
      <c r="A2186" s="2465"/>
      <c r="C2186" s="2483">
        <f>SUMIF(C2160:C2178, "1", H2160:H2178)</f>
        <v>0</v>
      </c>
      <c r="D2186" s="2465">
        <f t="shared" si="389"/>
        <v>0</v>
      </c>
      <c r="E2186" s="2456" t="s">
        <v>2560</v>
      </c>
      <c r="F2186" s="2456"/>
      <c r="G2186" s="2484">
        <v>175752</v>
      </c>
      <c r="H2186" s="2484"/>
      <c r="I2186" s="2485">
        <f t="shared" si="390"/>
        <v>0</v>
      </c>
      <c r="J2186" s="2485"/>
    </row>
    <row r="2187" spans="1:13" s="2454" customFormat="1" ht="15" customHeight="1">
      <c r="A2187" s="2465"/>
      <c r="C2187" s="2483">
        <f>SUMIF(C2160:C2178, "2", H2160:H2178)</f>
        <v>0</v>
      </c>
      <c r="D2187" s="2465">
        <f t="shared" si="389"/>
        <v>0</v>
      </c>
      <c r="E2187" s="2456" t="s">
        <v>2561</v>
      </c>
      <c r="F2187" s="2456"/>
      <c r="G2187" s="2484">
        <v>213717.6</v>
      </c>
      <c r="H2187" s="2484"/>
      <c r="I2187" s="2485">
        <f t="shared" si="390"/>
        <v>0</v>
      </c>
      <c r="J2187" s="2485"/>
    </row>
    <row r="2188" spans="1:13" s="2454" customFormat="1" ht="16.5">
      <c r="A2188" s="2465"/>
      <c r="C2188" s="2483">
        <f>SUMIF(C2160:C2178, "3", H2160:H2178)</f>
        <v>0</v>
      </c>
      <c r="D2188" s="2465">
        <f t="shared" si="389"/>
        <v>0</v>
      </c>
      <c r="E2188" s="2456" t="s">
        <v>2564</v>
      </c>
      <c r="F2188" s="2456"/>
      <c r="G2188" s="2484">
        <v>276482.40000000002</v>
      </c>
      <c r="H2188" s="2484"/>
      <c r="I2188" s="2485">
        <f t="shared" si="390"/>
        <v>0</v>
      </c>
      <c r="J2188" s="2485"/>
    </row>
    <row r="2189" spans="1:13" s="2454" customFormat="1" ht="16.5">
      <c r="A2189" s="2465"/>
      <c r="C2189" s="2483">
        <f>SUMIF(C2160:C2178, "4", H2160:H2178)</f>
        <v>0</v>
      </c>
      <c r="D2189" s="2465">
        <f t="shared" si="389"/>
        <v>0</v>
      </c>
      <c r="E2189" s="2456" t="s">
        <v>4203</v>
      </c>
      <c r="F2189" s="2456"/>
      <c r="G2189" s="2484">
        <v>303489.59999999998</v>
      </c>
      <c r="H2189" s="2484"/>
      <c r="I2189" s="2485">
        <f t="shared" si="390"/>
        <v>0</v>
      </c>
      <c r="J2189" s="2485"/>
    </row>
    <row r="2190" spans="1:13" s="2454" customFormat="1" ht="16.5">
      <c r="A2190" s="2465"/>
      <c r="C2190" s="2483">
        <f>SUMIF(C2160:C2178, "5", H2160:H2178)</f>
        <v>0</v>
      </c>
      <c r="D2190" s="2465">
        <f t="shared" si="389"/>
        <v>0</v>
      </c>
      <c r="E2190" s="2456" t="s">
        <v>4204</v>
      </c>
      <c r="F2190" s="2456"/>
      <c r="G2190" s="2484">
        <v>303489.59999999998</v>
      </c>
      <c r="H2190" s="2484"/>
      <c r="I2190" s="2485">
        <f t="shared" si="390"/>
        <v>0</v>
      </c>
      <c r="J2190" s="2485"/>
    </row>
    <row r="2191" spans="1:13" s="2454" customFormat="1" ht="16.5">
      <c r="A2191" s="2465" t="s">
        <v>4205</v>
      </c>
      <c r="B2191" s="2482" t="e">
        <f>SUM(C2185:C2190)</f>
        <v>#VALUE!</v>
      </c>
      <c r="C2191" s="2465"/>
      <c r="D2191" s="2465" t="e">
        <f>SUM(D2185:D2190)</f>
        <v>#VALUE!</v>
      </c>
      <c r="J2191" s="2481" t="s">
        <v>4206</v>
      </c>
      <c r="K2191" s="2486" t="e">
        <f>SUM(I2185:I2189)</f>
        <v>#VALUE!</v>
      </c>
    </row>
    <row r="2192" spans="1:13" s="2454" customFormat="1" ht="16.5"/>
    <row r="2193" spans="1:11" s="2454" customFormat="1" ht="16.5">
      <c r="A2193" s="2454" t="s">
        <v>4207</v>
      </c>
    </row>
    <row r="2194" spans="1:11" s="2454" customFormat="1" ht="15" customHeight="1">
      <c r="A2194" s="2465"/>
      <c r="E2194" s="2454" t="s">
        <v>4208</v>
      </c>
      <c r="K2194" s="2470">
        <f>J2138</f>
        <v>0</v>
      </c>
    </row>
    <row r="2195" spans="1:11" s="2454" customFormat="1" ht="16.5">
      <c r="A2195" s="2465"/>
      <c r="E2195" s="2454" t="s">
        <v>4209</v>
      </c>
      <c r="K2195" s="2470" t="e">
        <f>K2181</f>
        <v>#VALUE!</v>
      </c>
    </row>
    <row r="2196" spans="1:11" s="2454" customFormat="1" ht="16.5">
      <c r="A2196" s="2465"/>
      <c r="E2196" s="2454" t="s">
        <v>4210</v>
      </c>
      <c r="K2196" s="2470" t="e">
        <f>K2191</f>
        <v>#VALUE!</v>
      </c>
    </row>
    <row r="2197" spans="1:11" s="2454" customFormat="1" ht="16.5">
      <c r="A2197" s="2465"/>
      <c r="C2197" s="2456" t="s">
        <v>4211</v>
      </c>
      <c r="D2197" s="2456"/>
      <c r="E2197" s="2456"/>
      <c r="F2197" s="2456"/>
      <c r="G2197" s="2456"/>
      <c r="H2197" s="2456"/>
      <c r="I2197" s="2456"/>
      <c r="J2197" s="2456"/>
      <c r="K2197" s="2487" t="e">
        <f>IF(ISBLANK(J2138),MIN(K2195:K2196),MIN(K2194:K2196))</f>
        <v>#VALUE!</v>
      </c>
    </row>
    <row r="2198" spans="1:11" s="2454" customFormat="1" ht="16.5"/>
    <row r="2199" spans="1:11" s="2454" customFormat="1" ht="16.5"/>
    <row r="2200" spans="1:11" s="2454" customFormat="1" ht="16.5"/>
    <row r="2201" spans="1:11" s="2454" customFormat="1" ht="16.5"/>
  </sheetData>
  <sheetProtection algorithmName="SHA-512" hashValue="P1LaNJFYA9dAy0cjmTJeXzlxsz+Mprc+enPBm8K4v2SNKziVvGvQNpww+gfbe4jW58MLYYA115Z8dJ9oDY6F1Q==" saltValue="r5hNQVL2AglhH5jZs246WA=="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F40B21F5-AD57-413D-B240-0391C84AE4FE}">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20" customWidth="1"/>
    <col min="2" max="13" width="7.85546875" style="3120" customWidth="1"/>
    <col min="14" max="15" width="5.85546875" style="3120" customWidth="1"/>
    <col min="16" max="16384" width="8.85546875" style="3120"/>
  </cols>
  <sheetData>
    <row r="1" spans="1:26" ht="18">
      <c r="N1" s="3121" t="s">
        <v>1438</v>
      </c>
      <c r="O1" s="3121"/>
      <c r="P1" s="3121"/>
      <c r="Q1" s="3121"/>
      <c r="R1" s="3121"/>
      <c r="S1" s="3121"/>
      <c r="T1" s="3121"/>
      <c r="U1" s="3121"/>
      <c r="V1" s="3121"/>
      <c r="W1" s="3121"/>
      <c r="X1" s="3121"/>
      <c r="Y1" s="3121"/>
      <c r="Z1" s="3121"/>
    </row>
    <row r="2" spans="1:26">
      <c r="N2" s="3122" t="s">
        <v>1439</v>
      </c>
      <c r="O2" s="3122"/>
      <c r="P2" s="3122"/>
      <c r="Q2" s="3122"/>
      <c r="R2" s="3122"/>
      <c r="S2" s="3122"/>
      <c r="T2" s="3122"/>
      <c r="U2" s="3122"/>
      <c r="V2" s="3122"/>
      <c r="W2" s="3122"/>
      <c r="X2" s="3122"/>
      <c r="Y2" s="3122"/>
      <c r="Z2" s="3122"/>
    </row>
    <row r="3" spans="1:26">
      <c r="N3" s="3123" t="s">
        <v>1440</v>
      </c>
      <c r="O3" s="3123"/>
      <c r="P3" s="3123"/>
      <c r="Q3" s="3123"/>
      <c r="R3" s="3123"/>
      <c r="S3" s="3123"/>
      <c r="T3" s="3123"/>
      <c r="U3" s="3123"/>
      <c r="V3" s="3123"/>
      <c r="W3" s="3123"/>
      <c r="X3" s="3123"/>
      <c r="Y3" s="3123"/>
      <c r="Z3" s="3123"/>
    </row>
    <row r="4" spans="1:26" ht="16.5">
      <c r="B4" s="3124"/>
      <c r="C4" s="3124"/>
      <c r="D4" s="3124"/>
      <c r="E4" s="3124"/>
      <c r="F4" s="3124"/>
      <c r="G4" s="3124"/>
      <c r="H4" s="3124"/>
      <c r="I4" s="3124"/>
      <c r="J4" s="3124"/>
      <c r="K4" s="3124"/>
      <c r="L4" s="3124"/>
      <c r="M4" s="3124"/>
      <c r="N4" s="3125" t="s">
        <v>672</v>
      </c>
    </row>
    <row r="5" spans="1:26" ht="59.25" customHeight="1">
      <c r="A5" s="4757" t="s">
        <v>2583</v>
      </c>
      <c r="B5" s="4757"/>
      <c r="C5" s="4757"/>
      <c r="D5" s="4757"/>
      <c r="E5" s="4757"/>
      <c r="F5" s="4757"/>
      <c r="G5" s="4757"/>
      <c r="H5" s="4757"/>
      <c r="I5" s="4757"/>
      <c r="J5" s="4757"/>
      <c r="K5" s="4757"/>
      <c r="L5" s="4757"/>
      <c r="M5" s="4757"/>
    </row>
    <row r="6" spans="1:26" ht="11.45" customHeight="1">
      <c r="A6" s="3124"/>
      <c r="B6" s="3124"/>
      <c r="C6" s="3124"/>
      <c r="D6" s="3124"/>
      <c r="E6" s="3124"/>
      <c r="F6" s="3124"/>
      <c r="G6" s="3124"/>
      <c r="H6" s="3124"/>
      <c r="I6" s="3124"/>
      <c r="J6" s="3124"/>
      <c r="K6" s="3124"/>
      <c r="L6" s="3124"/>
      <c r="M6" s="3124"/>
    </row>
    <row r="7" spans="1:26" ht="16.5">
      <c r="A7" s="3124" t="s">
        <v>677</v>
      </c>
      <c r="B7" s="3124"/>
      <c r="C7" s="3124"/>
      <c r="D7" s="3124"/>
      <c r="E7" s="3124"/>
      <c r="F7" s="3124"/>
      <c r="G7" s="3124"/>
      <c r="H7" s="3124"/>
      <c r="I7" s="3124"/>
      <c r="J7" s="3124"/>
      <c r="K7" s="3124"/>
      <c r="L7" s="3124"/>
      <c r="M7" s="3124"/>
    </row>
    <row r="8" spans="1:26" ht="11.45" customHeight="1">
      <c r="A8" s="3124"/>
      <c r="B8" s="3124"/>
      <c r="C8" s="3124"/>
      <c r="D8" s="3124"/>
      <c r="E8" s="3124"/>
      <c r="F8" s="3124"/>
      <c r="G8" s="3124"/>
      <c r="H8" s="3124"/>
      <c r="I8" s="3124"/>
      <c r="J8" s="3124"/>
      <c r="K8" s="3124"/>
      <c r="L8" s="3124"/>
      <c r="M8" s="3124"/>
    </row>
    <row r="9" spans="1:26" ht="16.5">
      <c r="A9" s="4758" t="s">
        <v>1818</v>
      </c>
      <c r="B9" s="4758"/>
      <c r="C9" s="4758"/>
      <c r="D9" s="4758"/>
      <c r="E9" s="4758"/>
      <c r="F9" s="4758"/>
      <c r="G9" s="4758"/>
      <c r="H9" s="4758"/>
      <c r="I9" s="4758"/>
      <c r="J9" s="4758"/>
      <c r="K9" s="4758"/>
      <c r="L9" s="4758"/>
      <c r="M9" s="4758"/>
    </row>
    <row r="10" spans="1:26" ht="6.75" customHeight="1">
      <c r="A10" s="4758"/>
      <c r="B10" s="4758"/>
      <c r="C10" s="4758"/>
      <c r="D10" s="4758"/>
      <c r="E10" s="4758"/>
      <c r="F10" s="4758"/>
      <c r="G10" s="4758"/>
      <c r="H10" s="4758"/>
      <c r="I10" s="4758"/>
      <c r="J10" s="4758"/>
      <c r="K10" s="4758"/>
      <c r="L10" s="4758"/>
      <c r="M10" s="4758"/>
    </row>
    <row r="11" spans="1:26" ht="44.25" customHeight="1">
      <c r="A11" s="4759" t="s">
        <v>6432</v>
      </c>
      <c r="B11" s="4759"/>
      <c r="C11" s="4759"/>
      <c r="D11" s="4759"/>
      <c r="E11" s="4759"/>
      <c r="F11" s="4759"/>
      <c r="G11" s="4759"/>
      <c r="H11" s="4759"/>
      <c r="I11" s="4759"/>
      <c r="J11" s="4759"/>
      <c r="K11" s="4759"/>
      <c r="L11" s="4759"/>
      <c r="M11" s="4759"/>
    </row>
    <row r="12" spans="1:26" ht="3" customHeight="1">
      <c r="A12" s="4758"/>
      <c r="B12" s="4758"/>
      <c r="C12" s="4758"/>
      <c r="D12" s="4758"/>
      <c r="E12" s="4758"/>
      <c r="F12" s="4758"/>
      <c r="G12" s="4758"/>
      <c r="H12" s="4758"/>
      <c r="I12" s="4758"/>
      <c r="J12" s="4758"/>
      <c r="K12" s="4758"/>
      <c r="L12" s="4758"/>
      <c r="M12" s="4758"/>
    </row>
    <row r="13" spans="1:26" ht="101.25" customHeight="1">
      <c r="A13" s="3126" t="s">
        <v>1658</v>
      </c>
      <c r="B13" s="4760" t="s">
        <v>3316</v>
      </c>
      <c r="C13" s="4760"/>
      <c r="D13" s="4760"/>
      <c r="E13" s="4760"/>
      <c r="F13" s="4760"/>
      <c r="G13" s="4760"/>
      <c r="H13" s="4760"/>
      <c r="I13" s="4760"/>
      <c r="J13" s="4760"/>
      <c r="K13" s="4760"/>
      <c r="L13" s="4760"/>
      <c r="M13" s="4760"/>
      <c r="U13" s="3120" t="s">
        <v>6578</v>
      </c>
    </row>
    <row r="14" spans="1:26" ht="47.25" customHeight="1">
      <c r="A14" s="3126" t="s">
        <v>1659</v>
      </c>
      <c r="B14" s="4760" t="s">
        <v>3317</v>
      </c>
      <c r="C14" s="4760"/>
      <c r="D14" s="4760"/>
      <c r="E14" s="4760"/>
      <c r="F14" s="4760"/>
      <c r="G14" s="4760"/>
      <c r="H14" s="4760"/>
      <c r="I14" s="4760"/>
      <c r="J14" s="4760"/>
      <c r="K14" s="4760"/>
      <c r="L14" s="4760"/>
      <c r="M14" s="4760"/>
    </row>
    <row r="15" spans="1:26" ht="117" customHeight="1">
      <c r="A15" s="3126" t="s">
        <v>1660</v>
      </c>
      <c r="B15" s="4760" t="s">
        <v>3318</v>
      </c>
      <c r="C15" s="4760"/>
      <c r="D15" s="4760"/>
      <c r="E15" s="4760"/>
      <c r="F15" s="4760"/>
      <c r="G15" s="4760"/>
      <c r="H15" s="4760"/>
      <c r="I15" s="4760"/>
      <c r="J15" s="4760"/>
      <c r="K15" s="4760"/>
      <c r="L15" s="4760"/>
      <c r="M15" s="4760"/>
    </row>
    <row r="16" spans="1:26" ht="147" customHeight="1">
      <c r="A16" s="3126" t="s">
        <v>2261</v>
      </c>
      <c r="B16" s="4760" t="s">
        <v>3191</v>
      </c>
      <c r="C16" s="4760"/>
      <c r="D16" s="4760"/>
      <c r="E16" s="4760"/>
      <c r="F16" s="4760"/>
      <c r="G16" s="4760"/>
      <c r="H16" s="4760"/>
      <c r="I16" s="4760"/>
      <c r="J16" s="4760"/>
      <c r="K16" s="4760"/>
      <c r="L16" s="4760"/>
      <c r="M16" s="4760"/>
    </row>
    <row r="17" spans="1:13" ht="48.75" customHeight="1">
      <c r="A17" s="3126" t="s">
        <v>1487</v>
      </c>
      <c r="B17" s="4760" t="s">
        <v>653</v>
      </c>
      <c r="C17" s="4760"/>
      <c r="D17" s="4760"/>
      <c r="E17" s="4760"/>
      <c r="F17" s="4760"/>
      <c r="G17" s="4760"/>
      <c r="H17" s="4760"/>
      <c r="I17" s="4760"/>
      <c r="J17" s="4760"/>
      <c r="K17" s="4760"/>
      <c r="L17" s="4760"/>
      <c r="M17" s="4760"/>
    </row>
    <row r="18" spans="1:13" ht="165" customHeight="1">
      <c r="A18" s="3126" t="s">
        <v>1488</v>
      </c>
      <c r="B18" s="4760" t="s">
        <v>3190</v>
      </c>
      <c r="C18" s="4760"/>
      <c r="D18" s="4760"/>
      <c r="E18" s="4760"/>
      <c r="F18" s="4760"/>
      <c r="G18" s="4760"/>
      <c r="H18" s="4760"/>
      <c r="I18" s="4760"/>
      <c r="J18" s="4760"/>
      <c r="K18" s="4760"/>
      <c r="L18" s="4760"/>
      <c r="M18" s="4760"/>
    </row>
    <row r="19" spans="1:13" ht="48.75" customHeight="1">
      <c r="A19" s="3126" t="s">
        <v>92</v>
      </c>
      <c r="B19" s="4756" t="s">
        <v>3319</v>
      </c>
      <c r="C19" s="4756"/>
      <c r="D19" s="4756"/>
      <c r="E19" s="4756"/>
      <c r="F19" s="4756"/>
      <c r="G19" s="4756"/>
      <c r="H19" s="4756"/>
      <c r="I19" s="4756"/>
      <c r="J19" s="4756"/>
      <c r="K19" s="4756"/>
      <c r="L19" s="4756"/>
      <c r="M19" s="4756"/>
    </row>
    <row r="20" spans="1:13" ht="50.25" customHeight="1">
      <c r="A20" s="3126" t="s">
        <v>489</v>
      </c>
      <c r="B20" s="4760" t="s">
        <v>3192</v>
      </c>
      <c r="C20" s="4760"/>
      <c r="D20" s="4760"/>
      <c r="E20" s="4760"/>
      <c r="F20" s="4760"/>
      <c r="G20" s="4760"/>
      <c r="H20" s="4760"/>
      <c r="I20" s="4760"/>
      <c r="J20" s="4760"/>
      <c r="K20" s="4760"/>
      <c r="L20" s="4760"/>
      <c r="M20" s="4760"/>
    </row>
    <row r="21" spans="1:13" ht="31.5" customHeight="1">
      <c r="A21" s="3126" t="s">
        <v>490</v>
      </c>
      <c r="B21" s="4760" t="s">
        <v>3209</v>
      </c>
      <c r="C21" s="4760"/>
      <c r="D21" s="4760"/>
      <c r="E21" s="4760"/>
      <c r="F21" s="4760"/>
      <c r="G21" s="4760"/>
      <c r="H21" s="4760"/>
      <c r="I21" s="4760"/>
      <c r="J21" s="4760"/>
      <c r="K21" s="4760"/>
      <c r="L21" s="4760"/>
      <c r="M21" s="4760"/>
    </row>
    <row r="22" spans="1:13" ht="1.5" customHeight="1">
      <c r="A22" s="4758"/>
      <c r="B22" s="4758"/>
      <c r="C22" s="4758"/>
      <c r="D22" s="4758"/>
      <c r="E22" s="4758"/>
      <c r="F22" s="4758"/>
      <c r="G22" s="4758"/>
      <c r="H22" s="4758"/>
      <c r="I22" s="4758"/>
      <c r="J22" s="4758"/>
      <c r="K22" s="4758"/>
      <c r="L22" s="4758"/>
      <c r="M22" s="4758"/>
    </row>
    <row r="23" spans="1:13" ht="3" customHeight="1">
      <c r="A23" s="4758"/>
      <c r="B23" s="4758"/>
      <c r="C23" s="4758"/>
      <c r="D23" s="4758"/>
      <c r="E23" s="4758"/>
      <c r="F23" s="4758"/>
      <c r="G23" s="4758"/>
      <c r="H23" s="4758"/>
      <c r="I23" s="4758"/>
      <c r="J23" s="4758"/>
      <c r="K23" s="4758"/>
      <c r="L23" s="4758"/>
      <c r="M23" s="4758"/>
    </row>
    <row r="24" spans="1:13" ht="13.5" customHeight="1">
      <c r="A24" s="4758" t="s">
        <v>1408</v>
      </c>
      <c r="B24" s="4758"/>
      <c r="C24" s="4758"/>
      <c r="D24" s="4758"/>
      <c r="E24" s="4758"/>
      <c r="F24" s="4758"/>
      <c r="G24" s="4758"/>
      <c r="H24" s="4758"/>
      <c r="I24" s="4758"/>
      <c r="J24" s="4758"/>
      <c r="K24" s="4758"/>
      <c r="L24" s="4758"/>
      <c r="M24" s="4758"/>
    </row>
    <row r="25" spans="1:13" ht="32.25" customHeight="1">
      <c r="A25" s="3126" t="s">
        <v>1409</v>
      </c>
      <c r="B25" s="4760" t="s">
        <v>3210</v>
      </c>
      <c r="C25" s="4760"/>
      <c r="D25" s="4760"/>
      <c r="E25" s="4760"/>
      <c r="F25" s="4760"/>
      <c r="G25" s="4760"/>
      <c r="H25" s="4760"/>
      <c r="I25" s="4760"/>
      <c r="J25" s="4760"/>
      <c r="K25" s="4760"/>
      <c r="L25" s="4760"/>
      <c r="M25" s="4760"/>
    </row>
    <row r="26" spans="1:13" ht="31.5" customHeight="1">
      <c r="A26" s="3126" t="s">
        <v>1409</v>
      </c>
      <c r="B26" s="4760" t="s">
        <v>3211</v>
      </c>
      <c r="C26" s="4760"/>
      <c r="D26" s="4760"/>
      <c r="E26" s="4760"/>
      <c r="F26" s="4760"/>
      <c r="G26" s="4760"/>
      <c r="H26" s="4760"/>
      <c r="I26" s="4760"/>
      <c r="J26" s="4760"/>
      <c r="K26" s="4760"/>
      <c r="L26" s="4760"/>
      <c r="M26" s="4760"/>
    </row>
    <row r="27" spans="1:13" ht="78.75" customHeight="1">
      <c r="A27" s="3126" t="s">
        <v>1409</v>
      </c>
      <c r="B27" s="4760" t="s">
        <v>2584</v>
      </c>
      <c r="C27" s="4760"/>
      <c r="D27" s="4760"/>
      <c r="E27" s="4760"/>
      <c r="F27" s="4760"/>
      <c r="G27" s="4760"/>
      <c r="H27" s="4760"/>
      <c r="I27" s="4760"/>
      <c r="J27" s="4760"/>
      <c r="K27" s="4760"/>
      <c r="L27" s="4760"/>
      <c r="M27" s="4760"/>
    </row>
    <row r="28" spans="1:13" ht="7.5" customHeight="1">
      <c r="A28" s="4758"/>
      <c r="B28" s="4758"/>
      <c r="C28" s="4758"/>
      <c r="D28" s="4758"/>
      <c r="E28" s="4758"/>
      <c r="F28" s="4758"/>
      <c r="G28" s="4758"/>
      <c r="H28" s="4758"/>
      <c r="I28" s="4758"/>
      <c r="J28" s="4758"/>
      <c r="K28" s="4758"/>
      <c r="L28" s="4758"/>
      <c r="M28" s="4758"/>
    </row>
    <row r="29" spans="1:13" ht="43.5" customHeight="1">
      <c r="A29" s="4760" t="s">
        <v>911</v>
      </c>
      <c r="B29" s="4760"/>
      <c r="C29" s="4760"/>
      <c r="D29" s="4760"/>
      <c r="E29" s="4760"/>
      <c r="F29" s="4760"/>
      <c r="G29" s="4760"/>
      <c r="H29" s="4760"/>
      <c r="I29" s="4760"/>
      <c r="J29" s="4760"/>
      <c r="K29" s="4760"/>
      <c r="L29" s="4760"/>
      <c r="M29" s="4760"/>
    </row>
    <row r="30" spans="1:13" ht="3" customHeight="1">
      <c r="A30" s="4758"/>
      <c r="B30" s="4758"/>
      <c r="C30" s="4758"/>
      <c r="D30" s="4758"/>
      <c r="E30" s="4758"/>
      <c r="F30" s="4758"/>
      <c r="G30" s="4758"/>
      <c r="H30" s="4758"/>
      <c r="I30" s="4758"/>
      <c r="J30" s="4758"/>
      <c r="K30" s="4758"/>
      <c r="L30" s="4758"/>
      <c r="M30" s="4758"/>
    </row>
    <row r="31" spans="1:13" ht="32.25" customHeight="1">
      <c r="A31" s="4760" t="s">
        <v>2585</v>
      </c>
      <c r="B31" s="4760"/>
      <c r="C31" s="4760"/>
      <c r="D31" s="4760"/>
      <c r="E31" s="4760"/>
      <c r="F31" s="4760"/>
      <c r="G31" s="4760"/>
      <c r="H31" s="4760"/>
      <c r="I31" s="4760"/>
      <c r="J31" s="4760"/>
      <c r="K31" s="4760"/>
      <c r="L31" s="4760"/>
      <c r="M31" s="4760"/>
    </row>
    <row r="32" spans="1:13" ht="4.5" customHeight="1">
      <c r="A32" s="4758"/>
      <c r="B32" s="4758"/>
      <c r="C32" s="4758"/>
      <c r="D32" s="4758"/>
      <c r="E32" s="4758"/>
      <c r="F32" s="4758"/>
      <c r="G32" s="4758"/>
      <c r="H32" s="4758"/>
      <c r="I32" s="4758"/>
      <c r="J32" s="4758"/>
      <c r="K32" s="4758"/>
      <c r="L32" s="4758"/>
      <c r="M32" s="4758"/>
    </row>
    <row r="33" spans="1:13" ht="16.5">
      <c r="A33" s="4758" t="s">
        <v>888</v>
      </c>
      <c r="B33" s="4758"/>
      <c r="C33" s="4758"/>
      <c r="D33" s="4758"/>
      <c r="E33" s="4758"/>
      <c r="F33" s="4758"/>
      <c r="G33" s="4758"/>
      <c r="H33" s="4758"/>
      <c r="I33" s="4758"/>
      <c r="J33" s="4758"/>
      <c r="K33" s="4758"/>
      <c r="L33" s="4758"/>
      <c r="M33" s="4758"/>
    </row>
    <row r="34" spans="1:13" ht="6" customHeight="1">
      <c r="A34" s="3127"/>
      <c r="B34" s="3127"/>
      <c r="C34" s="3127"/>
      <c r="D34" s="3127"/>
      <c r="E34" s="3127"/>
      <c r="F34" s="3127"/>
      <c r="G34" s="3127"/>
      <c r="H34" s="3127"/>
      <c r="I34" s="3127"/>
      <c r="J34" s="3127"/>
      <c r="K34" s="3127"/>
      <c r="L34" s="3127"/>
      <c r="M34" s="3127"/>
    </row>
    <row r="35" spans="1:13" ht="16.5">
      <c r="A35" s="4761" t="s">
        <v>6937</v>
      </c>
      <c r="B35" s="4761"/>
      <c r="C35" s="4761"/>
      <c r="D35" s="4761"/>
      <c r="E35" s="4761"/>
      <c r="F35" s="4761"/>
      <c r="G35" s="3128"/>
      <c r="H35" s="4761" t="s">
        <v>6967</v>
      </c>
      <c r="I35" s="4761"/>
      <c r="J35" s="4761"/>
      <c r="K35" s="4761"/>
      <c r="L35" s="4761"/>
      <c r="M35" s="4761"/>
    </row>
    <row r="36" spans="1:13" ht="12" customHeight="1">
      <c r="A36" s="4762" t="s">
        <v>889</v>
      </c>
      <c r="B36" s="4762"/>
      <c r="C36" s="4762"/>
      <c r="D36" s="4762"/>
      <c r="E36" s="4762"/>
      <c r="F36" s="4762"/>
      <c r="G36" s="3128"/>
      <c r="H36" s="4762" t="s">
        <v>1891</v>
      </c>
      <c r="I36" s="4762"/>
      <c r="J36" s="4762"/>
      <c r="K36" s="4762"/>
      <c r="L36" s="4762"/>
      <c r="M36" s="4762"/>
    </row>
    <row r="37" spans="1:13" ht="6" customHeight="1">
      <c r="A37" s="3128"/>
      <c r="B37" s="3128"/>
      <c r="C37" s="3128"/>
      <c r="D37" s="3128"/>
      <c r="E37" s="3128"/>
      <c r="F37" s="3128"/>
      <c r="G37" s="3128"/>
      <c r="H37" s="3128"/>
      <c r="I37" s="3128"/>
      <c r="J37" s="3128"/>
      <c r="K37" s="3128"/>
      <c r="L37" s="3128"/>
      <c r="M37" s="3128"/>
    </row>
    <row r="38" spans="1:13" ht="16.5">
      <c r="A38" s="4761"/>
      <c r="B38" s="4761"/>
      <c r="C38" s="4761"/>
      <c r="D38" s="4761"/>
      <c r="E38" s="4761"/>
      <c r="F38" s="4761"/>
      <c r="G38" s="3128"/>
      <c r="H38" s="4763">
        <v>44317</v>
      </c>
      <c r="I38" s="4763"/>
      <c r="J38" s="4763"/>
      <c r="K38" s="4763"/>
      <c r="L38" s="4763"/>
      <c r="M38" s="4763"/>
    </row>
    <row r="39" spans="1:13" ht="12" customHeight="1">
      <c r="A39" s="4762" t="s">
        <v>890</v>
      </c>
      <c r="B39" s="4762"/>
      <c r="C39" s="4762"/>
      <c r="D39" s="4762"/>
      <c r="E39" s="4762"/>
      <c r="F39" s="4762"/>
      <c r="G39" s="3128"/>
      <c r="H39" s="4762" t="s">
        <v>891</v>
      </c>
      <c r="I39" s="4762"/>
      <c r="J39" s="4762"/>
      <c r="K39" s="4762"/>
      <c r="L39" s="4762"/>
      <c r="M39" s="4762"/>
    </row>
    <row r="40" spans="1:13" ht="3" customHeight="1">
      <c r="A40" s="3129"/>
      <c r="B40" s="3129"/>
      <c r="C40" s="3129"/>
      <c r="D40" s="3129"/>
      <c r="E40" s="3129"/>
      <c r="F40" s="3129"/>
      <c r="G40" s="3128"/>
      <c r="H40" s="3129"/>
      <c r="I40" s="3129"/>
      <c r="J40" s="3129"/>
      <c r="K40" s="3129"/>
      <c r="L40" s="3129"/>
      <c r="M40" s="3129"/>
    </row>
    <row r="41" spans="1:13" ht="11.45" customHeight="1">
      <c r="A41" s="3124"/>
      <c r="B41" s="3124"/>
      <c r="C41" s="3124"/>
      <c r="D41" s="3124"/>
      <c r="E41" s="3124"/>
      <c r="F41" s="3124"/>
      <c r="G41" s="3124"/>
      <c r="H41" s="4764" t="s">
        <v>892</v>
      </c>
      <c r="I41" s="4764"/>
      <c r="J41" s="4764"/>
      <c r="K41" s="4764"/>
      <c r="L41" s="4764"/>
      <c r="M41" s="4764"/>
    </row>
    <row r="42" spans="1:13" ht="11.45" customHeight="1">
      <c r="A42" s="3124"/>
      <c r="B42" s="3124"/>
      <c r="C42" s="3124"/>
      <c r="D42" s="3124"/>
      <c r="E42" s="3124"/>
      <c r="F42" s="3124"/>
      <c r="G42" s="3124"/>
    </row>
    <row r="43" spans="1:13" ht="11.45" customHeight="1">
      <c r="A43" s="3124"/>
      <c r="B43" s="3124"/>
      <c r="C43" s="3124"/>
      <c r="D43" s="3124"/>
      <c r="E43" s="3124"/>
      <c r="F43" s="3124"/>
      <c r="G43" s="3124"/>
      <c r="H43" s="3124"/>
      <c r="I43" s="3124"/>
      <c r="J43" s="3124"/>
      <c r="K43" s="3124"/>
      <c r="L43" s="3124"/>
      <c r="M43" s="3124"/>
    </row>
    <row r="44" spans="1:13" ht="11.45" customHeight="1">
      <c r="A44" s="3124"/>
      <c r="B44" s="3124"/>
      <c r="C44" s="3124"/>
      <c r="D44" s="3124"/>
      <c r="E44" s="3124"/>
      <c r="F44" s="3124"/>
      <c r="G44" s="3124"/>
      <c r="H44" s="3124"/>
      <c r="I44" s="3124"/>
      <c r="J44" s="3124"/>
      <c r="K44" s="3124"/>
      <c r="L44" s="3124"/>
      <c r="M44" s="3124"/>
    </row>
    <row r="45" spans="1:13" ht="11.45" customHeight="1"/>
    <row r="46" spans="1:13" ht="11.45" customHeight="1"/>
    <row r="47" spans="1:13" ht="11.45" customHeight="1"/>
    <row r="48" spans="1:13" ht="11.45" customHeight="1"/>
    <row r="49" ht="11.45" customHeight="1"/>
  </sheetData>
  <sheetProtection algorithmName="SHA-512" hashValue="GJAAeNv++kPqXOh3wl3wrvbOlW9S4u4oln5Z7DTBU39K4rtOl9hmCcMsI0F3F3jgwV5kOUtT8Cz0zzBDi9emuQ==" saltValue="p0NT7K48pBFacebHEqsy0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6"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69" t="s">
        <v>691</v>
      </c>
      <c r="B2" s="4770"/>
      <c r="C2" s="4770"/>
      <c r="D2" s="4770"/>
      <c r="E2" s="4770"/>
      <c r="F2" s="4770"/>
      <c r="G2" s="4770"/>
      <c r="H2" s="4770"/>
      <c r="I2" s="4770"/>
      <c r="J2" s="4770"/>
      <c r="K2" s="4770"/>
      <c r="L2" s="4770"/>
      <c r="M2" s="4770"/>
      <c r="N2" s="4770"/>
      <c r="O2" s="4770"/>
      <c r="P2" s="4770"/>
      <c r="Q2" s="4770"/>
      <c r="R2" s="4771"/>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2824</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6541</v>
      </c>
      <c r="K6" s="168"/>
      <c r="L6" s="168" t="s">
        <v>6398</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6399</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2300</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2279</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3281</v>
      </c>
      <c r="G11" s="168"/>
      <c r="H11" s="166"/>
      <c r="I11" s="166"/>
      <c r="J11" s="515" t="s">
        <v>3282</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4110</v>
      </c>
      <c r="G12" s="168"/>
      <c r="H12" s="166"/>
      <c r="I12" s="166"/>
      <c r="J12" s="515" t="s">
        <v>3263</v>
      </c>
      <c r="K12" s="277"/>
      <c r="M12" s="277"/>
      <c r="N12" s="277"/>
      <c r="O12" s="168"/>
      <c r="Q12" s="4765">
        <v>0.1</v>
      </c>
      <c r="R12" s="4766"/>
      <c r="S12" s="287"/>
      <c r="T12" s="166"/>
      <c r="U12" s="166"/>
      <c r="V12" s="863"/>
      <c r="W12" s="863"/>
      <c r="X12" s="863"/>
      <c r="AA12" s="481"/>
      <c r="AB12" s="481"/>
    </row>
    <row r="13" spans="1:28" s="267" customFormat="1" ht="12.75" customHeight="1">
      <c r="A13" s="168"/>
      <c r="B13" s="168"/>
      <c r="C13" s="168"/>
      <c r="F13" s="1368" t="s">
        <v>2562</v>
      </c>
      <c r="G13" s="1369"/>
      <c r="H13" s="1369"/>
      <c r="I13" s="1377" t="s">
        <v>4101</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4102</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4103</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4104</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4105</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4106</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72" t="s">
        <v>3120</v>
      </c>
      <c r="G20" s="4773"/>
      <c r="H20" s="4773"/>
      <c r="I20" s="4773"/>
      <c r="J20" s="4774"/>
      <c r="K20" s="277"/>
      <c r="L20" s="516" t="s">
        <v>3263</v>
      </c>
      <c r="M20" s="277"/>
      <c r="N20" s="4772" t="s">
        <v>3120</v>
      </c>
      <c r="O20" s="4773"/>
      <c r="P20" s="4773"/>
      <c r="Q20" s="4773"/>
      <c r="R20" s="4774"/>
      <c r="S20" s="287"/>
      <c r="T20" s="166"/>
      <c r="U20" s="166"/>
      <c r="V20" s="863"/>
      <c r="W20" s="863"/>
      <c r="X20" s="863"/>
      <c r="AA20" s="481"/>
      <c r="AB20" s="481"/>
    </row>
    <row r="21" spans="1:28" s="267" customFormat="1" ht="11.45" customHeight="1">
      <c r="A21" s="168"/>
      <c r="D21" s="517" t="s">
        <v>2490</v>
      </c>
      <c r="E21" s="517" t="s">
        <v>1248</v>
      </c>
      <c r="F21" s="518">
        <v>0</v>
      </c>
      <c r="G21" s="519">
        <v>1</v>
      </c>
      <c r="H21" s="918">
        <v>2</v>
      </c>
      <c r="I21" s="918">
        <v>3</v>
      </c>
      <c r="J21" s="520" t="s">
        <v>3117</v>
      </c>
      <c r="L21" s="517" t="s">
        <v>2490</v>
      </c>
      <c r="M21" s="517" t="s">
        <v>1248</v>
      </c>
      <c r="N21" s="518">
        <v>0</v>
      </c>
      <c r="O21" s="519">
        <v>1</v>
      </c>
      <c r="P21" s="918">
        <v>2</v>
      </c>
      <c r="Q21" s="918">
        <v>3</v>
      </c>
      <c r="R21" s="520" t="s">
        <v>3117</v>
      </c>
      <c r="S21" s="287"/>
      <c r="T21" s="166"/>
      <c r="U21" s="166"/>
      <c r="V21" s="863"/>
      <c r="W21" s="863"/>
      <c r="X21" s="863"/>
      <c r="AA21" s="481"/>
      <c r="AB21" s="481"/>
    </row>
    <row r="22" spans="1:28" s="267" customFormat="1" ht="11.45" customHeight="1">
      <c r="A22" s="168"/>
      <c r="C22" s="307"/>
      <c r="D22" s="883" t="s">
        <v>1702</v>
      </c>
      <c r="E22" s="883" t="s">
        <v>3119</v>
      </c>
      <c r="F22" s="884">
        <v>142816</v>
      </c>
      <c r="G22" s="884">
        <v>184662</v>
      </c>
      <c r="H22" s="884">
        <v>220865</v>
      </c>
      <c r="I22" s="884">
        <v>263215</v>
      </c>
      <c r="J22" s="884">
        <v>310038</v>
      </c>
      <c r="L22" s="287" t="s">
        <v>1702</v>
      </c>
      <c r="M22" s="287" t="s">
        <v>3119</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3116</v>
      </c>
      <c r="F23" s="884">
        <v>111333</v>
      </c>
      <c r="G23" s="884">
        <v>155866</v>
      </c>
      <c r="H23" s="884">
        <v>200399</v>
      </c>
      <c r="I23" s="884">
        <v>267199</v>
      </c>
      <c r="J23" s="884">
        <v>333999</v>
      </c>
      <c r="L23" s="287" t="s">
        <v>1702</v>
      </c>
      <c r="M23" s="287" t="s">
        <v>3116</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3114</v>
      </c>
      <c r="F24" s="884">
        <v>123345</v>
      </c>
      <c r="G24" s="884">
        <v>160923</v>
      </c>
      <c r="H24" s="884">
        <v>194869</v>
      </c>
      <c r="I24" s="884">
        <v>237606</v>
      </c>
      <c r="J24" s="884">
        <v>281429</v>
      </c>
      <c r="L24" s="287" t="s">
        <v>1702</v>
      </c>
      <c r="M24" s="287" t="s">
        <v>3114</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3115</v>
      </c>
      <c r="F25" s="884">
        <v>110658</v>
      </c>
      <c r="G25" s="884">
        <v>150909</v>
      </c>
      <c r="H25" s="884">
        <v>191026</v>
      </c>
      <c r="I25" s="884">
        <v>251664</v>
      </c>
      <c r="J25" s="884">
        <v>311733</v>
      </c>
      <c r="L25" s="287" t="s">
        <v>1702</v>
      </c>
      <c r="M25" s="287" t="s">
        <v>3115</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3119</v>
      </c>
      <c r="F26" s="876">
        <v>141797</v>
      </c>
      <c r="G26" s="876">
        <v>183527</v>
      </c>
      <c r="H26" s="876">
        <v>219633</v>
      </c>
      <c r="I26" s="876">
        <v>261936</v>
      </c>
      <c r="J26" s="876">
        <v>308710</v>
      </c>
      <c r="L26" s="287" t="s">
        <v>158</v>
      </c>
      <c r="M26" s="287" t="s">
        <v>3119</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3116</v>
      </c>
      <c r="F27" s="876">
        <v>110497</v>
      </c>
      <c r="G27" s="876">
        <v>154696</v>
      </c>
      <c r="H27" s="876">
        <v>198895</v>
      </c>
      <c r="I27" s="876">
        <v>265193</v>
      </c>
      <c r="J27" s="876">
        <v>331491</v>
      </c>
      <c r="L27" s="287" t="s">
        <v>158</v>
      </c>
      <c r="M27" s="287" t="s">
        <v>3116</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3114</v>
      </c>
      <c r="F28" s="876">
        <v>121614</v>
      </c>
      <c r="G28" s="876">
        <v>158920</v>
      </c>
      <c r="H28" s="876">
        <v>192685</v>
      </c>
      <c r="I28" s="876">
        <v>235391</v>
      </c>
      <c r="J28" s="876">
        <v>279054</v>
      </c>
      <c r="L28" s="287" t="s">
        <v>158</v>
      </c>
      <c r="M28" s="287" t="s">
        <v>3114</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3115</v>
      </c>
      <c r="F29" s="876">
        <v>108520</v>
      </c>
      <c r="G29" s="876">
        <v>147769</v>
      </c>
      <c r="H29" s="876">
        <v>186880</v>
      </c>
      <c r="I29" s="876">
        <v>246024</v>
      </c>
      <c r="J29" s="876">
        <v>304578</v>
      </c>
      <c r="L29" s="287" t="s">
        <v>158</v>
      </c>
      <c r="M29" s="287" t="s">
        <v>3115</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3119</v>
      </c>
      <c r="F30" s="874">
        <v>155687</v>
      </c>
      <c r="G30" s="874">
        <v>201438</v>
      </c>
      <c r="H30" s="874">
        <v>241022</v>
      </c>
      <c r="I30" s="874">
        <v>287374</v>
      </c>
      <c r="J30" s="874">
        <v>338625</v>
      </c>
      <c r="L30" s="515" t="s">
        <v>1159</v>
      </c>
      <c r="M30" s="515" t="s">
        <v>3119</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3116</v>
      </c>
      <c r="F31" s="874">
        <v>121337</v>
      </c>
      <c r="G31" s="874">
        <v>169871</v>
      </c>
      <c r="H31" s="874">
        <v>218406</v>
      </c>
      <c r="I31" s="874">
        <v>291208</v>
      </c>
      <c r="J31" s="874">
        <v>364010</v>
      </c>
      <c r="L31" s="515" t="s">
        <v>1159</v>
      </c>
      <c r="M31" s="515" t="s">
        <v>3116</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3114</v>
      </c>
      <c r="F32" s="874">
        <v>133842</v>
      </c>
      <c r="G32" s="874">
        <v>174804</v>
      </c>
      <c r="H32" s="874">
        <v>211854</v>
      </c>
      <c r="I32" s="874">
        <v>258642</v>
      </c>
      <c r="J32" s="874">
        <v>306526</v>
      </c>
      <c r="L32" s="515" t="s">
        <v>1159</v>
      </c>
      <c r="M32" s="515" t="s">
        <v>3114</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3115</v>
      </c>
      <c r="F33" s="874">
        <v>119649</v>
      </c>
      <c r="G33" s="874">
        <v>163008</v>
      </c>
      <c r="H33" s="874">
        <v>206217</v>
      </c>
      <c r="I33" s="874">
        <v>271547</v>
      </c>
      <c r="J33" s="874">
        <v>336239</v>
      </c>
      <c r="L33" s="515" t="s">
        <v>1159</v>
      </c>
      <c r="M33" s="515" t="s">
        <v>3115</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3119</v>
      </c>
      <c r="F34" s="878">
        <v>145521</v>
      </c>
      <c r="G34" s="878">
        <v>188031</v>
      </c>
      <c r="H34" s="878">
        <v>224805</v>
      </c>
      <c r="I34" s="878">
        <v>267776</v>
      </c>
      <c r="J34" s="878">
        <v>315283</v>
      </c>
      <c r="L34" s="515" t="s">
        <v>1281</v>
      </c>
      <c r="M34" s="515" t="s">
        <v>3119</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3116</v>
      </c>
      <c r="F35" s="878">
        <v>113472</v>
      </c>
      <c r="G35" s="878">
        <v>158861</v>
      </c>
      <c r="H35" s="878">
        <v>204249</v>
      </c>
      <c r="I35" s="878">
        <v>272333</v>
      </c>
      <c r="J35" s="878">
        <v>340416</v>
      </c>
      <c r="L35" s="515" t="s">
        <v>1281</v>
      </c>
      <c r="M35" s="515" t="s">
        <v>3116</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3114</v>
      </c>
      <c r="F36" s="878">
        <v>126289</v>
      </c>
      <c r="G36" s="878">
        <v>164581</v>
      </c>
      <c r="H36" s="878">
        <v>199126</v>
      </c>
      <c r="I36" s="878">
        <v>242479</v>
      </c>
      <c r="J36" s="878">
        <v>287022</v>
      </c>
      <c r="L36" s="515" t="s">
        <v>1281</v>
      </c>
      <c r="M36" s="515" t="s">
        <v>3114</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3115</v>
      </c>
      <c r="F37" s="878">
        <v>113715</v>
      </c>
      <c r="G37" s="878">
        <v>155238</v>
      </c>
      <c r="H37" s="878">
        <v>196629</v>
      </c>
      <c r="I37" s="878">
        <v>259171</v>
      </c>
      <c r="J37" s="878">
        <v>321151</v>
      </c>
      <c r="L37" s="515" t="s">
        <v>1281</v>
      </c>
      <c r="M37" s="515" t="s">
        <v>3115</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3119</v>
      </c>
      <c r="F38" s="757">
        <v>151294</v>
      </c>
      <c r="G38" s="757">
        <v>195836</v>
      </c>
      <c r="H38" s="757">
        <v>234374</v>
      </c>
      <c r="I38" s="757">
        <v>279532</v>
      </c>
      <c r="J38" s="757">
        <v>329464</v>
      </c>
      <c r="L38" s="900" t="s">
        <v>1460</v>
      </c>
      <c r="M38" s="515" t="s">
        <v>3119</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3116</v>
      </c>
      <c r="F39" s="757">
        <v>117895</v>
      </c>
      <c r="G39" s="757">
        <v>165052</v>
      </c>
      <c r="H39" s="757">
        <v>212210</v>
      </c>
      <c r="I39" s="757">
        <v>282947</v>
      </c>
      <c r="J39" s="757">
        <v>353684</v>
      </c>
      <c r="L39" s="900" t="s">
        <v>1460</v>
      </c>
      <c r="M39" s="515" t="s">
        <v>3116</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3114</v>
      </c>
      <c r="F40" s="757">
        <v>129687</v>
      </c>
      <c r="G40" s="757">
        <v>169491</v>
      </c>
      <c r="H40" s="757">
        <v>205524</v>
      </c>
      <c r="I40" s="757">
        <v>251113</v>
      </c>
      <c r="J40" s="757">
        <v>297714</v>
      </c>
      <c r="L40" s="900" t="s">
        <v>1460</v>
      </c>
      <c r="M40" s="515" t="s">
        <v>3114</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3115</v>
      </c>
      <c r="F41" s="757">
        <v>115673</v>
      </c>
      <c r="G41" s="757">
        <v>157490</v>
      </c>
      <c r="H41" s="757">
        <v>199159</v>
      </c>
      <c r="I41" s="757">
        <v>262174</v>
      </c>
      <c r="J41" s="757">
        <v>324557</v>
      </c>
      <c r="L41" s="900" t="s">
        <v>1460</v>
      </c>
      <c r="M41" s="515" t="s">
        <v>3115</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3119</v>
      </c>
      <c r="F42" s="880">
        <v>142816</v>
      </c>
      <c r="G42" s="880">
        <v>184662</v>
      </c>
      <c r="H42" s="880">
        <v>220865</v>
      </c>
      <c r="I42" s="880">
        <v>263215</v>
      </c>
      <c r="J42" s="880">
        <v>310038</v>
      </c>
      <c r="L42" s="287" t="s">
        <v>153</v>
      </c>
      <c r="M42" s="287" t="s">
        <v>3119</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3116</v>
      </c>
      <c r="F43" s="880">
        <v>111333</v>
      </c>
      <c r="G43" s="880">
        <v>155866</v>
      </c>
      <c r="H43" s="880">
        <v>200399</v>
      </c>
      <c r="I43" s="880">
        <v>267199</v>
      </c>
      <c r="J43" s="880">
        <v>333999</v>
      </c>
      <c r="L43" s="287" t="s">
        <v>153</v>
      </c>
      <c r="M43" s="287" t="s">
        <v>3116</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3114</v>
      </c>
      <c r="F44" s="880">
        <v>123345</v>
      </c>
      <c r="G44" s="880">
        <v>160923</v>
      </c>
      <c r="H44" s="880">
        <v>194869</v>
      </c>
      <c r="I44" s="880">
        <v>237606</v>
      </c>
      <c r="J44" s="880">
        <v>281429</v>
      </c>
      <c r="L44" s="287" t="s">
        <v>153</v>
      </c>
      <c r="M44" s="287" t="s">
        <v>3114</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3115</v>
      </c>
      <c r="F45" s="880">
        <v>110658</v>
      </c>
      <c r="G45" s="880">
        <v>150909</v>
      </c>
      <c r="H45" s="880">
        <v>191026</v>
      </c>
      <c r="I45" s="880">
        <v>251664</v>
      </c>
      <c r="J45" s="880">
        <v>311733</v>
      </c>
      <c r="L45" s="287" t="s">
        <v>153</v>
      </c>
      <c r="M45" s="287" t="s">
        <v>3115</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3119</v>
      </c>
      <c r="F46" s="882">
        <v>145346</v>
      </c>
      <c r="G46" s="882">
        <v>188013</v>
      </c>
      <c r="H46" s="882">
        <v>224927</v>
      </c>
      <c r="I46" s="882">
        <v>268137</v>
      </c>
      <c r="J46" s="882">
        <v>315913</v>
      </c>
      <c r="L46" s="515" t="s">
        <v>1271</v>
      </c>
      <c r="M46" s="515" t="s">
        <v>3119</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3116</v>
      </c>
      <c r="F47" s="882">
        <v>113288</v>
      </c>
      <c r="G47" s="882">
        <v>158603</v>
      </c>
      <c r="H47" s="882">
        <v>203918</v>
      </c>
      <c r="I47" s="882">
        <v>271890</v>
      </c>
      <c r="J47" s="882">
        <v>339863</v>
      </c>
      <c r="L47" s="515" t="s">
        <v>1271</v>
      </c>
      <c r="M47" s="515" t="s">
        <v>3116</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3114</v>
      </c>
      <c r="F48" s="882">
        <v>125163</v>
      </c>
      <c r="G48" s="882">
        <v>163405</v>
      </c>
      <c r="H48" s="882">
        <v>197979</v>
      </c>
      <c r="I48" s="882">
        <v>241592</v>
      </c>
      <c r="J48" s="882">
        <v>286257</v>
      </c>
      <c r="L48" s="515" t="s">
        <v>1271</v>
      </c>
      <c r="M48" s="515" t="s">
        <v>3114</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3115</v>
      </c>
      <c r="F49" s="882">
        <v>112036</v>
      </c>
      <c r="G49" s="882">
        <v>152693</v>
      </c>
      <c r="H49" s="882">
        <v>193210</v>
      </c>
      <c r="I49" s="882">
        <v>254464</v>
      </c>
      <c r="J49" s="882">
        <v>315128</v>
      </c>
      <c r="L49" s="515" t="s">
        <v>1271</v>
      </c>
      <c r="M49" s="515" t="s">
        <v>3115</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3119</v>
      </c>
      <c r="F50" s="874">
        <v>148008</v>
      </c>
      <c r="G50" s="874">
        <v>191377</v>
      </c>
      <c r="H50" s="874">
        <v>228898</v>
      </c>
      <c r="I50" s="874">
        <v>272788</v>
      </c>
      <c r="J50" s="874">
        <v>321315</v>
      </c>
      <c r="L50" s="515" t="s">
        <v>1277</v>
      </c>
      <c r="M50" s="515" t="s">
        <v>3119</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3116</v>
      </c>
      <c r="F51" s="874">
        <v>115381</v>
      </c>
      <c r="G51" s="874">
        <v>161533</v>
      </c>
      <c r="H51" s="874">
        <v>207685</v>
      </c>
      <c r="I51" s="874">
        <v>276913</v>
      </c>
      <c r="J51" s="874">
        <v>346142</v>
      </c>
      <c r="L51" s="515" t="s">
        <v>1277</v>
      </c>
      <c r="M51" s="515" t="s">
        <v>3116</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3114</v>
      </c>
      <c r="F52" s="874">
        <v>127825</v>
      </c>
      <c r="G52" s="874">
        <v>166769</v>
      </c>
      <c r="H52" s="874">
        <v>201950</v>
      </c>
      <c r="I52" s="874">
        <v>246243</v>
      </c>
      <c r="J52" s="874">
        <v>291659</v>
      </c>
      <c r="L52" s="515" t="s">
        <v>1277</v>
      </c>
      <c r="M52" s="515" t="s">
        <v>3114</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3115</v>
      </c>
      <c r="F53" s="874">
        <v>114674</v>
      </c>
      <c r="G53" s="874">
        <v>156385</v>
      </c>
      <c r="H53" s="874">
        <v>197957</v>
      </c>
      <c r="I53" s="874">
        <v>260794</v>
      </c>
      <c r="J53" s="874">
        <v>323041</v>
      </c>
      <c r="L53" s="515" t="s">
        <v>1277</v>
      </c>
      <c r="M53" s="515" t="s">
        <v>3115</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3119</v>
      </c>
      <c r="F54" s="878">
        <v>135717</v>
      </c>
      <c r="G54" s="878">
        <v>175691</v>
      </c>
      <c r="H54" s="878">
        <v>210278</v>
      </c>
      <c r="I54" s="878">
        <v>250813</v>
      </c>
      <c r="J54" s="878">
        <v>295633</v>
      </c>
      <c r="L54" s="515" t="s">
        <v>1620</v>
      </c>
      <c r="M54" s="515" t="s">
        <v>3119</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3116</v>
      </c>
      <c r="F55" s="878">
        <v>105752</v>
      </c>
      <c r="G55" s="878">
        <v>148052</v>
      </c>
      <c r="H55" s="878">
        <v>190353</v>
      </c>
      <c r="I55" s="878">
        <v>253804</v>
      </c>
      <c r="J55" s="878">
        <v>317255</v>
      </c>
      <c r="L55" s="515" t="s">
        <v>1620</v>
      </c>
      <c r="M55" s="515" t="s">
        <v>3116</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3114</v>
      </c>
      <c r="F56" s="878">
        <v>116246</v>
      </c>
      <c r="G56" s="878">
        <v>151952</v>
      </c>
      <c r="H56" s="878">
        <v>184281</v>
      </c>
      <c r="I56" s="878">
        <v>225204</v>
      </c>
      <c r="J56" s="878">
        <v>267023</v>
      </c>
      <c r="L56" s="515" t="s">
        <v>1620</v>
      </c>
      <c r="M56" s="515" t="s">
        <v>3114</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3115</v>
      </c>
      <c r="F57" s="878">
        <v>103624</v>
      </c>
      <c r="G57" s="878">
        <v>141062</v>
      </c>
      <c r="H57" s="878">
        <v>178366</v>
      </c>
      <c r="I57" s="878">
        <v>234784</v>
      </c>
      <c r="J57" s="878">
        <v>290632</v>
      </c>
      <c r="L57" s="515" t="s">
        <v>1620</v>
      </c>
      <c r="M57" s="515" t="s">
        <v>3115</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2824</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3306</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3305</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2480</v>
      </c>
      <c r="G65" s="168" t="s">
        <v>2490</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2489</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3460</v>
      </c>
      <c r="H67" s="166"/>
      <c r="I67" s="166"/>
      <c r="J67" s="168" t="s">
        <v>1469</v>
      </c>
      <c r="K67" s="168"/>
      <c r="L67" s="168"/>
      <c r="M67" s="168"/>
      <c r="N67" s="168"/>
      <c r="O67" s="168"/>
      <c r="P67" s="166"/>
      <c r="Q67" s="957" t="s">
        <v>2973</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3174</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3429</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6326</v>
      </c>
      <c r="G75" s="168"/>
      <c r="H75" s="166"/>
      <c r="I75" s="166"/>
      <c r="J75" s="168" t="s">
        <v>6327</v>
      </c>
      <c r="K75" s="168"/>
      <c r="L75" s="168"/>
      <c r="M75" s="168"/>
      <c r="N75" s="168"/>
      <c r="O75" s="168"/>
      <c r="P75" s="166"/>
      <c r="Q75" s="1587" t="s">
        <v>931</v>
      </c>
      <c r="R75" s="1586">
        <v>1250000</v>
      </c>
      <c r="S75" s="279"/>
      <c r="T75" s="279"/>
      <c r="U75" s="279"/>
      <c r="AA75" s="481"/>
      <c r="AB75" s="481"/>
    </row>
    <row r="76" spans="1:28" s="267" customFormat="1" ht="11.45" customHeight="1">
      <c r="A76" s="168"/>
      <c r="B76" s="168" t="s">
        <v>1873</v>
      </c>
      <c r="C76" s="168"/>
      <c r="D76" s="166"/>
      <c r="E76" s="166"/>
      <c r="F76" s="168" t="s">
        <v>1152</v>
      </c>
      <c r="G76" s="168"/>
      <c r="H76" s="166"/>
      <c r="I76" s="166"/>
      <c r="J76" s="168" t="s">
        <v>3461</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3461</v>
      </c>
      <c r="K77" s="168"/>
      <c r="L77" s="168"/>
      <c r="M77" s="168"/>
      <c r="N77" s="168"/>
      <c r="O77" s="168"/>
      <c r="P77" s="166"/>
      <c r="Q77" s="919" t="s">
        <v>931</v>
      </c>
      <c r="R77" s="919">
        <v>0.1</v>
      </c>
      <c r="S77" s="279"/>
      <c r="T77" s="279"/>
      <c r="U77" s="279"/>
      <c r="AA77" s="481"/>
      <c r="AB77" s="481"/>
    </row>
    <row r="78" spans="1:28" s="267" customFormat="1" ht="11.45" customHeight="1">
      <c r="A78" s="168"/>
      <c r="B78" s="168" t="s">
        <v>1947</v>
      </c>
      <c r="C78" s="168"/>
      <c r="D78" s="166"/>
      <c r="E78" s="166"/>
      <c r="F78" s="168" t="s">
        <v>1654</v>
      </c>
      <c r="G78" s="168"/>
      <c r="H78" s="166"/>
      <c r="I78" s="166"/>
      <c r="J78" s="168" t="s">
        <v>3462</v>
      </c>
      <c r="K78" s="168"/>
      <c r="L78" s="168"/>
      <c r="M78" s="168"/>
      <c r="N78" s="168"/>
      <c r="O78" s="168"/>
      <c r="P78" s="166"/>
      <c r="Q78" s="278" t="s">
        <v>1654</v>
      </c>
      <c r="R78" s="919">
        <v>0.06</v>
      </c>
      <c r="S78" s="279"/>
      <c r="T78" s="279"/>
      <c r="U78" s="279"/>
      <c r="AA78" s="481"/>
      <c r="AB78" s="481"/>
    </row>
    <row r="79" spans="1:28" s="267" customFormat="1" ht="11.45" customHeight="1">
      <c r="A79" s="168"/>
      <c r="B79" s="168" t="s">
        <v>1948</v>
      </c>
      <c r="C79" s="168"/>
      <c r="D79" s="166"/>
      <c r="E79" s="166"/>
      <c r="F79" s="168" t="s">
        <v>1654</v>
      </c>
      <c r="G79" s="168"/>
      <c r="H79" s="166"/>
      <c r="I79" s="166"/>
      <c r="J79" s="168" t="s">
        <v>3462</v>
      </c>
      <c r="K79" s="168"/>
      <c r="L79" s="168"/>
      <c r="M79" s="168"/>
      <c r="N79" s="168"/>
      <c r="O79" s="168"/>
      <c r="P79" s="166"/>
      <c r="Q79" s="278" t="s">
        <v>1654</v>
      </c>
      <c r="R79" s="919">
        <v>0.02</v>
      </c>
      <c r="S79" s="279"/>
      <c r="T79" s="279"/>
      <c r="U79" s="279"/>
      <c r="AA79" s="481"/>
      <c r="AB79" s="481"/>
    </row>
    <row r="80" spans="1:28" s="267" customFormat="1" ht="11.45" customHeight="1">
      <c r="A80" s="168"/>
      <c r="B80" s="168" t="s">
        <v>2621</v>
      </c>
      <c r="C80" s="168"/>
      <c r="D80" s="166"/>
      <c r="E80" s="166"/>
      <c r="F80" s="168" t="s">
        <v>1654</v>
      </c>
      <c r="G80" s="168"/>
      <c r="H80" s="166"/>
      <c r="I80" s="166"/>
      <c r="J80" s="168" t="s">
        <v>3462</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3420</v>
      </c>
      <c r="C82" s="168"/>
      <c r="D82" s="168"/>
      <c r="E82" s="166"/>
      <c r="F82" s="170" t="s">
        <v>3205</v>
      </c>
      <c r="G82" s="168"/>
      <c r="H82" s="166"/>
      <c r="I82" s="166"/>
      <c r="J82" s="168" t="s">
        <v>1154</v>
      </c>
      <c r="K82" s="168"/>
      <c r="L82" s="168"/>
      <c r="M82" s="168"/>
      <c r="N82" s="168"/>
      <c r="O82" s="168"/>
      <c r="P82" s="166"/>
      <c r="Q82" s="4775">
        <v>1000</v>
      </c>
      <c r="R82" s="4776"/>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5">
        <v>500</v>
      </c>
      <c r="R83" s="4776"/>
      <c r="S83" s="279"/>
      <c r="T83" s="279"/>
      <c r="U83" s="279"/>
      <c r="AA83" s="481"/>
      <c r="AB83" s="481"/>
    </row>
    <row r="84" spans="1:28" s="267" customFormat="1" ht="11.45" customHeight="1">
      <c r="A84" s="168"/>
      <c r="B84" s="168"/>
      <c r="C84" s="168"/>
      <c r="D84" s="168"/>
      <c r="E84" s="166"/>
      <c r="F84" s="170" t="s">
        <v>3469</v>
      </c>
      <c r="G84" s="168"/>
      <c r="H84" s="166"/>
      <c r="I84" s="166"/>
      <c r="J84" s="170" t="s">
        <v>3465</v>
      </c>
      <c r="K84" s="168"/>
      <c r="L84" s="168"/>
      <c r="M84" s="168"/>
      <c r="N84" s="168"/>
      <c r="O84" s="168"/>
      <c r="P84" s="166"/>
      <c r="Q84" s="4775">
        <v>1500</v>
      </c>
      <c r="R84" s="4776"/>
      <c r="S84" s="279"/>
      <c r="T84" s="279"/>
      <c r="U84" s="279"/>
      <c r="AA84" s="481"/>
      <c r="AB84" s="481"/>
    </row>
    <row r="85" spans="1:28" s="267" customFormat="1" ht="11.45" customHeight="1">
      <c r="A85" s="168"/>
      <c r="B85" s="168"/>
      <c r="C85" s="168"/>
      <c r="D85" s="168"/>
      <c r="E85" s="166"/>
      <c r="G85" s="168"/>
      <c r="H85" s="166"/>
      <c r="I85" s="166"/>
      <c r="J85" s="170" t="s">
        <v>3466</v>
      </c>
      <c r="K85" s="168"/>
      <c r="L85" s="168"/>
      <c r="M85" s="168"/>
      <c r="N85" s="168"/>
      <c r="O85" s="168"/>
      <c r="P85" s="166"/>
      <c r="Q85" s="4775">
        <v>1500</v>
      </c>
      <c r="R85" s="4776"/>
      <c r="S85" s="279"/>
      <c r="T85" s="279"/>
      <c r="U85" s="279"/>
      <c r="AA85" s="481"/>
      <c r="AB85" s="481"/>
    </row>
    <row r="86" spans="1:28" s="267" customFormat="1" ht="11.45" customHeight="1">
      <c r="A86" s="168"/>
      <c r="B86" s="168"/>
      <c r="C86" s="168"/>
      <c r="D86" s="168"/>
      <c r="E86" s="166"/>
      <c r="G86" s="168"/>
      <c r="H86" s="166"/>
      <c r="I86" s="166"/>
      <c r="J86" s="170" t="s">
        <v>3467</v>
      </c>
      <c r="K86" s="168"/>
      <c r="L86" s="168"/>
      <c r="M86" s="168"/>
      <c r="N86" s="168"/>
      <c r="O86" s="168"/>
      <c r="P86" s="166"/>
      <c r="Q86" s="4775">
        <v>1500</v>
      </c>
      <c r="R86" s="4776"/>
      <c r="S86" s="279"/>
      <c r="T86" s="279"/>
      <c r="U86" s="279"/>
      <c r="AA86" s="481"/>
      <c r="AB86" s="481"/>
    </row>
    <row r="87" spans="1:28" s="267" customFormat="1" ht="11.45" customHeight="1">
      <c r="A87" s="168"/>
      <c r="B87" s="168"/>
      <c r="C87" s="168"/>
      <c r="D87" s="168"/>
      <c r="E87" s="166"/>
      <c r="G87" s="168"/>
      <c r="H87" s="166"/>
      <c r="I87" s="166"/>
      <c r="J87" s="170" t="s">
        <v>3468</v>
      </c>
      <c r="K87" s="168"/>
      <c r="L87" s="168"/>
      <c r="M87" s="168"/>
      <c r="N87" s="168"/>
      <c r="O87" s="168"/>
      <c r="P87" s="166"/>
      <c r="Q87" s="4775">
        <v>1500</v>
      </c>
      <c r="R87" s="4776"/>
      <c r="S87" s="279"/>
      <c r="T87" s="279"/>
      <c r="U87" s="279"/>
      <c r="AA87" s="481"/>
      <c r="AB87" s="481"/>
    </row>
    <row r="88" spans="1:28" s="267" customFormat="1" ht="11.45" customHeight="1">
      <c r="A88" s="168"/>
      <c r="B88" s="168"/>
      <c r="C88" s="168"/>
      <c r="D88" s="168"/>
      <c r="E88" s="166"/>
      <c r="F88" s="170" t="s">
        <v>3936</v>
      </c>
      <c r="G88" s="168"/>
      <c r="H88" s="166"/>
      <c r="I88" s="166"/>
      <c r="J88" s="168" t="s">
        <v>1154</v>
      </c>
      <c r="K88" s="168"/>
      <c r="L88" s="168"/>
      <c r="M88" s="168"/>
      <c r="N88" s="168"/>
      <c r="O88" s="168"/>
      <c r="P88" s="166"/>
      <c r="Q88" s="4775">
        <v>6500</v>
      </c>
      <c r="R88" s="4776"/>
      <c r="S88" s="279"/>
      <c r="T88" s="279"/>
      <c r="U88" s="279"/>
      <c r="AA88" s="481"/>
      <c r="AB88" s="481"/>
    </row>
    <row r="89" spans="1:28" s="267" customFormat="1" ht="11.45" customHeight="1">
      <c r="A89" s="168"/>
      <c r="B89" s="168"/>
      <c r="C89" s="168"/>
      <c r="D89" s="168"/>
      <c r="E89" s="166"/>
      <c r="F89" s="170" t="s">
        <v>3936</v>
      </c>
      <c r="G89" s="168"/>
      <c r="H89" s="166"/>
      <c r="I89" s="166"/>
      <c r="J89" s="168" t="s">
        <v>1155</v>
      </c>
      <c r="K89" s="168"/>
      <c r="L89" s="168"/>
      <c r="M89" s="168"/>
      <c r="N89" s="168"/>
      <c r="O89" s="168"/>
      <c r="P89" s="166"/>
      <c r="Q89" s="4775">
        <v>5500</v>
      </c>
      <c r="R89" s="4776"/>
      <c r="S89" s="279"/>
      <c r="T89" s="279"/>
      <c r="U89" s="279"/>
      <c r="AA89" s="481"/>
      <c r="AB89" s="481"/>
    </row>
    <row r="90" spans="1:28" s="267" customFormat="1" ht="11.45" customHeight="1">
      <c r="A90" s="168"/>
      <c r="B90" s="168"/>
      <c r="C90" s="168"/>
      <c r="D90" s="168"/>
      <c r="E90" s="166"/>
      <c r="F90" s="170" t="s">
        <v>3176</v>
      </c>
      <c r="G90" s="168"/>
      <c r="H90" s="166"/>
      <c r="I90" s="166"/>
      <c r="J90" s="168"/>
      <c r="K90" s="168"/>
      <c r="L90" s="168"/>
      <c r="M90" s="168"/>
      <c r="N90" s="168"/>
      <c r="O90" s="168"/>
      <c r="P90" s="166"/>
      <c r="Q90" s="4775">
        <v>5500</v>
      </c>
      <c r="R90" s="4776"/>
      <c r="S90" s="279"/>
      <c r="T90" s="279"/>
      <c r="U90" s="279"/>
      <c r="AA90" s="481"/>
      <c r="AB90" s="481"/>
    </row>
    <row r="91" spans="1:28" s="267" customFormat="1" ht="11.45" customHeight="1">
      <c r="A91" s="168"/>
      <c r="B91" s="168"/>
      <c r="C91" s="168"/>
      <c r="D91" s="168"/>
      <c r="E91" s="166"/>
      <c r="F91" s="170"/>
      <c r="G91" s="168" t="s">
        <v>3934</v>
      </c>
      <c r="H91" s="166"/>
      <c r="I91" s="166"/>
      <c r="J91" s="168" t="s">
        <v>3935</v>
      </c>
      <c r="K91" s="168"/>
      <c r="L91" s="168"/>
      <c r="M91" s="168"/>
      <c r="N91" s="168"/>
      <c r="O91" s="168"/>
      <c r="P91" s="166"/>
      <c r="Q91" s="4775">
        <v>500</v>
      </c>
      <c r="R91" s="4776"/>
      <c r="S91" s="279"/>
      <c r="T91" s="279"/>
      <c r="U91" s="279"/>
      <c r="AA91" s="481"/>
      <c r="AB91" s="481"/>
    </row>
    <row r="92" spans="1:28" s="267" customFormat="1" ht="11.45" customHeight="1">
      <c r="A92" s="168"/>
      <c r="B92" s="168"/>
      <c r="C92" s="168"/>
      <c r="D92" s="168"/>
      <c r="E92" s="166"/>
      <c r="F92" s="170" t="s">
        <v>3463</v>
      </c>
      <c r="G92" s="168"/>
      <c r="H92" s="166"/>
      <c r="I92" s="166"/>
      <c r="J92" s="168"/>
      <c r="K92" s="168"/>
      <c r="L92" s="168"/>
      <c r="M92" s="168"/>
      <c r="N92" s="168"/>
      <c r="O92" s="168"/>
      <c r="P92" s="166"/>
      <c r="Q92" s="4775">
        <v>1500</v>
      </c>
      <c r="R92" s="4776"/>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68">
        <v>0.08</v>
      </c>
      <c r="R93" s="4768"/>
      <c r="S93" s="279"/>
      <c r="T93" s="279"/>
      <c r="U93" s="279"/>
      <c r="AA93" s="481"/>
      <c r="AB93" s="481"/>
    </row>
    <row r="94" spans="1:28" s="267" customFormat="1" ht="11.45" customHeight="1">
      <c r="A94" s="168"/>
      <c r="C94" s="168"/>
      <c r="D94" s="166"/>
      <c r="E94" s="166"/>
      <c r="F94" s="170" t="s">
        <v>6325</v>
      </c>
      <c r="H94" s="168"/>
      <c r="I94" s="166"/>
      <c r="J94" s="168" t="s">
        <v>914</v>
      </c>
      <c r="K94" s="168"/>
      <c r="L94" s="168"/>
      <c r="M94" s="168"/>
      <c r="N94" s="168"/>
      <c r="O94" s="168"/>
      <c r="P94" s="166"/>
      <c r="Q94" s="4768">
        <v>0.08</v>
      </c>
      <c r="R94" s="4768"/>
      <c r="S94" s="279"/>
      <c r="T94" s="279"/>
      <c r="U94" s="279"/>
      <c r="AA94" s="481"/>
      <c r="AB94" s="481"/>
    </row>
    <row r="95" spans="1:28" s="267" customFormat="1" ht="11.45" customHeight="1">
      <c r="A95" s="168"/>
      <c r="C95" s="168"/>
      <c r="D95" s="166"/>
      <c r="E95" s="166"/>
      <c r="F95" s="170" t="s">
        <v>3937</v>
      </c>
      <c r="H95" s="168"/>
      <c r="I95" s="166"/>
      <c r="J95" s="168"/>
      <c r="K95" s="168"/>
      <c r="L95" s="168"/>
      <c r="M95" s="168"/>
      <c r="N95" s="168"/>
      <c r="O95" s="168"/>
      <c r="P95" s="166"/>
      <c r="Q95" s="4775"/>
      <c r="R95" s="4776"/>
      <c r="S95" s="279"/>
      <c r="T95" s="279"/>
      <c r="U95" s="279"/>
      <c r="AA95" s="481"/>
      <c r="AB95" s="481"/>
    </row>
    <row r="96" spans="1:28" s="267" customFormat="1" ht="11.45" customHeight="1">
      <c r="A96" s="168"/>
      <c r="C96" s="168"/>
      <c r="D96" s="166"/>
      <c r="E96" s="166"/>
      <c r="F96" s="170" t="s">
        <v>3428</v>
      </c>
      <c r="H96" s="168"/>
      <c r="I96" s="166"/>
      <c r="J96" s="168"/>
      <c r="K96" s="168"/>
      <c r="L96" s="168"/>
      <c r="M96" s="168"/>
      <c r="N96" s="168"/>
      <c r="O96" s="168"/>
      <c r="P96" s="166"/>
      <c r="Q96" s="4775">
        <v>1500</v>
      </c>
      <c r="R96" s="4776"/>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5">
        <v>800</v>
      </c>
      <c r="R97" s="4776"/>
      <c r="S97" s="279"/>
      <c r="T97" s="279"/>
      <c r="U97" s="279"/>
      <c r="AA97" s="481"/>
      <c r="AB97" s="481"/>
    </row>
    <row r="98" spans="1:28" s="267" customFormat="1" ht="11.45" customHeight="1">
      <c r="A98" s="168"/>
      <c r="C98" s="168"/>
      <c r="D98" s="166"/>
      <c r="E98" s="166"/>
      <c r="F98" s="168"/>
      <c r="H98" s="168"/>
      <c r="I98" s="168" t="s">
        <v>3938</v>
      </c>
      <c r="J98" s="168" t="s">
        <v>1469</v>
      </c>
      <c r="K98" s="168"/>
      <c r="L98" s="168"/>
      <c r="M98" s="168"/>
      <c r="N98" s="168"/>
      <c r="O98" s="168"/>
      <c r="P98" s="166"/>
      <c r="Q98" s="4775">
        <v>1000</v>
      </c>
      <c r="R98" s="4776"/>
      <c r="S98" s="279"/>
      <c r="T98" s="279"/>
      <c r="U98" s="279"/>
      <c r="AA98" s="481"/>
      <c r="AB98" s="481"/>
    </row>
    <row r="99" spans="1:28" s="267" customFormat="1" ht="11.45" customHeight="1">
      <c r="A99" s="168"/>
      <c r="B99" s="168"/>
      <c r="C99" s="168"/>
      <c r="D99" s="166"/>
      <c r="E99" s="166"/>
      <c r="H99" s="170" t="s">
        <v>2537</v>
      </c>
      <c r="I99" s="289"/>
      <c r="J99" s="170" t="s">
        <v>1469</v>
      </c>
      <c r="K99" s="170" t="s">
        <v>3439</v>
      </c>
      <c r="L99" s="170"/>
      <c r="M99" s="170"/>
      <c r="N99" s="170"/>
      <c r="O99" s="170"/>
      <c r="P99" s="289"/>
      <c r="Q99" s="4775" t="s">
        <v>2973</v>
      </c>
      <c r="R99" s="4776"/>
      <c r="S99" s="279"/>
      <c r="T99" s="279"/>
      <c r="U99" s="279"/>
      <c r="AA99" s="481"/>
      <c r="AB99" s="481"/>
    </row>
    <row r="100" spans="1:28" s="267" customFormat="1" ht="11.45" customHeight="1">
      <c r="A100" s="168"/>
      <c r="B100" s="168"/>
      <c r="C100" s="168"/>
      <c r="D100" s="166"/>
      <c r="E100" s="166"/>
      <c r="H100" s="168" t="s">
        <v>2624</v>
      </c>
      <c r="I100" s="166"/>
      <c r="J100" s="168" t="s">
        <v>2536</v>
      </c>
      <c r="K100" s="168"/>
      <c r="L100" s="168"/>
      <c r="M100" s="168"/>
      <c r="N100" s="168"/>
      <c r="O100" s="168"/>
      <c r="P100" s="166"/>
      <c r="Q100" s="4775">
        <v>1500</v>
      </c>
      <c r="R100" s="4776"/>
      <c r="S100" s="279"/>
      <c r="T100" s="279"/>
      <c r="U100" s="279"/>
      <c r="AA100" s="481"/>
      <c r="AB100" s="481"/>
    </row>
    <row r="101" spans="1:28" s="267" customFormat="1" ht="11.45" customHeight="1">
      <c r="A101" s="168"/>
      <c r="B101" s="168"/>
      <c r="C101" s="168"/>
      <c r="D101" s="166"/>
      <c r="E101" s="166"/>
      <c r="F101" s="168" t="s">
        <v>3567</v>
      </c>
      <c r="I101" s="166"/>
      <c r="J101" s="168" t="s">
        <v>3940</v>
      </c>
      <c r="K101" s="168"/>
      <c r="L101" s="168"/>
      <c r="M101" s="168"/>
      <c r="N101" s="168"/>
      <c r="O101" s="168"/>
      <c r="P101" s="166"/>
      <c r="Q101" s="4791">
        <v>750</v>
      </c>
      <c r="R101" s="4792"/>
      <c r="S101" s="279"/>
      <c r="T101" s="279"/>
      <c r="U101" s="279"/>
      <c r="AA101" s="481"/>
      <c r="AB101" s="481"/>
    </row>
    <row r="102" spans="1:28" s="267" customFormat="1" ht="11.45" customHeight="1">
      <c r="A102" s="168"/>
      <c r="B102" s="168"/>
      <c r="C102" s="168"/>
      <c r="D102" s="166"/>
      <c r="E102" s="166"/>
      <c r="F102" s="168" t="s">
        <v>3939</v>
      </c>
      <c r="I102" s="166"/>
      <c r="J102" s="168" t="s">
        <v>1683</v>
      </c>
      <c r="K102" s="168"/>
      <c r="L102" s="168"/>
      <c r="M102" s="168"/>
      <c r="N102" s="168"/>
      <c r="O102" s="168"/>
      <c r="P102" s="166"/>
      <c r="Q102" s="4775">
        <v>3000</v>
      </c>
      <c r="R102" s="4776"/>
      <c r="S102" s="279"/>
      <c r="T102" s="279"/>
      <c r="U102" s="279"/>
      <c r="AA102" s="481"/>
      <c r="AB102" s="481"/>
    </row>
    <row r="103" spans="1:28" s="267" customFormat="1" ht="11.45" customHeight="1">
      <c r="A103" s="168"/>
      <c r="B103" s="170"/>
      <c r="C103" s="168"/>
      <c r="D103" s="166"/>
      <c r="E103" s="166"/>
      <c r="F103" s="168" t="s">
        <v>3177</v>
      </c>
      <c r="I103" s="166"/>
      <c r="J103" s="168" t="s">
        <v>3178</v>
      </c>
      <c r="K103" s="168"/>
      <c r="L103" s="168" t="s">
        <v>2623</v>
      </c>
      <c r="M103" s="168"/>
      <c r="N103" s="168"/>
      <c r="O103" s="168"/>
      <c r="P103" s="166"/>
      <c r="Q103" s="4775">
        <v>75</v>
      </c>
      <c r="R103" s="4776"/>
      <c r="S103" s="279"/>
      <c r="T103" s="279"/>
      <c r="U103" s="279"/>
      <c r="AA103" s="481"/>
      <c r="AB103" s="481"/>
    </row>
    <row r="104" spans="1:28" customFormat="1" ht="11.25" customHeight="1">
      <c r="B104" s="168" t="s">
        <v>1777</v>
      </c>
      <c r="C104" s="27"/>
      <c r="F104" s="1379" t="s">
        <v>4107</v>
      </c>
      <c r="G104" s="1371"/>
      <c r="H104" s="1376"/>
      <c r="I104" s="27"/>
      <c r="J104" s="168" t="s">
        <v>4113</v>
      </c>
      <c r="K104" s="168" t="s">
        <v>4114</v>
      </c>
      <c r="L104" s="1386"/>
      <c r="M104" s="1386"/>
      <c r="N104" s="1386"/>
      <c r="O104" s="1385" t="s">
        <v>4108</v>
      </c>
    </row>
    <row r="105" spans="1:28" customFormat="1" ht="11.25" customHeight="1">
      <c r="B105" s="27"/>
      <c r="C105" s="27"/>
      <c r="F105" s="157"/>
      <c r="G105" s="27"/>
      <c r="H105" s="1380">
        <v>0.09</v>
      </c>
      <c r="I105" s="27"/>
      <c r="J105" s="1387">
        <v>1</v>
      </c>
      <c r="K105" s="1389">
        <v>50</v>
      </c>
      <c r="Q105" s="4789">
        <v>25000</v>
      </c>
      <c r="R105" s="4789"/>
    </row>
    <row r="106" spans="1:28" customFormat="1" ht="11.25" customHeight="1">
      <c r="B106" s="27"/>
      <c r="C106" s="27"/>
      <c r="F106" s="157"/>
      <c r="G106" s="27"/>
      <c r="H106" s="1381"/>
      <c r="I106" s="27"/>
      <c r="J106" s="1387">
        <v>51</v>
      </c>
      <c r="K106" s="1389">
        <v>70</v>
      </c>
      <c r="Q106" s="4788">
        <v>20000</v>
      </c>
      <c r="R106" s="4788"/>
    </row>
    <row r="107" spans="1:28" customFormat="1" ht="11.25" customHeight="1">
      <c r="B107" s="27"/>
      <c r="C107" s="27"/>
      <c r="F107" s="157"/>
      <c r="G107" s="27"/>
      <c r="H107" s="1590"/>
      <c r="I107" s="197"/>
      <c r="J107" s="1591">
        <v>71</v>
      </c>
      <c r="K107" s="1592"/>
      <c r="L107" s="1593"/>
      <c r="M107" s="1593"/>
      <c r="N107" s="1593"/>
      <c r="O107" s="1593"/>
      <c r="P107" s="1594"/>
      <c r="Q107" s="4781">
        <v>15000</v>
      </c>
      <c r="R107" s="4781"/>
    </row>
    <row r="108" spans="1:28" customFormat="1" ht="11.25" customHeight="1">
      <c r="B108" s="27"/>
      <c r="C108" s="27"/>
      <c r="F108" s="27"/>
      <c r="G108" s="27"/>
      <c r="H108" s="1595">
        <v>0.04</v>
      </c>
      <c r="I108" s="1596"/>
      <c r="J108" s="1597">
        <v>1</v>
      </c>
      <c r="K108" s="1597">
        <v>100</v>
      </c>
      <c r="L108" s="1598"/>
      <c r="M108" s="1598"/>
      <c r="N108" s="1598"/>
      <c r="O108" s="1598"/>
      <c r="P108" s="1599"/>
      <c r="Q108" s="4789">
        <v>20500</v>
      </c>
      <c r="R108" s="4789"/>
    </row>
    <row r="109" spans="1:28" customFormat="1" ht="11.25" customHeight="1">
      <c r="B109" s="27"/>
      <c r="C109" s="27"/>
      <c r="F109" s="27"/>
      <c r="G109" s="27"/>
      <c r="H109" s="1382"/>
      <c r="I109" s="27"/>
      <c r="J109" s="1387">
        <v>101</v>
      </c>
      <c r="K109" s="1389">
        <v>130</v>
      </c>
      <c r="Q109" s="4788">
        <v>18500</v>
      </c>
      <c r="R109" s="4788"/>
    </row>
    <row r="110" spans="1:28" customFormat="1" ht="11.25" customHeight="1">
      <c r="B110" s="27"/>
      <c r="C110" s="27"/>
      <c r="F110" s="27"/>
      <c r="G110" s="27"/>
      <c r="H110" s="1382"/>
      <c r="I110" s="27"/>
      <c r="J110" s="1387">
        <v>131</v>
      </c>
      <c r="K110" s="1388"/>
      <c r="Q110" s="4781">
        <v>14000</v>
      </c>
      <c r="R110" s="4781"/>
    </row>
    <row r="111" spans="1:28" customFormat="1" ht="11.25" customHeight="1">
      <c r="B111" s="27"/>
      <c r="C111" s="27"/>
      <c r="F111" s="1376" t="s">
        <v>4109</v>
      </c>
      <c r="G111" s="27"/>
      <c r="H111" s="1383"/>
      <c r="I111" s="1378"/>
    </row>
    <row r="112" spans="1:28" customFormat="1" ht="11.25" customHeight="1">
      <c r="B112" s="27"/>
      <c r="C112" s="27"/>
      <c r="F112" s="27"/>
      <c r="G112" s="27"/>
      <c r="H112" s="1384">
        <v>0.09</v>
      </c>
      <c r="I112" s="1376"/>
      <c r="J112" s="27"/>
      <c r="Q112" s="4790">
        <v>2000000</v>
      </c>
      <c r="R112" s="4790"/>
    </row>
    <row r="113" spans="1:28" customFormat="1" ht="11.25" customHeight="1">
      <c r="B113" s="27"/>
      <c r="C113" s="27"/>
      <c r="F113" s="27"/>
      <c r="G113" s="27"/>
      <c r="H113" s="1384">
        <v>0.04</v>
      </c>
      <c r="I113" s="1376"/>
      <c r="J113" s="27"/>
      <c r="Q113" s="4790">
        <v>3500000</v>
      </c>
      <c r="R113" s="4790"/>
    </row>
    <row r="114" spans="1:28" customFormat="1"/>
    <row r="115" spans="1:28" s="267" customFormat="1" ht="13.5">
      <c r="A115" s="168"/>
      <c r="B115" s="168"/>
      <c r="C115" s="168"/>
      <c r="D115" s="166"/>
      <c r="E115" s="166"/>
      <c r="F115" s="168"/>
      <c r="G115" s="168"/>
      <c r="H115" s="168"/>
      <c r="I115" s="166"/>
      <c r="J115" s="168" t="s">
        <v>3160</v>
      </c>
      <c r="K115" s="168"/>
      <c r="L115" s="168"/>
      <c r="M115" s="168"/>
      <c r="N115" s="168"/>
      <c r="O115" s="168"/>
      <c r="P115" s="166"/>
      <c r="Q115" s="4779">
        <v>3500000</v>
      </c>
      <c r="R115" s="4780"/>
      <c r="S115" s="279"/>
      <c r="T115" s="279"/>
      <c r="U115" s="279"/>
      <c r="AA115" s="481"/>
      <c r="AB115" s="481"/>
    </row>
    <row r="116" spans="1:28" s="267" customFormat="1" ht="13.5" hidden="1">
      <c r="A116" s="168"/>
      <c r="B116" s="168"/>
      <c r="C116" s="168"/>
      <c r="D116" s="166"/>
      <c r="E116" s="166"/>
      <c r="F116" s="168" t="s">
        <v>1638</v>
      </c>
      <c r="G116" s="168"/>
      <c r="H116" s="168" t="s">
        <v>2193</v>
      </c>
      <c r="I116" s="166"/>
      <c r="J116" s="168" t="s">
        <v>936</v>
      </c>
      <c r="K116" s="168"/>
      <c r="L116" s="168"/>
      <c r="M116" s="168"/>
      <c r="N116" s="168"/>
      <c r="O116" s="168"/>
      <c r="P116" s="166"/>
      <c r="Q116" s="4777">
        <v>0.15</v>
      </c>
      <c r="R116" s="4778"/>
      <c r="S116" s="279"/>
      <c r="T116" s="279"/>
      <c r="U116" s="279"/>
      <c r="AA116" s="481"/>
      <c r="AB116" s="481"/>
    </row>
    <row r="117" spans="1:28" s="267" customFormat="1" ht="13.5" hidden="1">
      <c r="A117" s="168"/>
      <c r="B117" s="375"/>
      <c r="C117" s="168"/>
      <c r="D117" s="166"/>
      <c r="E117" s="166"/>
      <c r="F117" s="168"/>
      <c r="G117" s="168"/>
      <c r="H117" s="168" t="s">
        <v>3285</v>
      </c>
      <c r="I117" s="168" t="s">
        <v>933</v>
      </c>
      <c r="J117" s="168" t="s">
        <v>935</v>
      </c>
      <c r="K117" s="168"/>
      <c r="L117" s="168"/>
      <c r="M117" s="168"/>
      <c r="N117" s="168"/>
      <c r="O117" s="168"/>
      <c r="P117" s="166"/>
      <c r="Q117" s="4777">
        <v>0.15</v>
      </c>
      <c r="R117" s="4778"/>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77">
        <v>0.15</v>
      </c>
      <c r="R118" s="4778"/>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77">
        <v>0.15</v>
      </c>
      <c r="R119" s="4778"/>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77">
        <v>0.15</v>
      </c>
      <c r="R120" s="4778"/>
      <c r="S120" s="279"/>
      <c r="T120" s="279"/>
      <c r="U120" s="279"/>
      <c r="AA120" s="481"/>
      <c r="AB120" s="481"/>
    </row>
    <row r="121" spans="1:28" s="267" customFormat="1" ht="13.5" hidden="1">
      <c r="A121" s="168"/>
      <c r="B121" s="375"/>
      <c r="C121" s="168"/>
      <c r="D121" s="166"/>
      <c r="E121" s="166"/>
      <c r="F121" s="168" t="s">
        <v>1679</v>
      </c>
      <c r="G121" s="168"/>
      <c r="H121" s="168"/>
      <c r="I121" s="166"/>
      <c r="J121" s="168" t="s">
        <v>2267</v>
      </c>
      <c r="K121" s="168"/>
      <c r="L121" s="168"/>
      <c r="M121" s="168"/>
      <c r="N121" s="168"/>
      <c r="O121" s="168"/>
      <c r="P121" s="166"/>
      <c r="Q121" s="4777">
        <v>0.15</v>
      </c>
      <c r="R121" s="4778"/>
      <c r="S121" s="279"/>
      <c r="T121" s="279"/>
      <c r="U121" s="279"/>
      <c r="AA121" s="481"/>
      <c r="AB121" s="481"/>
    </row>
    <row r="122" spans="1:28" s="267" customFormat="1" ht="13.5" hidden="1">
      <c r="A122" s="168"/>
      <c r="B122" s="375"/>
      <c r="C122" s="168"/>
      <c r="D122" s="166"/>
      <c r="E122" s="166"/>
      <c r="G122" s="168"/>
      <c r="H122" s="168"/>
      <c r="I122" s="166"/>
      <c r="J122" s="168" t="s">
        <v>2268</v>
      </c>
      <c r="K122" s="168"/>
      <c r="L122" s="168"/>
      <c r="M122" s="168"/>
      <c r="N122" s="168"/>
      <c r="O122" s="168"/>
      <c r="P122" s="166"/>
      <c r="Q122" s="4777" t="s">
        <v>2269</v>
      </c>
      <c r="R122" s="4778"/>
      <c r="S122" s="279"/>
      <c r="T122" s="279"/>
      <c r="U122" s="279"/>
      <c r="AA122" s="481"/>
      <c r="AB122" s="481"/>
    </row>
    <row r="123" spans="1:28" s="267" customFormat="1" ht="11.25" customHeight="1">
      <c r="A123" s="168"/>
      <c r="B123" s="375"/>
      <c r="C123" s="168"/>
      <c r="D123" s="166"/>
      <c r="E123" s="166"/>
      <c r="F123" s="168" t="s">
        <v>1943</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1942</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1944</v>
      </c>
      <c r="C127" s="168"/>
      <c r="D127" s="166"/>
      <c r="E127" s="166"/>
      <c r="F127" s="168"/>
      <c r="G127" s="168"/>
      <c r="I127" s="166"/>
      <c r="J127" s="168" t="s">
        <v>1945</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3206</v>
      </c>
      <c r="C128" s="168"/>
      <c r="D128" s="166"/>
      <c r="E128" s="168"/>
      <c r="F128" s="168"/>
      <c r="G128" s="168"/>
      <c r="H128" s="166"/>
      <c r="I128" s="166"/>
      <c r="J128" s="168" t="s">
        <v>1683</v>
      </c>
      <c r="K128" s="168"/>
      <c r="L128" s="168"/>
      <c r="M128" s="168"/>
      <c r="N128" s="168"/>
      <c r="O128" s="168"/>
      <c r="P128" s="166"/>
      <c r="Q128" s="4775">
        <v>3000</v>
      </c>
      <c r="R128" s="4776"/>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2824</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2302</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84">
        <v>0.02</v>
      </c>
      <c r="R136" s="4784"/>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82">
        <v>7.0000000000000007E-2</v>
      </c>
      <c r="R137" s="4782"/>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82">
        <v>7.0000000000000007E-2</v>
      </c>
      <c r="R138" s="4782"/>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82">
        <v>0.03</v>
      </c>
      <c r="R139" s="4782"/>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82">
        <v>0.03</v>
      </c>
      <c r="R140" s="4782"/>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83">
        <v>0</v>
      </c>
      <c r="R141" s="4783"/>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2533</v>
      </c>
      <c r="B143" s="168"/>
      <c r="C143" s="168"/>
      <c r="D143" s="166"/>
      <c r="E143" s="166"/>
      <c r="F143" s="168" t="s">
        <v>486</v>
      </c>
      <c r="G143" s="168"/>
      <c r="H143" s="168" t="s">
        <v>2481</v>
      </c>
      <c r="I143" s="166"/>
      <c r="J143" s="168" t="s">
        <v>2535</v>
      </c>
      <c r="K143" s="168"/>
      <c r="L143" s="168"/>
      <c r="M143" s="168"/>
      <c r="N143" s="168"/>
      <c r="O143" s="168"/>
      <c r="P143" s="166"/>
      <c r="Q143" s="4784">
        <v>0.1</v>
      </c>
      <c r="R143" s="4784"/>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3448</v>
      </c>
      <c r="I144" s="166"/>
      <c r="J144" s="168" t="s">
        <v>3449</v>
      </c>
      <c r="K144" s="168"/>
      <c r="L144" s="168"/>
      <c r="M144" s="168"/>
      <c r="N144" s="168"/>
      <c r="O144" s="168"/>
      <c r="P144" s="166"/>
      <c r="Q144" s="4785">
        <v>1000000</v>
      </c>
      <c r="R144" s="4785"/>
      <c r="S144" s="166"/>
      <c r="T144" s="166"/>
      <c r="U144" s="166"/>
      <c r="V144" s="814"/>
      <c r="W144" s="814"/>
      <c r="X144" s="169"/>
      <c r="AA144" s="481"/>
      <c r="AB144" s="481"/>
    </row>
    <row r="145" spans="1:28" s="267" customFormat="1" ht="11.45" customHeight="1">
      <c r="A145" s="168"/>
      <c r="B145" s="168"/>
      <c r="C145" s="168"/>
      <c r="D145" s="166"/>
      <c r="E145" s="166"/>
      <c r="F145" s="168"/>
      <c r="G145" s="168"/>
      <c r="H145" s="168" t="s">
        <v>6321</v>
      </c>
      <c r="J145" s="168" t="s">
        <v>3450</v>
      </c>
      <c r="K145" s="168"/>
      <c r="L145" s="168"/>
      <c r="M145" s="168"/>
      <c r="N145" s="168"/>
      <c r="O145" s="168"/>
      <c r="P145" s="166"/>
      <c r="Q145" s="4785">
        <v>1000000</v>
      </c>
      <c r="R145" s="4785"/>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3450</v>
      </c>
      <c r="Q146" s="4785">
        <v>900000</v>
      </c>
      <c r="R146" s="4785"/>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3932</v>
      </c>
      <c r="I147" s="166"/>
      <c r="K147" s="168"/>
      <c r="L147" s="168"/>
      <c r="M147" s="168"/>
      <c r="N147" s="168"/>
      <c r="O147" s="168"/>
      <c r="P147" s="166"/>
      <c r="Q147" s="4785"/>
      <c r="R147" s="4785"/>
      <c r="S147" s="273"/>
      <c r="T147" s="273"/>
      <c r="U147" s="166"/>
      <c r="V147" s="863"/>
      <c r="W147" s="863"/>
      <c r="X147" s="863"/>
      <c r="AA147" s="481"/>
      <c r="AB147" s="481"/>
    </row>
    <row r="148" spans="1:28" s="267" customFormat="1" ht="11.45" customHeight="1">
      <c r="A148" s="168"/>
      <c r="B148" s="168"/>
      <c r="C148" s="168"/>
      <c r="D148" s="166"/>
      <c r="E148" s="166"/>
      <c r="F148" s="168" t="s">
        <v>2300</v>
      </c>
      <c r="G148" s="168"/>
      <c r="H148" s="168" t="s">
        <v>2534</v>
      </c>
      <c r="I148" s="166"/>
      <c r="J148" s="168" t="s">
        <v>3459</v>
      </c>
      <c r="K148" s="168"/>
      <c r="L148" s="168"/>
      <c r="M148" s="168"/>
      <c r="N148" s="168"/>
      <c r="O148" s="168"/>
      <c r="P148" s="166"/>
      <c r="Q148" s="4787">
        <v>4000000</v>
      </c>
      <c r="R148" s="4787"/>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2622</v>
      </c>
      <c r="J150" s="168" t="s">
        <v>2535</v>
      </c>
      <c r="Q150" s="4800" t="s">
        <v>6324</v>
      </c>
      <c r="R150" s="4800"/>
    </row>
    <row r="151" spans="1:28" ht="11.25" customHeight="1">
      <c r="F151" s="168" t="s">
        <v>2480</v>
      </c>
      <c r="G151" s="168"/>
      <c r="H151" s="168" t="s">
        <v>6323</v>
      </c>
      <c r="I151" s="166"/>
      <c r="J151" s="4784">
        <v>0.35</v>
      </c>
      <c r="K151" s="4784"/>
      <c r="L151" s="168"/>
      <c r="M151" s="168"/>
      <c r="N151" s="168"/>
      <c r="O151" s="168"/>
      <c r="P151" s="166"/>
      <c r="Q151" s="4786">
        <v>900000</v>
      </c>
      <c r="R151" s="4786"/>
    </row>
    <row r="152" spans="1:28" ht="11.25" customHeight="1">
      <c r="A152" s="272"/>
      <c r="F152" s="168" t="s">
        <v>6322</v>
      </c>
      <c r="G152" s="168"/>
      <c r="H152" s="168" t="s">
        <v>6323</v>
      </c>
      <c r="I152" s="166"/>
      <c r="J152" s="4782">
        <v>0.35</v>
      </c>
      <c r="K152" s="4782"/>
      <c r="L152" s="168"/>
      <c r="M152" s="168"/>
      <c r="N152" s="168"/>
      <c r="O152" s="168"/>
      <c r="P152" s="166"/>
      <c r="Q152" s="4785">
        <v>1000000</v>
      </c>
      <c r="R152" s="4785"/>
    </row>
    <row r="153" spans="1:28" s="267" customFormat="1" ht="11.25" customHeight="1">
      <c r="A153" s="272"/>
      <c r="B153" s="168"/>
      <c r="C153" s="168"/>
      <c r="D153" s="166"/>
      <c r="E153" s="166"/>
      <c r="F153" s="168" t="s">
        <v>3142</v>
      </c>
      <c r="G153" s="168"/>
      <c r="H153" s="168" t="s">
        <v>6323</v>
      </c>
      <c r="I153" s="166"/>
      <c r="J153" s="4783">
        <v>0.3</v>
      </c>
      <c r="K153" s="4783"/>
      <c r="L153" s="168"/>
      <c r="M153" s="168"/>
      <c r="N153" s="168"/>
      <c r="O153" s="168"/>
      <c r="P153" s="166"/>
      <c r="Q153" s="4787">
        <v>1000000</v>
      </c>
      <c r="R153" s="4787"/>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3325</v>
      </c>
      <c r="B155" s="168"/>
      <c r="C155" s="168"/>
      <c r="D155" s="166"/>
      <c r="E155" s="166"/>
      <c r="F155" s="168" t="s">
        <v>3328</v>
      </c>
      <c r="G155" s="168"/>
      <c r="H155" s="166"/>
      <c r="I155" s="166"/>
      <c r="J155" s="168" t="s">
        <v>3329</v>
      </c>
      <c r="K155" s="168"/>
      <c r="L155" s="168"/>
      <c r="M155" s="168"/>
      <c r="N155" s="168"/>
      <c r="O155" s="168"/>
      <c r="P155" s="166"/>
      <c r="Q155" s="4784">
        <v>0.05</v>
      </c>
      <c r="R155" s="4784"/>
      <c r="S155" s="166"/>
      <c r="T155" s="166"/>
      <c r="U155" s="166"/>
      <c r="V155" s="814"/>
      <c r="W155" s="814"/>
      <c r="X155" s="169"/>
      <c r="AA155" s="481"/>
      <c r="AB155" s="481"/>
    </row>
    <row r="156" spans="1:28" s="267" customFormat="1" ht="12.75" customHeight="1">
      <c r="A156" s="272"/>
      <c r="B156" s="168"/>
      <c r="C156" s="168"/>
      <c r="D156" s="166"/>
      <c r="E156" s="166"/>
      <c r="F156" s="168"/>
      <c r="G156" s="168" t="s">
        <v>3326</v>
      </c>
      <c r="H156" s="166"/>
      <c r="I156" s="166"/>
      <c r="J156" s="168" t="s">
        <v>3330</v>
      </c>
      <c r="K156" s="168"/>
      <c r="L156" s="168"/>
      <c r="M156" s="168"/>
      <c r="N156" s="168"/>
      <c r="O156" s="168"/>
      <c r="P156" s="166"/>
      <c r="Q156" s="4782">
        <v>0.4</v>
      </c>
      <c r="R156" s="4782"/>
      <c r="S156" s="166"/>
      <c r="T156" s="166"/>
      <c r="U156" s="166"/>
      <c r="V156" s="814"/>
      <c r="W156" s="814"/>
      <c r="X156" s="169"/>
      <c r="AA156" s="481"/>
      <c r="AB156" s="481"/>
    </row>
    <row r="157" spans="1:28" s="267" customFormat="1" ht="12.75" customHeight="1">
      <c r="A157" s="272"/>
      <c r="B157" s="168"/>
      <c r="C157" s="168"/>
      <c r="D157" s="166"/>
      <c r="E157" s="166"/>
      <c r="F157" s="168" t="s">
        <v>3327</v>
      </c>
      <c r="G157" s="168"/>
      <c r="H157" s="166"/>
      <c r="I157" s="166"/>
      <c r="J157" s="168" t="s">
        <v>3329</v>
      </c>
      <c r="K157" s="168"/>
      <c r="L157" s="168"/>
      <c r="M157" s="168"/>
      <c r="N157" s="168"/>
      <c r="O157" s="168"/>
      <c r="P157" s="166"/>
      <c r="Q157" s="4783">
        <v>0.02</v>
      </c>
      <c r="R157" s="4783"/>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67" t="s">
        <v>3556</v>
      </c>
      <c r="E170" s="279"/>
      <c r="F170" s="279"/>
    </row>
    <row r="171" spans="2:37" ht="10.5" customHeight="1">
      <c r="C171" s="4767"/>
      <c r="E171" s="279"/>
      <c r="F171" s="279"/>
    </row>
    <row r="172" spans="2:37" ht="10.5" customHeight="1">
      <c r="C172" s="4767"/>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2597</v>
      </c>
      <c r="N173" s="502" t="s">
        <v>3444</v>
      </c>
      <c r="O173" s="502" t="s">
        <v>3647</v>
      </c>
      <c r="P173" s="500" t="s">
        <v>2293</v>
      </c>
      <c r="Q173" s="500"/>
      <c r="R173" s="168"/>
      <c r="S173" s="380"/>
      <c r="T173" s="1251" t="s">
        <v>588</v>
      </c>
      <c r="U173" s="503" t="s">
        <v>589</v>
      </c>
      <c r="W173" s="530" t="s">
        <v>3138</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2489</v>
      </c>
      <c r="K174" s="887" t="s">
        <v>1116</v>
      </c>
      <c r="L174" s="888" t="s">
        <v>404</v>
      </c>
      <c r="M174" s="951" t="s">
        <v>2480</v>
      </c>
      <c r="N174" s="951" t="s">
        <v>1277</v>
      </c>
      <c r="O174" s="1066" t="s">
        <v>3648</v>
      </c>
      <c r="P174" s="504" t="s">
        <v>1461</v>
      </c>
      <c r="Q174" s="287"/>
      <c r="R174" s="168"/>
      <c r="S174" s="380"/>
      <c r="T174" s="473" t="s">
        <v>2596</v>
      </c>
      <c r="U174" s="473" t="s">
        <v>1542</v>
      </c>
      <c r="W174" s="418" t="s">
        <v>2294</v>
      </c>
      <c r="X174" s="418" t="s">
        <v>3139</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2489</v>
      </c>
      <c r="K175" s="887" t="s">
        <v>1117</v>
      </c>
      <c r="L175" s="888" t="s">
        <v>404</v>
      </c>
      <c r="M175" s="951" t="s">
        <v>2480</v>
      </c>
      <c r="N175" s="951" t="s">
        <v>1620</v>
      </c>
      <c r="O175" s="1066" t="s">
        <v>3649</v>
      </c>
      <c r="P175" s="504" t="s">
        <v>1463</v>
      </c>
      <c r="Q175" s="287"/>
      <c r="R175" s="168"/>
      <c r="S175" s="380"/>
      <c r="T175" s="473" t="s">
        <v>2294</v>
      </c>
      <c r="U175" s="473" t="s">
        <v>1863</v>
      </c>
      <c r="W175" s="418" t="s">
        <v>1462</v>
      </c>
      <c r="X175" s="418" t="s">
        <v>3139</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2489</v>
      </c>
      <c r="K176" s="887" t="s">
        <v>1118</v>
      </c>
      <c r="L176" s="888" t="s">
        <v>404</v>
      </c>
      <c r="M176" s="951" t="s">
        <v>2480</v>
      </c>
      <c r="N176" s="951" t="s">
        <v>1620</v>
      </c>
      <c r="O176" s="1066" t="s">
        <v>3650</v>
      </c>
      <c r="P176" s="504" t="s">
        <v>442</v>
      </c>
      <c r="Q176" s="287"/>
      <c r="R176" s="168"/>
      <c r="S176" s="380"/>
      <c r="T176" s="473" t="s">
        <v>1462</v>
      </c>
      <c r="U176" s="473" t="s">
        <v>2375</v>
      </c>
      <c r="W176" s="418" t="s">
        <v>910</v>
      </c>
      <c r="X176" s="418" t="s">
        <v>3139</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2490</v>
      </c>
      <c r="K177" s="887" t="s">
        <v>1119</v>
      </c>
      <c r="L177" s="888" t="s">
        <v>405</v>
      </c>
      <c r="M177" s="951" t="s">
        <v>1150</v>
      </c>
      <c r="N177" s="951" t="s">
        <v>1702</v>
      </c>
      <c r="O177" s="1066" t="s">
        <v>3651</v>
      </c>
      <c r="P177" s="504" t="s">
        <v>1989</v>
      </c>
      <c r="Q177" s="287"/>
      <c r="R177" s="168"/>
      <c r="S177" s="380"/>
      <c r="T177" s="473" t="s">
        <v>910</v>
      </c>
      <c r="U177" s="473" t="s">
        <v>1265</v>
      </c>
      <c r="W177" s="418" t="s">
        <v>1990</v>
      </c>
      <c r="X177" s="418" t="s">
        <v>3139</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2489</v>
      </c>
      <c r="K178" s="887" t="s">
        <v>1120</v>
      </c>
      <c r="L178" s="888" t="s">
        <v>404</v>
      </c>
      <c r="M178" s="951" t="s">
        <v>2480</v>
      </c>
      <c r="N178" s="951" t="s">
        <v>1271</v>
      </c>
      <c r="O178" s="1066" t="s">
        <v>3652</v>
      </c>
      <c r="P178" s="504" t="s">
        <v>1991</v>
      </c>
      <c r="Q178" s="287"/>
      <c r="R178" s="168"/>
      <c r="S178" s="380"/>
      <c r="T178" s="473" t="s">
        <v>443</v>
      </c>
      <c r="U178" s="473" t="s">
        <v>2412</v>
      </c>
      <c r="W178" s="418" t="s">
        <v>1994</v>
      </c>
      <c r="X178" s="418" t="s">
        <v>3139</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2489</v>
      </c>
      <c r="K179" s="887" t="s">
        <v>1738</v>
      </c>
      <c r="L179" s="888" t="s">
        <v>404</v>
      </c>
      <c r="M179" s="951" t="s">
        <v>2480</v>
      </c>
      <c r="N179" s="951" t="s">
        <v>158</v>
      </c>
      <c r="O179" s="1066" t="s">
        <v>3653</v>
      </c>
      <c r="P179" s="504" t="s">
        <v>1993</v>
      </c>
      <c r="Q179" s="287"/>
      <c r="R179" s="168"/>
      <c r="S179" s="380"/>
      <c r="T179" s="473" t="s">
        <v>1990</v>
      </c>
      <c r="U179" s="473" t="s">
        <v>321</v>
      </c>
      <c r="W179" s="418" t="s">
        <v>1702</v>
      </c>
      <c r="X179" s="418" t="s">
        <v>3139</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2490</v>
      </c>
      <c r="K180" s="887" t="s">
        <v>2458</v>
      </c>
      <c r="L180" s="888" t="s">
        <v>405</v>
      </c>
      <c r="M180" s="951" t="s">
        <v>1150</v>
      </c>
      <c r="N180" s="951" t="s">
        <v>1159</v>
      </c>
      <c r="O180" s="1066" t="s">
        <v>3654</v>
      </c>
      <c r="P180" s="504" t="s">
        <v>1995</v>
      </c>
      <c r="Q180" s="287"/>
      <c r="R180" s="168"/>
      <c r="S180" s="380"/>
      <c r="T180" s="473" t="s">
        <v>1992</v>
      </c>
      <c r="U180" s="473" t="s">
        <v>176</v>
      </c>
      <c r="W180" s="418" t="s">
        <v>424</v>
      </c>
      <c r="X180" s="418" t="s">
        <v>3139</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2490</v>
      </c>
      <c r="K181" s="887" t="s">
        <v>2458</v>
      </c>
      <c r="L181" s="888" t="s">
        <v>405</v>
      </c>
      <c r="M181" s="951" t="s">
        <v>1150</v>
      </c>
      <c r="N181" s="951" t="s">
        <v>1159</v>
      </c>
      <c r="O181" s="1066" t="s">
        <v>3655</v>
      </c>
      <c r="P181" s="504" t="s">
        <v>1997</v>
      </c>
      <c r="Q181" s="287"/>
      <c r="R181" s="168"/>
      <c r="S181" s="380"/>
      <c r="T181" s="473" t="s">
        <v>1994</v>
      </c>
      <c r="U181" s="473" t="s">
        <v>105</v>
      </c>
      <c r="W181" s="418" t="s">
        <v>426</v>
      </c>
      <c r="X181" s="418" t="s">
        <v>3139</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2489</v>
      </c>
      <c r="K182" s="887" t="s">
        <v>2459</v>
      </c>
      <c r="L182" s="888" t="s">
        <v>404</v>
      </c>
      <c r="M182" s="951" t="s">
        <v>2480</v>
      </c>
      <c r="N182" s="951" t="s">
        <v>1702</v>
      </c>
      <c r="O182" s="1066" t="s">
        <v>3656</v>
      </c>
      <c r="P182" s="504" t="s">
        <v>1874</v>
      </c>
      <c r="Q182" s="489"/>
      <c r="R182" s="168"/>
      <c r="S182" s="380"/>
      <c r="T182" s="473" t="s">
        <v>1996</v>
      </c>
      <c r="U182" s="473" t="s">
        <v>1268</v>
      </c>
      <c r="W182" s="418" t="s">
        <v>1763</v>
      </c>
      <c r="X182" s="418" t="s">
        <v>3139</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2489</v>
      </c>
      <c r="K183" s="887" t="s">
        <v>2460</v>
      </c>
      <c r="L183" s="888" t="s">
        <v>404</v>
      </c>
      <c r="M183" s="951" t="s">
        <v>2480</v>
      </c>
      <c r="N183" s="951" t="s">
        <v>1620</v>
      </c>
      <c r="O183" s="1066" t="s">
        <v>3657</v>
      </c>
      <c r="P183" s="504" t="s">
        <v>172</v>
      </c>
      <c r="Q183" s="489"/>
      <c r="R183" s="279"/>
      <c r="S183" s="380"/>
      <c r="T183" s="473" t="s">
        <v>1702</v>
      </c>
      <c r="U183" s="473" t="s">
        <v>919</v>
      </c>
      <c r="W183" s="418" t="s">
        <v>2430</v>
      </c>
      <c r="X183" s="418" t="s">
        <v>3139</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2490</v>
      </c>
      <c r="K184" s="887" t="s">
        <v>2461</v>
      </c>
      <c r="L184" s="888" t="s">
        <v>405</v>
      </c>
      <c r="M184" s="951" t="s">
        <v>1150</v>
      </c>
      <c r="N184" s="951" t="s">
        <v>1271</v>
      </c>
      <c r="O184" s="1066" t="s">
        <v>3658</v>
      </c>
      <c r="P184" s="504" t="s">
        <v>174</v>
      </c>
      <c r="Q184" s="489"/>
      <c r="R184" s="168"/>
      <c r="S184" s="380"/>
      <c r="T184" s="473" t="s">
        <v>1875</v>
      </c>
      <c r="U184" s="473" t="s">
        <v>410</v>
      </c>
      <c r="W184" s="418" t="s">
        <v>2436</v>
      </c>
      <c r="X184" s="418" t="s">
        <v>3139</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2489</v>
      </c>
      <c r="K185" s="887" t="s">
        <v>2462</v>
      </c>
      <c r="L185" s="888" t="s">
        <v>404</v>
      </c>
      <c r="M185" s="951" t="s">
        <v>2480</v>
      </c>
      <c r="N185" s="951" t="s">
        <v>1271</v>
      </c>
      <c r="O185" s="1066" t="s">
        <v>3659</v>
      </c>
      <c r="P185" s="504" t="s">
        <v>423</v>
      </c>
      <c r="Q185" s="287"/>
      <c r="R185" s="168"/>
      <c r="S185" s="380"/>
      <c r="T185" s="473" t="s">
        <v>173</v>
      </c>
      <c r="U185" s="473" t="s">
        <v>1400</v>
      </c>
      <c r="W185" s="418" t="s">
        <v>2441</v>
      </c>
      <c r="X185" s="418" t="s">
        <v>3139</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2490</v>
      </c>
      <c r="K186" s="887" t="s">
        <v>2463</v>
      </c>
      <c r="L186" s="888" t="s">
        <v>405</v>
      </c>
      <c r="M186" s="951" t="s">
        <v>1150</v>
      </c>
      <c r="N186" s="951" t="s">
        <v>1620</v>
      </c>
      <c r="O186" s="1066" t="s">
        <v>3660</v>
      </c>
      <c r="P186" s="504" t="s">
        <v>425</v>
      </c>
      <c r="Q186" s="287"/>
      <c r="R186" s="168"/>
      <c r="S186" s="380"/>
      <c r="T186" s="473" t="s">
        <v>175</v>
      </c>
      <c r="U186" s="473" t="s">
        <v>2290</v>
      </c>
      <c r="W186" s="418" t="s">
        <v>158</v>
      </c>
      <c r="X186" s="418" t="s">
        <v>3139</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2490</v>
      </c>
      <c r="K187" s="887" t="s">
        <v>2464</v>
      </c>
      <c r="L187" s="888" t="s">
        <v>405</v>
      </c>
      <c r="M187" s="951" t="s">
        <v>1150</v>
      </c>
      <c r="N187" s="951" t="s">
        <v>1620</v>
      </c>
      <c r="O187" s="1066" t="s">
        <v>3661</v>
      </c>
      <c r="P187" s="504" t="s">
        <v>427</v>
      </c>
      <c r="Q187" s="287"/>
      <c r="R187" s="168"/>
      <c r="S187" s="380"/>
      <c r="T187" s="473" t="s">
        <v>424</v>
      </c>
      <c r="U187" s="473" t="s">
        <v>1699</v>
      </c>
      <c r="W187" s="418" t="s">
        <v>1159</v>
      </c>
      <c r="X187" s="418" t="s">
        <v>3139</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2490</v>
      </c>
      <c r="K188" s="887" t="s">
        <v>1406</v>
      </c>
      <c r="L188" s="888" t="s">
        <v>405</v>
      </c>
      <c r="M188" s="951" t="s">
        <v>1150</v>
      </c>
      <c r="N188" s="951" t="s">
        <v>1277</v>
      </c>
      <c r="O188" s="1066" t="s">
        <v>3662</v>
      </c>
      <c r="P188" s="504" t="s">
        <v>429</v>
      </c>
      <c r="Q188" s="287"/>
      <c r="R188" s="168"/>
      <c r="S188" s="380"/>
      <c r="T188" s="473" t="s">
        <v>426</v>
      </c>
      <c r="U188" s="473" t="s">
        <v>1160</v>
      </c>
      <c r="W188" s="418" t="s">
        <v>1980</v>
      </c>
      <c r="X188" s="418" t="s">
        <v>3139</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2489</v>
      </c>
      <c r="K189" s="887" t="s">
        <v>2478</v>
      </c>
      <c r="L189" s="888" t="s">
        <v>404</v>
      </c>
      <c r="M189" s="951" t="s">
        <v>2480</v>
      </c>
      <c r="N189" s="951" t="s">
        <v>1277</v>
      </c>
      <c r="O189" s="1066" t="s">
        <v>3663</v>
      </c>
      <c r="P189" s="504" t="s">
        <v>2160</v>
      </c>
      <c r="Q189" s="287"/>
      <c r="R189" s="168"/>
      <c r="S189" s="380"/>
      <c r="T189" s="473" t="s">
        <v>428</v>
      </c>
      <c r="U189" s="473" t="s">
        <v>176</v>
      </c>
      <c r="W189" s="418" t="s">
        <v>1281</v>
      </c>
      <c r="X189" s="418" t="s">
        <v>3139</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2490</v>
      </c>
      <c r="K190" s="887" t="s">
        <v>2479</v>
      </c>
      <c r="L190" s="888" t="s">
        <v>405</v>
      </c>
      <c r="M190" s="951" t="s">
        <v>2480</v>
      </c>
      <c r="N190" s="951" t="s">
        <v>1281</v>
      </c>
      <c r="O190" s="1066" t="s">
        <v>3664</v>
      </c>
      <c r="P190" s="504" t="s">
        <v>2162</v>
      </c>
      <c r="Q190" s="287"/>
      <c r="R190" s="168"/>
      <c r="S190" s="380"/>
      <c r="T190" s="473" t="s">
        <v>430</v>
      </c>
      <c r="U190" s="473" t="s">
        <v>115</v>
      </c>
      <c r="W190" s="418" t="s">
        <v>1983</v>
      </c>
      <c r="X190" s="418" t="s">
        <v>3139</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2490</v>
      </c>
      <c r="K191" s="887" t="s">
        <v>1211</v>
      </c>
      <c r="L191" s="888" t="s">
        <v>405</v>
      </c>
      <c r="M191" s="951" t="s">
        <v>2480</v>
      </c>
      <c r="N191" s="951" t="s">
        <v>1159</v>
      </c>
      <c r="O191" s="1066" t="s">
        <v>3665</v>
      </c>
      <c r="P191" s="504" t="s">
        <v>352</v>
      </c>
      <c r="Q191" s="287"/>
      <c r="R191" s="168"/>
      <c r="S191" s="380"/>
      <c r="T191" s="473" t="s">
        <v>2161</v>
      </c>
      <c r="U191" s="473" t="s">
        <v>2376</v>
      </c>
      <c r="W191" s="418" t="s">
        <v>2015</v>
      </c>
      <c r="X191" s="418" t="s">
        <v>3139</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2489</v>
      </c>
      <c r="K192" s="887" t="s">
        <v>1212</v>
      </c>
      <c r="L192" s="888" t="s">
        <v>404</v>
      </c>
      <c r="M192" s="951" t="s">
        <v>2480</v>
      </c>
      <c r="N192" s="951" t="s">
        <v>1702</v>
      </c>
      <c r="O192" s="1066" t="s">
        <v>3666</v>
      </c>
      <c r="P192" s="504" t="s">
        <v>354</v>
      </c>
      <c r="Q192" s="287"/>
      <c r="R192" s="168"/>
      <c r="S192" s="380"/>
      <c r="T192" s="473" t="s">
        <v>1763</v>
      </c>
      <c r="U192" s="473" t="s">
        <v>2083</v>
      </c>
      <c r="W192" s="418" t="s">
        <v>2019</v>
      </c>
      <c r="X192" s="418" t="s">
        <v>3139</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2489</v>
      </c>
      <c r="K193" s="887" t="s">
        <v>1213</v>
      </c>
      <c r="L193" s="888" t="s">
        <v>404</v>
      </c>
      <c r="M193" s="951" t="s">
        <v>2480</v>
      </c>
      <c r="N193" s="951" t="s">
        <v>1620</v>
      </c>
      <c r="O193" s="1066" t="s">
        <v>3667</v>
      </c>
      <c r="P193" s="504" t="s">
        <v>2427</v>
      </c>
      <c r="Q193" s="287"/>
      <c r="R193" s="168"/>
      <c r="S193" s="380"/>
      <c r="T193" s="473" t="s">
        <v>353</v>
      </c>
      <c r="U193" s="473" t="s">
        <v>2083</v>
      </c>
      <c r="W193" s="418" t="s">
        <v>1703</v>
      </c>
      <c r="X193" s="418" t="s">
        <v>3139</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2489</v>
      </c>
      <c r="K194" s="887" t="s">
        <v>1635</v>
      </c>
      <c r="L194" s="888" t="s">
        <v>404</v>
      </c>
      <c r="M194" s="951" t="s">
        <v>2480</v>
      </c>
      <c r="N194" s="951" t="s">
        <v>1277</v>
      </c>
      <c r="O194" s="1066" t="s">
        <v>3668</v>
      </c>
      <c r="P194" s="504" t="s">
        <v>2429</v>
      </c>
      <c r="Q194" s="287"/>
      <c r="R194" s="168"/>
      <c r="S194" s="380"/>
      <c r="T194" s="473" t="s">
        <v>1164</v>
      </c>
      <c r="U194" s="473" t="s">
        <v>2411</v>
      </c>
      <c r="W194" s="418" t="s">
        <v>968</v>
      </c>
      <c r="X194" s="418" t="s">
        <v>3139</v>
      </c>
      <c r="Z194" s="418"/>
      <c r="AA194" s="157"/>
      <c r="AB194" s="157"/>
      <c r="AC194" s="809"/>
      <c r="AD194" s="481"/>
      <c r="AE194" s="157"/>
      <c r="AF194" s="157"/>
      <c r="AG194" s="157"/>
      <c r="AH194" s="157"/>
      <c r="AI194" s="157"/>
      <c r="AJ194" s="157"/>
      <c r="AK194" s="157"/>
    </row>
    <row r="195" spans="2:37" ht="10.5" customHeight="1">
      <c r="B195" s="279"/>
      <c r="C195" s="369" t="s">
        <v>2371</v>
      </c>
      <c r="D195" s="426"/>
      <c r="E195" s="279"/>
      <c r="F195" s="279" t="s">
        <v>824</v>
      </c>
      <c r="G195" s="885" t="s">
        <v>703</v>
      </c>
      <c r="H195" s="885" t="s">
        <v>1262</v>
      </c>
      <c r="I195" s="889" t="s">
        <v>734</v>
      </c>
      <c r="J195" s="889" t="s">
        <v>2490</v>
      </c>
      <c r="K195" s="887" t="s">
        <v>2458</v>
      </c>
      <c r="L195" s="888" t="s">
        <v>405</v>
      </c>
      <c r="M195" s="951" t="s">
        <v>1150</v>
      </c>
      <c r="N195" s="951" t="s">
        <v>1159</v>
      </c>
      <c r="O195" s="1066" t="s">
        <v>3669</v>
      </c>
      <c r="P195" s="504" t="s">
        <v>2431</v>
      </c>
      <c r="Q195" s="287"/>
      <c r="R195" s="168"/>
      <c r="S195" s="380"/>
      <c r="T195" s="473" t="s">
        <v>2428</v>
      </c>
      <c r="U195" s="473" t="s">
        <v>2416</v>
      </c>
      <c r="W195" s="418" t="s">
        <v>2335</v>
      </c>
      <c r="X195" s="418" t="s">
        <v>3139</v>
      </c>
      <c r="Z195" s="418"/>
      <c r="AA195" s="157"/>
      <c r="AB195" s="157"/>
      <c r="AC195" s="809"/>
      <c r="AD195" s="481"/>
      <c r="AE195" s="157"/>
      <c r="AF195" s="157"/>
      <c r="AG195" s="157"/>
      <c r="AH195" s="157"/>
      <c r="AI195" s="157"/>
      <c r="AJ195" s="157"/>
      <c r="AK195" s="157"/>
    </row>
    <row r="196" spans="2:37" ht="10.5" customHeight="1">
      <c r="B196" s="279"/>
      <c r="C196" s="370" t="s">
        <v>2374</v>
      </c>
      <c r="D196" s="426"/>
      <c r="E196" s="279"/>
      <c r="F196" s="279" t="s">
        <v>827</v>
      </c>
      <c r="G196" s="885" t="s">
        <v>1459</v>
      </c>
      <c r="H196" s="885" t="s">
        <v>1262</v>
      </c>
      <c r="I196" s="889" t="s">
        <v>1460</v>
      </c>
      <c r="J196" s="889" t="s">
        <v>2490</v>
      </c>
      <c r="K196" s="887" t="s">
        <v>1604</v>
      </c>
      <c r="L196" s="888" t="s">
        <v>405</v>
      </c>
      <c r="M196" s="951" t="s">
        <v>2480</v>
      </c>
      <c r="N196" s="951" t="s">
        <v>1460</v>
      </c>
      <c r="O196" s="1066" t="s">
        <v>3670</v>
      </c>
      <c r="P196" s="504" t="s">
        <v>2433</v>
      </c>
      <c r="Q196" s="287"/>
      <c r="R196" s="168"/>
      <c r="S196" s="380"/>
      <c r="T196" s="473" t="s">
        <v>2430</v>
      </c>
      <c r="U196" s="473" t="s">
        <v>1057</v>
      </c>
      <c r="W196" s="418" t="s">
        <v>2337</v>
      </c>
      <c r="X196" s="418" t="s">
        <v>3139</v>
      </c>
      <c r="Z196" s="418"/>
      <c r="AA196" s="157"/>
      <c r="AB196" s="157"/>
      <c r="AC196" s="809"/>
      <c r="AD196" s="481"/>
      <c r="AE196" s="157"/>
      <c r="AF196" s="157"/>
      <c r="AG196" s="157"/>
      <c r="AH196" s="157"/>
      <c r="AI196" s="157"/>
      <c r="AJ196" s="157"/>
      <c r="AK196" s="157"/>
    </row>
    <row r="197" spans="2:37" ht="10.5" customHeight="1">
      <c r="B197" s="279"/>
      <c r="C197" s="370" t="s">
        <v>2377</v>
      </c>
      <c r="D197" s="426"/>
      <c r="E197" s="279"/>
      <c r="F197" s="279" t="s">
        <v>828</v>
      </c>
      <c r="G197" s="885" t="s">
        <v>149</v>
      </c>
      <c r="H197" s="885" t="s">
        <v>1165</v>
      </c>
      <c r="I197" s="886" t="s">
        <v>150</v>
      </c>
      <c r="J197" s="886" t="s">
        <v>2489</v>
      </c>
      <c r="K197" s="887" t="s">
        <v>1605</v>
      </c>
      <c r="L197" s="888" t="s">
        <v>404</v>
      </c>
      <c r="M197" s="951" t="s">
        <v>2480</v>
      </c>
      <c r="N197" s="951" t="s">
        <v>1620</v>
      </c>
      <c r="O197" s="1066" t="s">
        <v>3671</v>
      </c>
      <c r="P197" s="504" t="s">
        <v>2435</v>
      </c>
      <c r="Q197" s="287"/>
      <c r="R197" s="168"/>
      <c r="S197" s="380"/>
      <c r="T197" s="473" t="s">
        <v>2432</v>
      </c>
      <c r="U197" s="473" t="s">
        <v>312</v>
      </c>
      <c r="W197" s="418" t="s">
        <v>2339</v>
      </c>
      <c r="X197" s="418" t="s">
        <v>3139</v>
      </c>
      <c r="Z197" s="418"/>
      <c r="AA197" s="157"/>
      <c r="AB197" s="157"/>
      <c r="AC197" s="809"/>
      <c r="AD197" s="481"/>
      <c r="AE197" s="157"/>
      <c r="AF197" s="157"/>
      <c r="AG197" s="157"/>
      <c r="AH197" s="157"/>
      <c r="AI197" s="157"/>
      <c r="AJ197" s="157"/>
      <c r="AK197" s="157"/>
    </row>
    <row r="198" spans="2:37" ht="10.5" customHeight="1">
      <c r="B198" s="279"/>
      <c r="C198" s="370" t="s">
        <v>2410</v>
      </c>
      <c r="D198" s="426"/>
      <c r="E198" s="279"/>
      <c r="F198" s="279" t="s">
        <v>1292</v>
      </c>
      <c r="G198" s="885" t="s">
        <v>151</v>
      </c>
      <c r="H198" s="885" t="s">
        <v>1715</v>
      </c>
      <c r="I198" s="889" t="s">
        <v>1277</v>
      </c>
      <c r="J198" s="889" t="s">
        <v>2490</v>
      </c>
      <c r="K198" s="887" t="s">
        <v>1406</v>
      </c>
      <c r="L198" s="888" t="s">
        <v>405</v>
      </c>
      <c r="M198" s="951" t="s">
        <v>1150</v>
      </c>
      <c r="N198" s="951" t="s">
        <v>1277</v>
      </c>
      <c r="O198" s="1066" t="s">
        <v>3672</v>
      </c>
      <c r="P198" s="504" t="s">
        <v>2437</v>
      </c>
      <c r="Q198" s="287"/>
      <c r="R198" s="168"/>
      <c r="S198" s="380"/>
      <c r="T198" s="473" t="s">
        <v>2434</v>
      </c>
      <c r="U198" s="473" t="s">
        <v>2373</v>
      </c>
      <c r="W198" s="418" t="s">
        <v>2342</v>
      </c>
      <c r="X198" s="418" t="s">
        <v>3139</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2490</v>
      </c>
      <c r="K199" s="887" t="s">
        <v>1606</v>
      </c>
      <c r="L199" s="888" t="s">
        <v>405</v>
      </c>
      <c r="M199" s="951" t="s">
        <v>2480</v>
      </c>
      <c r="N199" s="951" t="s">
        <v>153</v>
      </c>
      <c r="O199" s="1066" t="s">
        <v>3673</v>
      </c>
      <c r="P199" s="504" t="s">
        <v>2438</v>
      </c>
      <c r="Q199" s="287"/>
      <c r="R199" s="168"/>
      <c r="S199" s="380"/>
      <c r="T199" s="473" t="s">
        <v>2436</v>
      </c>
      <c r="U199" s="473" t="s">
        <v>1283</v>
      </c>
      <c r="W199" s="418" t="s">
        <v>2131</v>
      </c>
      <c r="X199" s="418" t="s">
        <v>3139</v>
      </c>
      <c r="Z199" s="418"/>
      <c r="AA199" s="157"/>
      <c r="AB199" s="157"/>
      <c r="AC199" s="809"/>
      <c r="AD199" s="481"/>
      <c r="AE199" s="157"/>
      <c r="AF199" s="157"/>
      <c r="AG199" s="157"/>
      <c r="AH199" s="157"/>
      <c r="AI199" s="157"/>
      <c r="AJ199" s="157"/>
      <c r="AK199" s="157"/>
    </row>
    <row r="200" spans="2:37" ht="10.5" customHeight="1">
      <c r="B200" s="279"/>
      <c r="C200" s="370" t="s">
        <v>2413</v>
      </c>
      <c r="D200" s="426"/>
      <c r="E200" s="279"/>
      <c r="F200" s="279" t="s">
        <v>1293</v>
      </c>
      <c r="G200" s="885" t="s">
        <v>154</v>
      </c>
      <c r="H200" s="885" t="s">
        <v>1262</v>
      </c>
      <c r="I200" s="886" t="s">
        <v>155</v>
      </c>
      <c r="J200" s="886" t="s">
        <v>2489</v>
      </c>
      <c r="K200" s="887" t="s">
        <v>1607</v>
      </c>
      <c r="L200" s="888" t="s">
        <v>404</v>
      </c>
      <c r="M200" s="951" t="s">
        <v>2480</v>
      </c>
      <c r="N200" s="951" t="s">
        <v>1460</v>
      </c>
      <c r="O200" s="1066" t="s">
        <v>3674</v>
      </c>
      <c r="P200" s="504" t="s">
        <v>2440</v>
      </c>
      <c r="Q200" s="287"/>
      <c r="R200" s="168"/>
      <c r="S200" s="380"/>
      <c r="T200" s="473" t="s">
        <v>2439</v>
      </c>
      <c r="U200" s="473" t="s">
        <v>2472</v>
      </c>
      <c r="W200" s="418" t="s">
        <v>2228</v>
      </c>
      <c r="X200" s="418" t="s">
        <v>3139</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2490</v>
      </c>
      <c r="K201" s="887" t="s">
        <v>2458</v>
      </c>
      <c r="L201" s="888" t="s">
        <v>405</v>
      </c>
      <c r="M201" s="951" t="s">
        <v>1150</v>
      </c>
      <c r="N201" s="951" t="s">
        <v>1159</v>
      </c>
      <c r="O201" s="1066" t="s">
        <v>3675</v>
      </c>
      <c r="P201" s="504" t="s">
        <v>398</v>
      </c>
      <c r="Q201" s="287"/>
      <c r="R201" s="168"/>
      <c r="S201" s="380"/>
      <c r="T201" s="473" t="s">
        <v>2441</v>
      </c>
      <c r="U201" s="473" t="s">
        <v>1829</v>
      </c>
      <c r="W201" s="418" t="s">
        <v>294</v>
      </c>
      <c r="X201" s="418" t="s">
        <v>3139</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1952</v>
      </c>
      <c r="J202" s="886" t="s">
        <v>2490</v>
      </c>
      <c r="K202" s="887" t="s">
        <v>590</v>
      </c>
      <c r="L202" s="888" t="s">
        <v>405</v>
      </c>
      <c r="M202" s="952" t="s">
        <v>1150</v>
      </c>
      <c r="N202" s="952" t="s">
        <v>158</v>
      </c>
      <c r="O202" s="1066" t="s">
        <v>3676</v>
      </c>
      <c r="P202" s="504" t="s">
        <v>399</v>
      </c>
      <c r="Q202" s="287"/>
      <c r="R202" s="279"/>
      <c r="S202" s="380"/>
      <c r="T202" s="473" t="s">
        <v>158</v>
      </c>
      <c r="U202" s="473" t="s">
        <v>157</v>
      </c>
      <c r="W202" s="418" t="s">
        <v>8</v>
      </c>
      <c r="X202" s="418" t="s">
        <v>3139</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2370</v>
      </c>
      <c r="H203" s="885" t="s">
        <v>1165</v>
      </c>
      <c r="I203" s="886" t="s">
        <v>2371</v>
      </c>
      <c r="J203" s="886" t="s">
        <v>2489</v>
      </c>
      <c r="K203" s="887" t="s">
        <v>591</v>
      </c>
      <c r="L203" s="888" t="s">
        <v>404</v>
      </c>
      <c r="M203" s="952" t="s">
        <v>2480</v>
      </c>
      <c r="N203" s="952" t="s">
        <v>1702</v>
      </c>
      <c r="O203" s="1066" t="s">
        <v>3677</v>
      </c>
      <c r="P203" s="504" t="s">
        <v>746</v>
      </c>
      <c r="Q203" s="489"/>
      <c r="R203" s="168"/>
      <c r="S203" s="380"/>
      <c r="T203" s="473" t="s">
        <v>1159</v>
      </c>
      <c r="U203" s="473" t="s">
        <v>1160</v>
      </c>
      <c r="W203" s="418" t="s">
        <v>10</v>
      </c>
      <c r="X203" s="418" t="s">
        <v>3139</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2372</v>
      </c>
      <c r="H204" s="885" t="s">
        <v>1715</v>
      </c>
      <c r="I204" s="889" t="s">
        <v>734</v>
      </c>
      <c r="J204" s="889" t="s">
        <v>2490</v>
      </c>
      <c r="K204" s="887" t="s">
        <v>2458</v>
      </c>
      <c r="L204" s="888" t="s">
        <v>405</v>
      </c>
      <c r="M204" s="951" t="s">
        <v>1150</v>
      </c>
      <c r="N204" s="951" t="s">
        <v>1159</v>
      </c>
      <c r="O204" s="1066" t="s">
        <v>3678</v>
      </c>
      <c r="P204" s="504" t="s">
        <v>748</v>
      </c>
      <c r="Q204" s="489"/>
      <c r="R204" s="168"/>
      <c r="S204" s="380"/>
      <c r="T204" s="473" t="s">
        <v>747</v>
      </c>
      <c r="U204" s="473" t="s">
        <v>188</v>
      </c>
      <c r="W204" s="418" t="s">
        <v>54</v>
      </c>
      <c r="X204" s="418" t="s">
        <v>3139</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2373</v>
      </c>
      <c r="H205" s="885" t="s">
        <v>1165</v>
      </c>
      <c r="I205" s="886" t="s">
        <v>2374</v>
      </c>
      <c r="J205" s="886" t="s">
        <v>2489</v>
      </c>
      <c r="K205" s="887" t="s">
        <v>592</v>
      </c>
      <c r="L205" s="888" t="s">
        <v>404</v>
      </c>
      <c r="M205" s="952" t="s">
        <v>2480</v>
      </c>
      <c r="N205" s="952" t="s">
        <v>1620</v>
      </c>
      <c r="O205" s="1066" t="s">
        <v>3679</v>
      </c>
      <c r="P205" s="504" t="s">
        <v>1981</v>
      </c>
      <c r="Q205" s="489"/>
      <c r="R205" s="168"/>
      <c r="S205" s="380"/>
      <c r="T205" s="473" t="s">
        <v>1980</v>
      </c>
      <c r="U205" s="473" t="s">
        <v>1264</v>
      </c>
      <c r="W205" s="418" t="s">
        <v>56</v>
      </c>
      <c r="X205" s="418" t="s">
        <v>3139</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2375</v>
      </c>
      <c r="H206" s="885" t="s">
        <v>1715</v>
      </c>
      <c r="I206" s="889" t="s">
        <v>734</v>
      </c>
      <c r="J206" s="889" t="s">
        <v>2490</v>
      </c>
      <c r="K206" s="887" t="s">
        <v>2458</v>
      </c>
      <c r="L206" s="888" t="s">
        <v>405</v>
      </c>
      <c r="M206" s="951" t="s">
        <v>1150</v>
      </c>
      <c r="N206" s="951" t="s">
        <v>1159</v>
      </c>
      <c r="O206" s="1066" t="s">
        <v>3680</v>
      </c>
      <c r="P206" s="504" t="s">
        <v>1982</v>
      </c>
      <c r="Q206" s="489"/>
      <c r="R206" s="168"/>
      <c r="S206" s="380"/>
      <c r="T206" s="473" t="s">
        <v>1281</v>
      </c>
      <c r="U206" s="473" t="s">
        <v>1069</v>
      </c>
      <c r="W206" s="418" t="s">
        <v>340</v>
      </c>
      <c r="X206" s="418" t="s">
        <v>3139</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2376</v>
      </c>
      <c r="H207" s="885" t="s">
        <v>1165</v>
      </c>
      <c r="I207" s="886" t="s">
        <v>2377</v>
      </c>
      <c r="J207" s="886" t="s">
        <v>2489</v>
      </c>
      <c r="K207" s="887" t="s">
        <v>593</v>
      </c>
      <c r="L207" s="888" t="s">
        <v>404</v>
      </c>
      <c r="M207" s="952" t="s">
        <v>2480</v>
      </c>
      <c r="N207" s="952" t="s">
        <v>1620</v>
      </c>
      <c r="O207" s="1066" t="s">
        <v>3681</v>
      </c>
      <c r="P207" s="504" t="s">
        <v>1984</v>
      </c>
      <c r="Q207" s="489"/>
      <c r="R207" s="168"/>
      <c r="S207" s="380"/>
      <c r="T207" s="473" t="s">
        <v>1983</v>
      </c>
      <c r="U207" s="473" t="s">
        <v>2375</v>
      </c>
      <c r="W207" s="418" t="s">
        <v>344</v>
      </c>
      <c r="X207" s="418" t="s">
        <v>3139</v>
      </c>
      <c r="Z207" s="418"/>
      <c r="AA207" s="157"/>
      <c r="AB207" s="157"/>
      <c r="AC207" s="809"/>
      <c r="AD207" s="481"/>
      <c r="AE207" s="157"/>
      <c r="AF207" s="157"/>
      <c r="AG207" s="157"/>
      <c r="AH207" s="157"/>
      <c r="AI207" s="157"/>
      <c r="AJ207" s="157"/>
      <c r="AK207" s="157"/>
    </row>
    <row r="208" spans="2:37" ht="10.5" customHeight="1">
      <c r="B208" s="279"/>
      <c r="C208" s="370" t="s">
        <v>2142</v>
      </c>
      <c r="D208" s="426"/>
      <c r="E208" s="279"/>
      <c r="F208" s="279" t="s">
        <v>1299</v>
      </c>
      <c r="G208" s="885" t="s">
        <v>2378</v>
      </c>
      <c r="H208" s="885" t="s">
        <v>1165</v>
      </c>
      <c r="I208" s="886" t="s">
        <v>2410</v>
      </c>
      <c r="J208" s="886" t="s">
        <v>2489</v>
      </c>
      <c r="K208" s="887" t="s">
        <v>594</v>
      </c>
      <c r="L208" s="888" t="s">
        <v>404</v>
      </c>
      <c r="M208" s="952" t="s">
        <v>2480</v>
      </c>
      <c r="N208" s="952" t="s">
        <v>1702</v>
      </c>
      <c r="O208" s="1066" t="s">
        <v>3682</v>
      </c>
      <c r="P208" s="504" t="s">
        <v>2014</v>
      </c>
      <c r="Q208" s="489"/>
      <c r="R208" s="168"/>
      <c r="S208" s="380"/>
      <c r="T208" s="473" t="s">
        <v>1910</v>
      </c>
      <c r="U208" s="473" t="s">
        <v>2079</v>
      </c>
      <c r="W208" s="418" t="s">
        <v>2188</v>
      </c>
      <c r="X208" s="418" t="s">
        <v>3139</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2411</v>
      </c>
      <c r="H209" s="885" t="s">
        <v>1262</v>
      </c>
      <c r="I209" s="889" t="s">
        <v>735</v>
      </c>
      <c r="J209" s="889" t="s">
        <v>2490</v>
      </c>
      <c r="K209" s="887" t="s">
        <v>2479</v>
      </c>
      <c r="L209" s="888" t="s">
        <v>405</v>
      </c>
      <c r="M209" s="951" t="s">
        <v>2480</v>
      </c>
      <c r="N209" s="951" t="s">
        <v>1281</v>
      </c>
      <c r="O209" s="1066" t="s">
        <v>3683</v>
      </c>
      <c r="P209" s="504" t="s">
        <v>2016</v>
      </c>
      <c r="Q209" s="489"/>
      <c r="R209" s="168"/>
      <c r="S209" s="380"/>
      <c r="T209" s="473" t="s">
        <v>1985</v>
      </c>
      <c r="U209" s="473" t="s">
        <v>317</v>
      </c>
      <c r="W209" s="418" t="s">
        <v>1283</v>
      </c>
      <c r="X209" s="418" t="s">
        <v>3139</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2412</v>
      </c>
      <c r="H210" s="885" t="s">
        <v>1165</v>
      </c>
      <c r="I210" s="886" t="s">
        <v>2413</v>
      </c>
      <c r="J210" s="886" t="s">
        <v>2489</v>
      </c>
      <c r="K210" s="887" t="s">
        <v>595</v>
      </c>
      <c r="L210" s="888" t="s">
        <v>404</v>
      </c>
      <c r="M210" s="952" t="s">
        <v>2480</v>
      </c>
      <c r="N210" s="952" t="s">
        <v>1620</v>
      </c>
      <c r="O210" s="1066" t="s">
        <v>3684</v>
      </c>
      <c r="P210" s="504" t="s">
        <v>2018</v>
      </c>
      <c r="Q210" s="489"/>
      <c r="R210" s="168"/>
      <c r="S210" s="380"/>
      <c r="T210" s="473" t="s">
        <v>2015</v>
      </c>
      <c r="U210" s="473" t="s">
        <v>598</v>
      </c>
      <c r="W210" s="418" t="s">
        <v>1496</v>
      </c>
      <c r="X210" s="418" t="s">
        <v>3139</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2414</v>
      </c>
      <c r="H211" s="885" t="s">
        <v>1165</v>
      </c>
      <c r="I211" s="889" t="s">
        <v>734</v>
      </c>
      <c r="J211" s="889" t="s">
        <v>2490</v>
      </c>
      <c r="K211" s="887" t="s">
        <v>2458</v>
      </c>
      <c r="L211" s="888" t="s">
        <v>405</v>
      </c>
      <c r="M211" s="951" t="s">
        <v>1150</v>
      </c>
      <c r="N211" s="951" t="s">
        <v>1159</v>
      </c>
      <c r="O211" s="1066" t="s">
        <v>3685</v>
      </c>
      <c r="P211" s="504" t="s">
        <v>2020</v>
      </c>
      <c r="Q211" s="489"/>
      <c r="R211" s="168"/>
      <c r="S211" s="380"/>
      <c r="T211" s="473" t="s">
        <v>2017</v>
      </c>
      <c r="U211" s="473" t="s">
        <v>1567</v>
      </c>
      <c r="W211" s="418" t="s">
        <v>1500</v>
      </c>
      <c r="X211" s="418" t="s">
        <v>3139</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2415</v>
      </c>
      <c r="H212" s="885" t="s">
        <v>1262</v>
      </c>
      <c r="I212" s="889" t="s">
        <v>1271</v>
      </c>
      <c r="J212" s="889" t="s">
        <v>2490</v>
      </c>
      <c r="K212" s="887" t="s">
        <v>2461</v>
      </c>
      <c r="L212" s="888" t="s">
        <v>405</v>
      </c>
      <c r="M212" s="951" t="s">
        <v>2480</v>
      </c>
      <c r="N212" s="951" t="s">
        <v>1271</v>
      </c>
      <c r="O212" s="1066" t="s">
        <v>3686</v>
      </c>
      <c r="P212" s="504" t="s">
        <v>2422</v>
      </c>
      <c r="Q212" s="489"/>
      <c r="R212" s="168"/>
      <c r="S212" s="380"/>
      <c r="T212" s="473" t="s">
        <v>2019</v>
      </c>
      <c r="U212" s="473" t="s">
        <v>188</v>
      </c>
      <c r="W212" s="418" t="s">
        <v>1666</v>
      </c>
      <c r="X212" s="418" t="s">
        <v>3139</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2416</v>
      </c>
      <c r="H213" s="885" t="s">
        <v>1165</v>
      </c>
      <c r="I213" s="886" t="s">
        <v>185</v>
      </c>
      <c r="J213" s="886" t="s">
        <v>2489</v>
      </c>
      <c r="K213" s="887" t="s">
        <v>596</v>
      </c>
      <c r="L213" s="888" t="s">
        <v>404</v>
      </c>
      <c r="M213" s="952" t="s">
        <v>2480</v>
      </c>
      <c r="N213" s="952" t="s">
        <v>1702</v>
      </c>
      <c r="O213" s="1066" t="s">
        <v>3687</v>
      </c>
      <c r="P213" s="504" t="s">
        <v>967</v>
      </c>
      <c r="Q213" s="489"/>
      <c r="R213" s="168"/>
      <c r="S213" s="380"/>
      <c r="T213" s="473" t="s">
        <v>1703</v>
      </c>
      <c r="U213" s="473" t="s">
        <v>115</v>
      </c>
      <c r="W213" s="418" t="s">
        <v>983</v>
      </c>
      <c r="X213" s="418" t="s">
        <v>3139</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2490</v>
      </c>
      <c r="K214" s="887" t="s">
        <v>1604</v>
      </c>
      <c r="L214" s="888" t="s">
        <v>405</v>
      </c>
      <c r="M214" s="951" t="s">
        <v>2480</v>
      </c>
      <c r="N214" s="951" t="s">
        <v>1460</v>
      </c>
      <c r="O214" s="1066" t="s">
        <v>3688</v>
      </c>
      <c r="P214" s="504" t="s">
        <v>1913</v>
      </c>
      <c r="Q214" s="489"/>
      <c r="R214" s="168"/>
      <c r="S214" s="380"/>
      <c r="T214" s="473" t="s">
        <v>2423</v>
      </c>
      <c r="U214" s="473" t="s">
        <v>156</v>
      </c>
      <c r="W214" s="418" t="s">
        <v>986</v>
      </c>
      <c r="X214" s="418" t="s">
        <v>3139</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2490</v>
      </c>
      <c r="K215" s="887" t="s">
        <v>2458</v>
      </c>
      <c r="L215" s="888" t="s">
        <v>405</v>
      </c>
      <c r="M215" s="951" t="s">
        <v>1150</v>
      </c>
      <c r="N215" s="951" t="s">
        <v>1159</v>
      </c>
      <c r="O215" s="1066" t="s">
        <v>3689</v>
      </c>
      <c r="P215" s="504" t="s">
        <v>12</v>
      </c>
      <c r="Q215" s="489"/>
      <c r="R215" s="168"/>
      <c r="S215" s="380"/>
      <c r="T215" s="473" t="s">
        <v>968</v>
      </c>
      <c r="U215" s="473" t="s">
        <v>410</v>
      </c>
      <c r="W215" s="418" t="s">
        <v>1678</v>
      </c>
      <c r="X215" s="418" t="s">
        <v>3139</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2489</v>
      </c>
      <c r="K216" s="887" t="s">
        <v>597</v>
      </c>
      <c r="L216" s="888" t="s">
        <v>404</v>
      </c>
      <c r="M216" s="952" t="s">
        <v>2480</v>
      </c>
      <c r="N216" s="952" t="s">
        <v>1702</v>
      </c>
      <c r="O216" s="1066" t="s">
        <v>3690</v>
      </c>
      <c r="P216" s="504" t="s">
        <v>2134</v>
      </c>
      <c r="Q216" s="489"/>
      <c r="R216" s="168"/>
      <c r="S216" s="380"/>
      <c r="T216" s="473" t="s">
        <v>1265</v>
      </c>
      <c r="U216" s="473" t="s">
        <v>317</v>
      </c>
      <c r="W216" s="418" t="s">
        <v>1973</v>
      </c>
      <c r="X216" s="418" t="s">
        <v>3139</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2490</v>
      </c>
      <c r="K217" s="887" t="s">
        <v>2458</v>
      </c>
      <c r="L217" s="888" t="s">
        <v>405</v>
      </c>
      <c r="M217" s="951" t="s">
        <v>1150</v>
      </c>
      <c r="N217" s="951" t="s">
        <v>1159</v>
      </c>
      <c r="O217" s="1066" t="s">
        <v>3691</v>
      </c>
      <c r="P217" s="504" t="s">
        <v>2136</v>
      </c>
      <c r="Q217" s="489"/>
      <c r="R217" s="168"/>
      <c r="S217" s="380"/>
      <c r="T217" s="473" t="s">
        <v>13</v>
      </c>
      <c r="U217" s="473" t="s">
        <v>1593</v>
      </c>
      <c r="W217" s="418" t="s">
        <v>1975</v>
      </c>
      <c r="X217" s="418" t="s">
        <v>3139</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2489</v>
      </c>
      <c r="K218" s="887" t="s">
        <v>1870</v>
      </c>
      <c r="L218" s="888" t="s">
        <v>404</v>
      </c>
      <c r="M218" s="952" t="s">
        <v>2480</v>
      </c>
      <c r="N218" s="952" t="s">
        <v>1271</v>
      </c>
      <c r="O218" s="1066" t="s">
        <v>3692</v>
      </c>
      <c r="P218" s="504" t="s">
        <v>2138</v>
      </c>
      <c r="Q218" s="489"/>
      <c r="R218" s="168"/>
      <c r="S218" s="380"/>
      <c r="T218" s="505" t="s">
        <v>2135</v>
      </c>
      <c r="U218" s="505" t="s">
        <v>1164</v>
      </c>
      <c r="W218" s="418" t="s">
        <v>646</v>
      </c>
      <c r="X218" s="418" t="s">
        <v>3139</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2489</v>
      </c>
      <c r="K219" s="887" t="s">
        <v>1871</v>
      </c>
      <c r="L219" s="888" t="s">
        <v>404</v>
      </c>
      <c r="M219" s="952" t="s">
        <v>2480</v>
      </c>
      <c r="N219" s="952" t="s">
        <v>1702</v>
      </c>
      <c r="O219" s="1066" t="s">
        <v>3693</v>
      </c>
      <c r="P219" s="504" t="s">
        <v>2167</v>
      </c>
      <c r="Q219" s="489"/>
      <c r="R219" s="168"/>
      <c r="S219" s="380"/>
      <c r="T219" s="473" t="s">
        <v>2137</v>
      </c>
      <c r="U219" s="473" t="s">
        <v>2143</v>
      </c>
      <c r="W219" s="418" t="s">
        <v>1201</v>
      </c>
      <c r="X219" s="418" t="s">
        <v>3139</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2490</v>
      </c>
      <c r="K220" s="887" t="s">
        <v>1119</v>
      </c>
      <c r="L220" s="888" t="s">
        <v>405</v>
      </c>
      <c r="M220" s="952" t="s">
        <v>1150</v>
      </c>
      <c r="N220" s="952" t="s">
        <v>1702</v>
      </c>
      <c r="O220" s="1066" t="s">
        <v>3694</v>
      </c>
      <c r="P220" s="504" t="s">
        <v>1693</v>
      </c>
      <c r="Q220" s="489"/>
      <c r="R220" s="168"/>
      <c r="S220" s="380"/>
      <c r="T220" s="473" t="s">
        <v>2443</v>
      </c>
      <c r="U220" s="473" t="s">
        <v>598</v>
      </c>
      <c r="W220" s="418" t="s">
        <v>1203</v>
      </c>
      <c r="X220" s="418" t="s">
        <v>3139</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2490</v>
      </c>
      <c r="K221" s="887" t="s">
        <v>2458</v>
      </c>
      <c r="L221" s="888" t="s">
        <v>405</v>
      </c>
      <c r="M221" s="951" t="s">
        <v>1150</v>
      </c>
      <c r="N221" s="951" t="s">
        <v>1159</v>
      </c>
      <c r="O221" s="1066" t="s">
        <v>3695</v>
      </c>
      <c r="P221" s="504" t="s">
        <v>1695</v>
      </c>
      <c r="Q221" s="489"/>
      <c r="R221" s="168"/>
      <c r="S221" s="380"/>
      <c r="T221" s="473" t="s">
        <v>2139</v>
      </c>
      <c r="U221" s="473" t="s">
        <v>114</v>
      </c>
      <c r="W221" s="418" t="s">
        <v>2372</v>
      </c>
      <c r="X221" s="418" t="s">
        <v>3139</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2489</v>
      </c>
      <c r="K222" s="887" t="s">
        <v>1872</v>
      </c>
      <c r="L222" s="888" t="s">
        <v>404</v>
      </c>
      <c r="M222" s="952" t="s">
        <v>2480</v>
      </c>
      <c r="N222" s="952" t="s">
        <v>1702</v>
      </c>
      <c r="O222" s="1066" t="s">
        <v>3696</v>
      </c>
      <c r="P222" s="504" t="s">
        <v>2065</v>
      </c>
      <c r="Q222" s="489"/>
      <c r="R222" s="168"/>
      <c r="S222" s="380"/>
      <c r="T222" s="473" t="s">
        <v>1670</v>
      </c>
      <c r="U222" s="473" t="s">
        <v>2378</v>
      </c>
      <c r="W222" s="418" t="s">
        <v>2381</v>
      </c>
      <c r="X222" s="418" t="s">
        <v>3139</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2490</v>
      </c>
      <c r="K223" s="887" t="s">
        <v>2464</v>
      </c>
      <c r="L223" s="888" t="s">
        <v>405</v>
      </c>
      <c r="M223" s="951" t="s">
        <v>2480</v>
      </c>
      <c r="N223" s="951" t="s">
        <v>1620</v>
      </c>
      <c r="O223" s="1066" t="s">
        <v>3697</v>
      </c>
      <c r="P223" s="504" t="s">
        <v>2066</v>
      </c>
      <c r="Q223" s="489"/>
      <c r="R223" s="168"/>
      <c r="S223" s="380"/>
      <c r="T223" s="473" t="s">
        <v>1694</v>
      </c>
      <c r="U223" s="473" t="s">
        <v>1264</v>
      </c>
      <c r="W223" s="418" t="s">
        <v>82</v>
      </c>
      <c r="X223" s="418" t="s">
        <v>3139</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2490</v>
      </c>
      <c r="K224" s="887" t="s">
        <v>1406</v>
      </c>
      <c r="L224" s="888" t="s">
        <v>405</v>
      </c>
      <c r="M224" s="951" t="s">
        <v>2480</v>
      </c>
      <c r="N224" s="951" t="s">
        <v>1277</v>
      </c>
      <c r="O224" s="1066" t="s">
        <v>3698</v>
      </c>
      <c r="P224" s="504" t="s">
        <v>2334</v>
      </c>
      <c r="Q224" s="287"/>
      <c r="R224" s="168"/>
      <c r="S224" s="380"/>
      <c r="T224" s="473" t="s">
        <v>1696</v>
      </c>
      <c r="U224" s="473" t="s">
        <v>1919</v>
      </c>
      <c r="W224" s="418" t="s">
        <v>1188</v>
      </c>
      <c r="X224" s="418" t="s">
        <v>3139</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2489</v>
      </c>
      <c r="K225" s="887" t="s">
        <v>1286</v>
      </c>
      <c r="L225" s="888" t="s">
        <v>404</v>
      </c>
      <c r="M225" s="952" t="s">
        <v>2480</v>
      </c>
      <c r="N225" s="952" t="s">
        <v>158</v>
      </c>
      <c r="O225" s="1066" t="s">
        <v>3699</v>
      </c>
      <c r="P225" s="504" t="s">
        <v>2336</v>
      </c>
      <c r="Q225" s="287"/>
      <c r="R225" s="168"/>
      <c r="S225" s="380"/>
      <c r="T225" s="473" t="s">
        <v>792</v>
      </c>
      <c r="U225" s="473" t="s">
        <v>2469</v>
      </c>
      <c r="W225" s="418" t="s">
        <v>153</v>
      </c>
      <c r="X225" s="418" t="s">
        <v>3139</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2141</v>
      </c>
      <c r="H226" s="885" t="s">
        <v>1165</v>
      </c>
      <c r="I226" s="886" t="s">
        <v>2142</v>
      </c>
      <c r="J226" s="886" t="s">
        <v>2489</v>
      </c>
      <c r="K226" s="887" t="s">
        <v>1287</v>
      </c>
      <c r="L226" s="888" t="s">
        <v>404</v>
      </c>
      <c r="M226" s="952" t="s">
        <v>2480</v>
      </c>
      <c r="N226" s="952" t="s">
        <v>1281</v>
      </c>
      <c r="O226" s="1066" t="s">
        <v>3700</v>
      </c>
      <c r="P226" s="504" t="s">
        <v>2338</v>
      </c>
      <c r="Q226" s="287"/>
      <c r="R226" s="168"/>
      <c r="S226" s="380"/>
      <c r="T226" s="505" t="s">
        <v>2067</v>
      </c>
      <c r="U226" s="505" t="s">
        <v>2471</v>
      </c>
      <c r="W226" s="418" t="s">
        <v>861</v>
      </c>
      <c r="X226" s="418" t="s">
        <v>3139</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2143</v>
      </c>
      <c r="H227" s="885" t="s">
        <v>1165</v>
      </c>
      <c r="I227" s="886" t="s">
        <v>624</v>
      </c>
      <c r="J227" s="886" t="s">
        <v>2489</v>
      </c>
      <c r="K227" s="887" t="s">
        <v>1288</v>
      </c>
      <c r="L227" s="888" t="s">
        <v>404</v>
      </c>
      <c r="M227" s="952" t="s">
        <v>2480</v>
      </c>
      <c r="N227" s="952" t="s">
        <v>1277</v>
      </c>
      <c r="O227" s="1066" t="s">
        <v>3701</v>
      </c>
      <c r="P227" s="504" t="s">
        <v>2340</v>
      </c>
      <c r="Q227" s="287"/>
      <c r="R227" s="168"/>
      <c r="S227" s="380"/>
      <c r="T227" s="473" t="s">
        <v>2335</v>
      </c>
      <c r="U227" s="473" t="s">
        <v>1054</v>
      </c>
      <c r="W227" s="418" t="s">
        <v>2047</v>
      </c>
      <c r="X227" s="418" t="s">
        <v>3139</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2489</v>
      </c>
      <c r="K228" s="887" t="s">
        <v>1289</v>
      </c>
      <c r="L228" s="888" t="s">
        <v>404</v>
      </c>
      <c r="M228" s="952" t="s">
        <v>2480</v>
      </c>
      <c r="N228" s="952" t="s">
        <v>1159</v>
      </c>
      <c r="O228" s="1066" t="s">
        <v>3702</v>
      </c>
      <c r="P228" s="504" t="s">
        <v>2341</v>
      </c>
      <c r="Q228" s="287"/>
      <c r="R228" s="168"/>
      <c r="S228" s="380"/>
      <c r="T228" s="473" t="s">
        <v>2444</v>
      </c>
      <c r="U228" s="473" t="s">
        <v>308</v>
      </c>
      <c r="W228" s="418" t="s">
        <v>1967</v>
      </c>
      <c r="X228" s="418" t="s">
        <v>3139</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2490</v>
      </c>
      <c r="K229" s="887" t="s">
        <v>2458</v>
      </c>
      <c r="L229" s="888" t="s">
        <v>405</v>
      </c>
      <c r="M229" s="951" t="s">
        <v>1150</v>
      </c>
      <c r="N229" s="951" t="s">
        <v>1159</v>
      </c>
      <c r="O229" s="1066" t="s">
        <v>3703</v>
      </c>
      <c r="P229" s="504" t="s">
        <v>2130</v>
      </c>
      <c r="Q229" s="287"/>
      <c r="R229" s="168"/>
      <c r="S229" s="380"/>
      <c r="T229" s="473" t="s">
        <v>2337</v>
      </c>
      <c r="U229" s="473" t="s">
        <v>1832</v>
      </c>
      <c r="W229" s="418" t="s">
        <v>570</v>
      </c>
      <c r="X229" s="418" t="s">
        <v>3139</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2166</v>
      </c>
      <c r="J230" s="889" t="s">
        <v>2490</v>
      </c>
      <c r="K230" s="887" t="s">
        <v>1290</v>
      </c>
      <c r="L230" s="888" t="s">
        <v>405</v>
      </c>
      <c r="M230" s="952" t="s">
        <v>1150</v>
      </c>
      <c r="N230" s="952" t="s">
        <v>1159</v>
      </c>
      <c r="O230" s="1066" t="s">
        <v>3704</v>
      </c>
      <c r="P230" s="504" t="s">
        <v>678</v>
      </c>
      <c r="Q230" s="287"/>
      <c r="R230" s="168"/>
      <c r="S230" s="380"/>
      <c r="T230" s="473" t="s">
        <v>2339</v>
      </c>
      <c r="U230" s="473" t="s">
        <v>840</v>
      </c>
      <c r="W230" s="418" t="s">
        <v>572</v>
      </c>
      <c r="X230" s="418" t="s">
        <v>3139</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2490</v>
      </c>
      <c r="K231" s="887" t="s">
        <v>2458</v>
      </c>
      <c r="L231" s="888" t="s">
        <v>405</v>
      </c>
      <c r="M231" s="951" t="s">
        <v>1150</v>
      </c>
      <c r="N231" s="951" t="s">
        <v>1159</v>
      </c>
      <c r="O231" s="1066" t="s">
        <v>3705</v>
      </c>
      <c r="P231" s="504" t="s">
        <v>680</v>
      </c>
      <c r="Q231" s="287"/>
      <c r="R231" s="168"/>
      <c r="S231" s="380"/>
      <c r="T231" s="473" t="s">
        <v>2342</v>
      </c>
      <c r="U231" s="473" t="s">
        <v>151</v>
      </c>
      <c r="W231" s="418" t="s">
        <v>2415</v>
      </c>
      <c r="X231" s="418" t="s">
        <v>3139</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2489</v>
      </c>
      <c r="K232" s="887" t="s">
        <v>1291</v>
      </c>
      <c r="L232" s="888" t="s">
        <v>404</v>
      </c>
      <c r="M232" s="952" t="s">
        <v>2480</v>
      </c>
      <c r="N232" s="952" t="s">
        <v>158</v>
      </c>
      <c r="O232" s="1066" t="s">
        <v>3706</v>
      </c>
      <c r="P232" s="504" t="s">
        <v>682</v>
      </c>
      <c r="Q232" s="287"/>
      <c r="R232" s="168"/>
      <c r="S232" s="380"/>
      <c r="T232" s="473" t="s">
        <v>2131</v>
      </c>
      <c r="U232" s="473" t="s">
        <v>625</v>
      </c>
      <c r="W232" s="418" t="s">
        <v>576</v>
      </c>
      <c r="X232" s="418" t="s">
        <v>3139</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2490</v>
      </c>
      <c r="K233" s="887" t="s">
        <v>2458</v>
      </c>
      <c r="L233" s="888" t="s">
        <v>405</v>
      </c>
      <c r="M233" s="951" t="s">
        <v>1150</v>
      </c>
      <c r="N233" s="951" t="s">
        <v>1159</v>
      </c>
      <c r="O233" s="1066" t="s">
        <v>3707</v>
      </c>
      <c r="P233" s="504" t="s">
        <v>684</v>
      </c>
      <c r="Q233" s="287"/>
      <c r="R233" s="168"/>
      <c r="S233" s="380"/>
      <c r="T233" s="473" t="s">
        <v>679</v>
      </c>
      <c r="U233" s="473" t="s">
        <v>2370</v>
      </c>
      <c r="W233" s="418" t="s">
        <v>520</v>
      </c>
      <c r="X233" s="418" t="s">
        <v>3139</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2489</v>
      </c>
      <c r="K234" s="887" t="s">
        <v>228</v>
      </c>
      <c r="L234" s="888" t="s">
        <v>404</v>
      </c>
      <c r="M234" s="952" t="s">
        <v>2480</v>
      </c>
      <c r="N234" s="952" t="s">
        <v>1159</v>
      </c>
      <c r="O234" s="1066" t="s">
        <v>3708</v>
      </c>
      <c r="P234" s="504" t="s">
        <v>2122</v>
      </c>
      <c r="Q234" s="287"/>
      <c r="R234" s="168"/>
      <c r="S234" s="380"/>
      <c r="T234" s="505" t="s">
        <v>681</v>
      </c>
      <c r="U234" s="505" t="s">
        <v>1069</v>
      </c>
      <c r="W234" s="418" t="s">
        <v>716</v>
      </c>
      <c r="X234" s="418" t="s">
        <v>3139</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2489</v>
      </c>
      <c r="K235" s="887" t="s">
        <v>229</v>
      </c>
      <c r="L235" s="888" t="s">
        <v>404</v>
      </c>
      <c r="M235" s="952" t="s">
        <v>2480</v>
      </c>
      <c r="N235" s="952" t="s">
        <v>1281</v>
      </c>
      <c r="O235" s="1066" t="s">
        <v>3709</v>
      </c>
      <c r="P235" s="504" t="s">
        <v>2123</v>
      </c>
      <c r="Q235" s="287"/>
      <c r="R235" s="168"/>
      <c r="S235" s="380"/>
      <c r="T235" s="473" t="s">
        <v>683</v>
      </c>
      <c r="U235" s="473" t="s">
        <v>2471</v>
      </c>
      <c r="W235" s="418" t="s">
        <v>34</v>
      </c>
      <c r="X235" s="418" t="s">
        <v>3139</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2490</v>
      </c>
      <c r="K236" s="887" t="s">
        <v>2463</v>
      </c>
      <c r="L236" s="888" t="s">
        <v>405</v>
      </c>
      <c r="M236" s="952" t="s">
        <v>1150</v>
      </c>
      <c r="N236" s="952" t="s">
        <v>1277</v>
      </c>
      <c r="O236" s="1066" t="s">
        <v>3710</v>
      </c>
      <c r="P236" s="504" t="s">
        <v>2125</v>
      </c>
      <c r="Q236" s="287"/>
      <c r="R236" s="168"/>
      <c r="S236" s="380"/>
      <c r="T236" s="473" t="s">
        <v>2445</v>
      </c>
      <c r="U236" s="473" t="s">
        <v>2372</v>
      </c>
      <c r="W236" s="418" t="s">
        <v>1879</v>
      </c>
      <c r="X236" s="418" t="s">
        <v>3139</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2489</v>
      </c>
      <c r="K237" s="887" t="s">
        <v>230</v>
      </c>
      <c r="L237" s="888" t="s">
        <v>404</v>
      </c>
      <c r="M237" s="952" t="s">
        <v>2480</v>
      </c>
      <c r="N237" s="952" t="s">
        <v>1159</v>
      </c>
      <c r="O237" s="1066" t="s">
        <v>3711</v>
      </c>
      <c r="P237" s="504" t="s">
        <v>654</v>
      </c>
      <c r="Q237" s="287"/>
      <c r="R237" s="168"/>
      <c r="S237" s="380"/>
      <c r="T237" s="473" t="s">
        <v>2124</v>
      </c>
      <c r="U237" s="473" t="s">
        <v>1593</v>
      </c>
      <c r="W237" s="418" t="s">
        <v>324</v>
      </c>
      <c r="X237" s="418" t="s">
        <v>3139</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2489</v>
      </c>
      <c r="K238" s="887" t="s">
        <v>384</v>
      </c>
      <c r="L238" s="888" t="s">
        <v>404</v>
      </c>
      <c r="M238" s="952" t="s">
        <v>2480</v>
      </c>
      <c r="N238" s="952" t="s">
        <v>1702</v>
      </c>
      <c r="O238" s="1066" t="s">
        <v>3712</v>
      </c>
      <c r="P238" s="504" t="s">
        <v>757</v>
      </c>
      <c r="Q238" s="287"/>
      <c r="R238" s="168"/>
      <c r="S238" s="380"/>
      <c r="T238" s="473" t="s">
        <v>2126</v>
      </c>
      <c r="U238" s="473" t="s">
        <v>2465</v>
      </c>
      <c r="W238" s="418" t="s">
        <v>332</v>
      </c>
      <c r="X238" s="418" t="s">
        <v>3139</v>
      </c>
      <c r="Z238" s="418"/>
      <c r="AA238" s="157"/>
      <c r="AB238" s="157"/>
      <c r="AC238" s="809"/>
      <c r="AD238" s="481"/>
      <c r="AE238" s="157"/>
      <c r="AF238" s="157"/>
      <c r="AG238" s="157"/>
      <c r="AH238" s="157"/>
      <c r="AI238" s="157"/>
      <c r="AJ238" s="157"/>
      <c r="AK238" s="157"/>
    </row>
    <row r="239" spans="2:37" ht="10.5" customHeight="1">
      <c r="B239" s="279"/>
      <c r="C239" s="370" t="s">
        <v>1951</v>
      </c>
      <c r="D239" s="426"/>
      <c r="E239" s="279"/>
      <c r="F239" s="506"/>
      <c r="G239" s="885" t="s">
        <v>641</v>
      </c>
      <c r="H239" s="885" t="s">
        <v>1262</v>
      </c>
      <c r="I239" s="886" t="s">
        <v>642</v>
      </c>
      <c r="J239" s="886" t="s">
        <v>2489</v>
      </c>
      <c r="K239" s="887" t="s">
        <v>385</v>
      </c>
      <c r="L239" s="888" t="s">
        <v>404</v>
      </c>
      <c r="M239" s="952" t="s">
        <v>2480</v>
      </c>
      <c r="N239" s="952" t="s">
        <v>158</v>
      </c>
      <c r="O239" s="1066" t="s">
        <v>3713</v>
      </c>
      <c r="P239" s="504" t="s">
        <v>2169</v>
      </c>
      <c r="Q239" s="287"/>
      <c r="R239" s="168"/>
      <c r="S239" s="380"/>
      <c r="T239" s="473" t="s">
        <v>655</v>
      </c>
      <c r="U239" s="473" t="s">
        <v>703</v>
      </c>
      <c r="W239" s="418" t="s">
        <v>187</v>
      </c>
      <c r="X239" s="418" t="s">
        <v>3139</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2490</v>
      </c>
      <c r="K240" s="887" t="s">
        <v>2458</v>
      </c>
      <c r="L240" s="888" t="s">
        <v>405</v>
      </c>
      <c r="M240" s="951" t="s">
        <v>1150</v>
      </c>
      <c r="N240" s="951" t="s">
        <v>1159</v>
      </c>
      <c r="O240" s="1066" t="s">
        <v>3714</v>
      </c>
      <c r="P240" s="504" t="s">
        <v>2198</v>
      </c>
      <c r="Q240" s="287"/>
      <c r="R240" s="168"/>
      <c r="S240" s="380"/>
      <c r="T240" s="473" t="s">
        <v>2168</v>
      </c>
      <c r="U240" s="473" t="s">
        <v>305</v>
      </c>
      <c r="W240" s="418" t="s">
        <v>2062</v>
      </c>
      <c r="X240" s="418" t="s">
        <v>3139</v>
      </c>
      <c r="Z240" s="418"/>
      <c r="AA240" s="157"/>
      <c r="AB240" s="157"/>
      <c r="AC240" s="809"/>
      <c r="AD240" s="481"/>
      <c r="AE240" s="157"/>
      <c r="AF240" s="157"/>
      <c r="AG240" s="157"/>
      <c r="AH240" s="157"/>
      <c r="AI240" s="157"/>
      <c r="AJ240" s="157"/>
      <c r="AK240" s="157"/>
    </row>
    <row r="241" spans="2:37" ht="10.5" customHeight="1">
      <c r="B241" s="279"/>
      <c r="C241" s="369" t="s">
        <v>2466</v>
      </c>
      <c r="D241" s="426"/>
      <c r="E241" s="279"/>
      <c r="F241" s="506"/>
      <c r="G241" s="885" t="s">
        <v>115</v>
      </c>
      <c r="H241" s="885" t="s">
        <v>1262</v>
      </c>
      <c r="I241" s="886" t="s">
        <v>116</v>
      </c>
      <c r="J241" s="886" t="s">
        <v>2489</v>
      </c>
      <c r="K241" s="887" t="s">
        <v>386</v>
      </c>
      <c r="L241" s="888" t="s">
        <v>404</v>
      </c>
      <c r="M241" s="952" t="s">
        <v>2480</v>
      </c>
      <c r="N241" s="952" t="s">
        <v>158</v>
      </c>
      <c r="O241" s="1066" t="s">
        <v>3715</v>
      </c>
      <c r="P241" s="504" t="s">
        <v>40</v>
      </c>
      <c r="Q241" s="287"/>
      <c r="R241" s="168"/>
      <c r="S241" s="380"/>
      <c r="T241" s="473" t="s">
        <v>2228</v>
      </c>
      <c r="U241" s="473" t="s">
        <v>844</v>
      </c>
      <c r="W241" s="418" t="s">
        <v>188</v>
      </c>
      <c r="X241" s="418" t="s">
        <v>3139</v>
      </c>
      <c r="Z241" s="418"/>
      <c r="AA241" s="157"/>
      <c r="AB241" s="157"/>
      <c r="AC241" s="812"/>
      <c r="AD241" s="481"/>
      <c r="AE241" s="157"/>
      <c r="AF241" s="157"/>
      <c r="AG241" s="157"/>
      <c r="AH241" s="157"/>
      <c r="AI241" s="157"/>
      <c r="AJ241" s="157"/>
      <c r="AK241" s="157"/>
    </row>
    <row r="242" spans="2:37" ht="10.5" customHeight="1">
      <c r="B242" s="279"/>
      <c r="C242" s="370" t="s">
        <v>2468</v>
      </c>
      <c r="D242" s="426"/>
      <c r="E242" s="279"/>
      <c r="F242" s="506"/>
      <c r="G242" s="885" t="s">
        <v>300</v>
      </c>
      <c r="H242" s="885" t="s">
        <v>1262</v>
      </c>
      <c r="I242" s="886" t="s">
        <v>1175</v>
      </c>
      <c r="J242" s="886" t="s">
        <v>2490</v>
      </c>
      <c r="K242" s="887" t="s">
        <v>387</v>
      </c>
      <c r="L242" s="888" t="s">
        <v>405</v>
      </c>
      <c r="M242" s="952" t="s">
        <v>1150</v>
      </c>
      <c r="N242" s="952" t="s">
        <v>1159</v>
      </c>
      <c r="O242" s="1066" t="s">
        <v>3716</v>
      </c>
      <c r="P242" s="504" t="s">
        <v>603</v>
      </c>
      <c r="Q242" s="287"/>
      <c r="R242" s="168"/>
      <c r="S242" s="380"/>
      <c r="T242" s="473" t="s">
        <v>41</v>
      </c>
      <c r="U242" s="473" t="s">
        <v>312</v>
      </c>
      <c r="W242" s="418" t="s">
        <v>366</v>
      </c>
      <c r="X242" s="418" t="s">
        <v>3139</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2489</v>
      </c>
      <c r="K243" s="887" t="s">
        <v>388</v>
      </c>
      <c r="L243" s="888" t="s">
        <v>404</v>
      </c>
      <c r="M243" s="952" t="s">
        <v>2480</v>
      </c>
      <c r="N243" s="952" t="s">
        <v>1271</v>
      </c>
      <c r="O243" s="1066" t="s">
        <v>3717</v>
      </c>
      <c r="P243" s="504" t="s">
        <v>293</v>
      </c>
      <c r="Q243" s="287"/>
      <c r="R243" s="168"/>
      <c r="S243" s="380"/>
      <c r="T243" s="473" t="s">
        <v>604</v>
      </c>
      <c r="U243" s="473" t="s">
        <v>2473</v>
      </c>
      <c r="W243" s="418" t="s">
        <v>839</v>
      </c>
      <c r="X243" s="418" t="s">
        <v>3139</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2490</v>
      </c>
      <c r="K244" s="887" t="s">
        <v>389</v>
      </c>
      <c r="L244" s="888" t="s">
        <v>405</v>
      </c>
      <c r="M244" s="951" t="s">
        <v>2480</v>
      </c>
      <c r="N244" s="951" t="s">
        <v>1159</v>
      </c>
      <c r="O244" s="1066" t="s">
        <v>3718</v>
      </c>
      <c r="P244" s="504" t="s">
        <v>2265</v>
      </c>
      <c r="Q244" s="287"/>
      <c r="R244" s="168"/>
      <c r="S244" s="380"/>
      <c r="T244" s="473" t="s">
        <v>294</v>
      </c>
      <c r="U244" s="473" t="s">
        <v>303</v>
      </c>
      <c r="W244" s="418" t="s">
        <v>1836</v>
      </c>
      <c r="X244" s="418" t="s">
        <v>3139</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2490</v>
      </c>
      <c r="K245" s="887" t="s">
        <v>1606</v>
      </c>
      <c r="L245" s="888" t="s">
        <v>405</v>
      </c>
      <c r="M245" s="951" t="s">
        <v>2480</v>
      </c>
      <c r="N245" s="951" t="s">
        <v>153</v>
      </c>
      <c r="O245" s="1066" t="s">
        <v>3719</v>
      </c>
      <c r="P245" s="504" t="s">
        <v>2283</v>
      </c>
      <c r="Q245" s="287"/>
      <c r="R245" s="168"/>
      <c r="S245" s="380"/>
      <c r="T245" s="473" t="s">
        <v>2266</v>
      </c>
      <c r="U245" s="473" t="s">
        <v>188</v>
      </c>
      <c r="W245" s="418" t="s">
        <v>1840</v>
      </c>
      <c r="X245" s="418" t="s">
        <v>3139</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2489</v>
      </c>
      <c r="K246" s="887" t="s">
        <v>390</v>
      </c>
      <c r="L246" s="888" t="s">
        <v>404</v>
      </c>
      <c r="M246" s="952" t="s">
        <v>2480</v>
      </c>
      <c r="N246" s="952" t="s">
        <v>158</v>
      </c>
      <c r="O246" s="1066" t="s">
        <v>3720</v>
      </c>
      <c r="P246" s="504" t="s">
        <v>2285</v>
      </c>
      <c r="Q246" s="287"/>
      <c r="R246" s="168"/>
      <c r="S246" s="380"/>
      <c r="T246" s="473" t="s">
        <v>2284</v>
      </c>
      <c r="U246" s="473" t="s">
        <v>1592</v>
      </c>
      <c r="W246" s="418" t="s">
        <v>687</v>
      </c>
      <c r="X246" s="418" t="s">
        <v>3139</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2490</v>
      </c>
      <c r="K247" s="887" t="s">
        <v>2458</v>
      </c>
      <c r="L247" s="888" t="s">
        <v>405</v>
      </c>
      <c r="M247" s="951" t="s">
        <v>1150</v>
      </c>
      <c r="N247" s="951" t="s">
        <v>1159</v>
      </c>
      <c r="O247" s="1066" t="s">
        <v>3721</v>
      </c>
      <c r="P247" s="504" t="s">
        <v>2286</v>
      </c>
      <c r="Q247" s="287"/>
      <c r="R247" s="168"/>
      <c r="S247" s="380"/>
      <c r="T247" s="473" t="s">
        <v>2641</v>
      </c>
      <c r="U247" s="473" t="s">
        <v>598</v>
      </c>
      <c r="W247" s="418" t="s">
        <v>1098</v>
      </c>
      <c r="X247" s="418" t="s">
        <v>3139</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2490</v>
      </c>
      <c r="K248" s="887" t="s">
        <v>2458</v>
      </c>
      <c r="L248" s="888" t="s">
        <v>405</v>
      </c>
      <c r="M248" s="951" t="s">
        <v>1150</v>
      </c>
      <c r="N248" s="951" t="s">
        <v>1159</v>
      </c>
      <c r="O248" s="1066" t="s">
        <v>3722</v>
      </c>
      <c r="P248" s="504" t="s">
        <v>2257</v>
      </c>
      <c r="Q248" s="287"/>
      <c r="R248" s="168"/>
      <c r="S248" s="380"/>
      <c r="T248" s="473" t="s">
        <v>599</v>
      </c>
      <c r="U248" s="473" t="s">
        <v>1278</v>
      </c>
      <c r="W248" s="418" t="s">
        <v>1100</v>
      </c>
      <c r="X248" s="418" t="s">
        <v>3139</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2490</v>
      </c>
      <c r="K249" s="887" t="s">
        <v>391</v>
      </c>
      <c r="L249" s="888" t="s">
        <v>405</v>
      </c>
      <c r="M249" s="952" t="s">
        <v>1150</v>
      </c>
      <c r="N249" s="952" t="s">
        <v>1271</v>
      </c>
      <c r="O249" s="1066" t="s">
        <v>3723</v>
      </c>
      <c r="P249" s="504" t="s">
        <v>7</v>
      </c>
      <c r="Q249" s="287"/>
      <c r="R249" s="168"/>
      <c r="S249" s="380"/>
      <c r="T249" s="473" t="s">
        <v>1275</v>
      </c>
      <c r="U249" s="473" t="s">
        <v>627</v>
      </c>
      <c r="W249" s="418" t="s">
        <v>1102</v>
      </c>
      <c r="X249" s="418" t="s">
        <v>3139</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2489</v>
      </c>
      <c r="K250" s="887" t="s">
        <v>618</v>
      </c>
      <c r="L250" s="888" t="s">
        <v>404</v>
      </c>
      <c r="M250" s="952" t="s">
        <v>2480</v>
      </c>
      <c r="N250" s="952" t="s">
        <v>1702</v>
      </c>
      <c r="O250" s="1066" t="s">
        <v>3724</v>
      </c>
      <c r="P250" s="504" t="s">
        <v>9</v>
      </c>
      <c r="Q250" s="287"/>
      <c r="R250" s="168"/>
      <c r="S250" s="380"/>
      <c r="T250" s="473" t="s">
        <v>2258</v>
      </c>
      <c r="U250" s="473" t="s">
        <v>2376</v>
      </c>
      <c r="W250" s="418" t="s">
        <v>2397</v>
      </c>
      <c r="X250" s="418" t="s">
        <v>3139</v>
      </c>
      <c r="Z250" s="418"/>
      <c r="AA250" s="157"/>
      <c r="AB250" s="157"/>
      <c r="AC250" s="809"/>
      <c r="AD250" s="481"/>
      <c r="AE250" s="157"/>
      <c r="AF250" s="157"/>
      <c r="AG250" s="157"/>
      <c r="AH250" s="157"/>
      <c r="AI250" s="157"/>
      <c r="AJ250" s="157"/>
      <c r="AK250" s="157"/>
    </row>
    <row r="251" spans="2:37" ht="10.5" customHeight="1">
      <c r="B251" s="279"/>
      <c r="C251" s="369" t="s">
        <v>2166</v>
      </c>
      <c r="D251" s="426"/>
      <c r="E251" s="279"/>
      <c r="F251" s="506"/>
      <c r="G251" s="885" t="s">
        <v>312</v>
      </c>
      <c r="H251" s="885" t="s">
        <v>1262</v>
      </c>
      <c r="I251" s="886" t="s">
        <v>313</v>
      </c>
      <c r="J251" s="886" t="s">
        <v>2489</v>
      </c>
      <c r="K251" s="887" t="s">
        <v>619</v>
      </c>
      <c r="L251" s="888" t="s">
        <v>404</v>
      </c>
      <c r="M251" s="952" t="s">
        <v>2480</v>
      </c>
      <c r="N251" s="952" t="s">
        <v>1159</v>
      </c>
      <c r="O251" s="1066" t="s">
        <v>3725</v>
      </c>
      <c r="P251" s="504" t="s">
        <v>51</v>
      </c>
      <c r="Q251" s="287"/>
      <c r="R251" s="168"/>
      <c r="S251" s="380"/>
      <c r="T251" s="473" t="s">
        <v>8</v>
      </c>
      <c r="U251" s="473" t="s">
        <v>636</v>
      </c>
      <c r="W251" s="418" t="s">
        <v>435</v>
      </c>
      <c r="X251" s="418" t="s">
        <v>3139</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2490</v>
      </c>
      <c r="K252" s="887" t="s">
        <v>2458</v>
      </c>
      <c r="L252" s="888" t="s">
        <v>405</v>
      </c>
      <c r="M252" s="951" t="s">
        <v>1150</v>
      </c>
      <c r="N252" s="951" t="s">
        <v>1159</v>
      </c>
      <c r="O252" s="1066" t="s">
        <v>3726</v>
      </c>
      <c r="P252" s="504" t="s">
        <v>53</v>
      </c>
      <c r="Q252" s="287"/>
      <c r="R252" s="168"/>
      <c r="S252" s="380"/>
      <c r="T252" s="473" t="s">
        <v>10</v>
      </c>
      <c r="U252" s="473" t="s">
        <v>303</v>
      </c>
      <c r="W252" s="418" t="s">
        <v>290</v>
      </c>
      <c r="X252" s="418" t="s">
        <v>3139</v>
      </c>
      <c r="Z252" s="418"/>
      <c r="AA252" s="157"/>
      <c r="AB252" s="157"/>
      <c r="AC252" s="809"/>
      <c r="AD252" s="481"/>
      <c r="AE252" s="157"/>
      <c r="AF252" s="157"/>
      <c r="AG252" s="157"/>
      <c r="AH252" s="157"/>
      <c r="AI252" s="157"/>
      <c r="AJ252" s="157"/>
      <c r="AK252" s="157"/>
    </row>
    <row r="253" spans="2:37" ht="10.5" customHeight="1">
      <c r="B253" s="279"/>
      <c r="C253" s="370" t="s">
        <v>2073</v>
      </c>
      <c r="D253" s="426"/>
      <c r="E253" s="279"/>
      <c r="F253" s="506"/>
      <c r="G253" s="885" t="s">
        <v>315</v>
      </c>
      <c r="H253" s="885" t="s">
        <v>1165</v>
      </c>
      <c r="I253" s="886" t="s">
        <v>316</v>
      </c>
      <c r="J253" s="886" t="s">
        <v>2489</v>
      </c>
      <c r="K253" s="887" t="s">
        <v>620</v>
      </c>
      <c r="L253" s="888" t="s">
        <v>404</v>
      </c>
      <c r="M253" s="952" t="s">
        <v>2480</v>
      </c>
      <c r="N253" s="952" t="s">
        <v>1620</v>
      </c>
      <c r="O253" s="1066" t="s">
        <v>3727</v>
      </c>
      <c r="P253" s="504" t="s">
        <v>55</v>
      </c>
      <c r="Q253" s="287"/>
      <c r="R253" s="168"/>
      <c r="S253" s="380"/>
      <c r="T253" s="473" t="s">
        <v>52</v>
      </c>
      <c r="U253" s="473" t="s">
        <v>2465</v>
      </c>
      <c r="W253" s="418" t="s">
        <v>1740</v>
      </c>
      <c r="X253" s="418" t="s">
        <v>3139</v>
      </c>
      <c r="Z253" s="418"/>
      <c r="AA253" s="157"/>
      <c r="AB253" s="157"/>
      <c r="AC253" s="809"/>
      <c r="AD253" s="481"/>
      <c r="AE253" s="157"/>
      <c r="AF253" s="157"/>
      <c r="AG253" s="157"/>
      <c r="AH253" s="157"/>
      <c r="AI253" s="157"/>
      <c r="AJ253" s="157"/>
      <c r="AK253" s="157"/>
    </row>
    <row r="254" spans="2:37" ht="10.5" customHeight="1">
      <c r="B254" s="279"/>
      <c r="C254" s="370" t="s">
        <v>2075</v>
      </c>
      <c r="D254" s="426"/>
      <c r="E254" s="279"/>
      <c r="F254" s="506"/>
      <c r="G254" s="885" t="s">
        <v>317</v>
      </c>
      <c r="H254" s="885" t="s">
        <v>1165</v>
      </c>
      <c r="I254" s="886" t="s">
        <v>318</v>
      </c>
      <c r="J254" s="886" t="s">
        <v>2489</v>
      </c>
      <c r="K254" s="887" t="s">
        <v>253</v>
      </c>
      <c r="L254" s="888" t="s">
        <v>404</v>
      </c>
      <c r="M254" s="952" t="s">
        <v>2480</v>
      </c>
      <c r="N254" s="952" t="s">
        <v>1281</v>
      </c>
      <c r="O254" s="1066" t="s">
        <v>3728</v>
      </c>
      <c r="P254" s="504" t="s">
        <v>339</v>
      </c>
      <c r="Q254" s="287"/>
      <c r="R254" s="168"/>
      <c r="S254" s="380"/>
      <c r="T254" s="473" t="s">
        <v>54</v>
      </c>
      <c r="U254" s="473" t="s">
        <v>345</v>
      </c>
      <c r="W254" s="418" t="s">
        <v>1742</v>
      </c>
      <c r="X254" s="418" t="s">
        <v>3139</v>
      </c>
      <c r="Z254" s="418"/>
      <c r="AA254" s="157"/>
      <c r="AB254" s="157"/>
      <c r="AC254" s="809"/>
      <c r="AD254" s="481"/>
      <c r="AE254" s="157"/>
      <c r="AF254" s="157"/>
      <c r="AG254" s="157"/>
      <c r="AH254" s="157"/>
      <c r="AI254" s="157"/>
      <c r="AJ254" s="157"/>
      <c r="AK254" s="157"/>
    </row>
    <row r="255" spans="2:37" ht="10.5" customHeight="1">
      <c r="B255" s="279"/>
      <c r="C255" s="370" t="s">
        <v>2077</v>
      </c>
      <c r="D255" s="426"/>
      <c r="E255" s="279"/>
      <c r="F255" s="506"/>
      <c r="G255" s="885" t="s">
        <v>319</v>
      </c>
      <c r="H255" s="885" t="s">
        <v>1165</v>
      </c>
      <c r="I255" s="886" t="s">
        <v>320</v>
      </c>
      <c r="J255" s="886" t="s">
        <v>2489</v>
      </c>
      <c r="K255" s="887" t="s">
        <v>254</v>
      </c>
      <c r="L255" s="888" t="s">
        <v>404</v>
      </c>
      <c r="M255" s="952" t="s">
        <v>2480</v>
      </c>
      <c r="N255" s="952" t="s">
        <v>1281</v>
      </c>
      <c r="O255" s="1066" t="s">
        <v>3729</v>
      </c>
      <c r="P255" s="504" t="s">
        <v>341</v>
      </c>
      <c r="Q255" s="287"/>
      <c r="R255" s="168"/>
      <c r="S255" s="380"/>
      <c r="T255" s="473" t="s">
        <v>56</v>
      </c>
      <c r="U255" s="473" t="s">
        <v>114</v>
      </c>
      <c r="W255" s="418" t="s">
        <v>1807</v>
      </c>
      <c r="X255" s="418" t="s">
        <v>3139</v>
      </c>
      <c r="Z255" s="418"/>
      <c r="AA255" s="157"/>
      <c r="AB255" s="157"/>
      <c r="AC255" s="809"/>
      <c r="AD255" s="481"/>
      <c r="AE255" s="157"/>
      <c r="AF255" s="157"/>
      <c r="AG255" s="157"/>
      <c r="AH255" s="157"/>
      <c r="AI255" s="157"/>
      <c r="AJ255" s="157"/>
      <c r="AK255" s="157"/>
    </row>
    <row r="256" spans="2:37" ht="10.5" customHeight="1">
      <c r="B256" s="279"/>
      <c r="C256" s="370" t="s">
        <v>2080</v>
      </c>
      <c r="D256" s="426"/>
      <c r="E256" s="279"/>
      <c r="F256" s="506"/>
      <c r="G256" s="885" t="s">
        <v>321</v>
      </c>
      <c r="H256" s="885" t="s">
        <v>1165</v>
      </c>
      <c r="I256" s="886" t="s">
        <v>322</v>
      </c>
      <c r="J256" s="886" t="s">
        <v>2489</v>
      </c>
      <c r="K256" s="887" t="s">
        <v>255</v>
      </c>
      <c r="L256" s="888" t="s">
        <v>404</v>
      </c>
      <c r="M256" s="952" t="s">
        <v>2480</v>
      </c>
      <c r="N256" s="952" t="s">
        <v>1271</v>
      </c>
      <c r="O256" s="1066" t="s">
        <v>3730</v>
      </c>
      <c r="P256" s="504" t="s">
        <v>343</v>
      </c>
      <c r="Q256" s="287"/>
      <c r="R256" s="168"/>
      <c r="S256" s="380"/>
      <c r="T256" s="473" t="s">
        <v>340</v>
      </c>
      <c r="U256" s="473" t="s">
        <v>2091</v>
      </c>
      <c r="W256" s="418" t="s">
        <v>2143</v>
      </c>
      <c r="X256" s="418" t="s">
        <v>3139</v>
      </c>
      <c r="Z256" s="418"/>
      <c r="AA256" s="157"/>
      <c r="AB256" s="157"/>
      <c r="AC256" s="809"/>
      <c r="AD256" s="481"/>
      <c r="AE256" s="157"/>
      <c r="AF256" s="157"/>
      <c r="AG256" s="157"/>
      <c r="AH256" s="157"/>
      <c r="AI256" s="157"/>
      <c r="AJ256" s="157"/>
      <c r="AK256" s="157"/>
    </row>
    <row r="257" spans="2:37" ht="10.5" customHeight="1">
      <c r="B257" s="279"/>
      <c r="C257" s="369" t="s">
        <v>2082</v>
      </c>
      <c r="D257" s="426"/>
      <c r="E257" s="279"/>
      <c r="F257" s="506"/>
      <c r="G257" s="885" t="s">
        <v>409</v>
      </c>
      <c r="H257" s="885" t="s">
        <v>1165</v>
      </c>
      <c r="I257" s="889" t="s">
        <v>1271</v>
      </c>
      <c r="J257" s="889" t="s">
        <v>2490</v>
      </c>
      <c r="K257" s="887" t="s">
        <v>2461</v>
      </c>
      <c r="L257" s="888" t="s">
        <v>405</v>
      </c>
      <c r="M257" s="951" t="s">
        <v>2480</v>
      </c>
      <c r="N257" s="951" t="s">
        <v>1271</v>
      </c>
      <c r="O257" s="1066" t="s">
        <v>3731</v>
      </c>
      <c r="P257" s="504" t="s">
        <v>2187</v>
      </c>
      <c r="Q257" s="287"/>
      <c r="R257" s="168"/>
      <c r="S257" s="380"/>
      <c r="T257" s="473" t="s">
        <v>342</v>
      </c>
      <c r="U257" s="473" t="s">
        <v>917</v>
      </c>
      <c r="W257" s="418" t="s">
        <v>401</v>
      </c>
      <c r="X257" s="418" t="s">
        <v>3139</v>
      </c>
      <c r="Z257" s="418"/>
      <c r="AA257" s="157"/>
      <c r="AB257" s="157"/>
      <c r="AC257" s="809"/>
      <c r="AD257" s="481"/>
      <c r="AE257" s="157"/>
      <c r="AF257" s="157"/>
      <c r="AG257" s="157"/>
      <c r="AH257" s="157"/>
      <c r="AI257" s="157"/>
      <c r="AJ257" s="157"/>
      <c r="AK257" s="157"/>
    </row>
    <row r="258" spans="2:37" ht="10.5" customHeight="1">
      <c r="B258" s="279"/>
      <c r="C258" s="369" t="s">
        <v>2084</v>
      </c>
      <c r="D258" s="426"/>
      <c r="E258" s="279"/>
      <c r="F258" s="506"/>
      <c r="G258" s="885" t="s">
        <v>410</v>
      </c>
      <c r="H258" s="885" t="s">
        <v>1262</v>
      </c>
      <c r="I258" s="889" t="s">
        <v>737</v>
      </c>
      <c r="J258" s="889" t="s">
        <v>2490</v>
      </c>
      <c r="K258" s="887" t="s">
        <v>256</v>
      </c>
      <c r="L258" s="888" t="s">
        <v>405</v>
      </c>
      <c r="M258" s="951" t="s">
        <v>2480</v>
      </c>
      <c r="N258" s="951" t="s">
        <v>1159</v>
      </c>
      <c r="O258" s="1066" t="s">
        <v>3732</v>
      </c>
      <c r="P258" s="504" t="s">
        <v>2189</v>
      </c>
      <c r="Q258" s="287"/>
      <c r="R258" s="168"/>
      <c r="S258" s="380"/>
      <c r="T258" s="473" t="s">
        <v>344</v>
      </c>
      <c r="U258" s="473" t="s">
        <v>1051</v>
      </c>
      <c r="W258" s="418" t="s">
        <v>2179</v>
      </c>
      <c r="X258" s="418" t="s">
        <v>3139</v>
      </c>
      <c r="Z258" s="418"/>
      <c r="AA258" s="157"/>
      <c r="AB258" s="157"/>
      <c r="AC258" s="809"/>
      <c r="AD258" s="481"/>
      <c r="AE258" s="157"/>
      <c r="AF258" s="157"/>
      <c r="AG258" s="157"/>
      <c r="AH258" s="157"/>
      <c r="AI258" s="157"/>
      <c r="AJ258" s="157"/>
      <c r="AK258" s="157"/>
    </row>
    <row r="259" spans="2:37" ht="10.5" customHeight="1">
      <c r="B259" s="279"/>
      <c r="C259" s="370" t="s">
        <v>2086</v>
      </c>
      <c r="D259" s="426"/>
      <c r="E259" s="279"/>
      <c r="F259" s="506"/>
      <c r="G259" s="885" t="s">
        <v>1396</v>
      </c>
      <c r="H259" s="885" t="s">
        <v>1165</v>
      </c>
      <c r="I259" s="886" t="s">
        <v>1620</v>
      </c>
      <c r="J259" s="886" t="s">
        <v>2490</v>
      </c>
      <c r="K259" s="887" t="s">
        <v>2464</v>
      </c>
      <c r="L259" s="888" t="s">
        <v>405</v>
      </c>
      <c r="M259" s="951" t="s">
        <v>2480</v>
      </c>
      <c r="N259" s="951" t="s">
        <v>1620</v>
      </c>
      <c r="O259" s="1066" t="s">
        <v>3733</v>
      </c>
      <c r="P259" s="504" t="s">
        <v>2190</v>
      </c>
      <c r="Q259" s="287"/>
      <c r="R259" s="168"/>
      <c r="S259" s="380"/>
      <c r="T259" s="473" t="s">
        <v>600</v>
      </c>
      <c r="U259" s="473" t="s">
        <v>1397</v>
      </c>
      <c r="W259" s="418" t="s">
        <v>3129</v>
      </c>
      <c r="X259" s="418" t="s">
        <v>3139</v>
      </c>
      <c r="Z259" s="418"/>
      <c r="AA259" s="157"/>
      <c r="AB259" s="157"/>
      <c r="AC259" s="809"/>
      <c r="AD259" s="481"/>
      <c r="AE259" s="157"/>
      <c r="AF259" s="157"/>
      <c r="AG259" s="157"/>
      <c r="AH259" s="157"/>
      <c r="AI259" s="157"/>
      <c r="AJ259" s="157"/>
      <c r="AK259" s="157"/>
    </row>
    <row r="260" spans="2:37" ht="10.5" customHeight="1">
      <c r="B260" s="279"/>
      <c r="C260" s="370" t="s">
        <v>2088</v>
      </c>
      <c r="D260" s="426"/>
      <c r="E260" s="279"/>
      <c r="F260" s="506"/>
      <c r="G260" s="885" t="s">
        <v>1397</v>
      </c>
      <c r="H260" s="885" t="s">
        <v>1165</v>
      </c>
      <c r="I260" s="886" t="s">
        <v>1398</v>
      </c>
      <c r="J260" s="886" t="s">
        <v>2489</v>
      </c>
      <c r="K260" s="887" t="s">
        <v>257</v>
      </c>
      <c r="L260" s="888" t="s">
        <v>404</v>
      </c>
      <c r="M260" s="952" t="s">
        <v>2480</v>
      </c>
      <c r="N260" s="952" t="s">
        <v>1271</v>
      </c>
      <c r="O260" s="1066" t="s">
        <v>3734</v>
      </c>
      <c r="P260" s="504" t="s">
        <v>2191</v>
      </c>
      <c r="Q260" s="287"/>
      <c r="R260" s="168"/>
      <c r="S260" s="380"/>
      <c r="T260" s="473" t="s">
        <v>2188</v>
      </c>
      <c r="U260" s="473" t="s">
        <v>639</v>
      </c>
      <c r="W260" s="418" t="s">
        <v>644</v>
      </c>
      <c r="X260" s="418" t="s">
        <v>3139</v>
      </c>
      <c r="Z260" s="418"/>
      <c r="AA260" s="157"/>
      <c r="AB260" s="157"/>
      <c r="AC260" s="809"/>
      <c r="AD260" s="481"/>
      <c r="AE260" s="157"/>
      <c r="AF260" s="157"/>
      <c r="AG260" s="157"/>
      <c r="AH260" s="157"/>
      <c r="AI260" s="157"/>
      <c r="AJ260" s="157"/>
      <c r="AK260" s="157"/>
    </row>
    <row r="261" spans="2:37" ht="10.5" customHeight="1">
      <c r="B261" s="279"/>
      <c r="C261" s="370" t="s">
        <v>2090</v>
      </c>
      <c r="D261" s="426"/>
      <c r="E261" s="279"/>
      <c r="F261" s="506"/>
      <c r="G261" s="885" t="s">
        <v>1399</v>
      </c>
      <c r="H261" s="885" t="s">
        <v>1165</v>
      </c>
      <c r="I261" s="889" t="s">
        <v>1702</v>
      </c>
      <c r="J261" s="889" t="s">
        <v>2490</v>
      </c>
      <c r="K261" s="887" t="s">
        <v>1119</v>
      </c>
      <c r="L261" s="888" t="s">
        <v>405</v>
      </c>
      <c r="M261" s="951" t="s">
        <v>2480</v>
      </c>
      <c r="N261" s="951" t="s">
        <v>1702</v>
      </c>
      <c r="O261" s="1066" t="s">
        <v>3735</v>
      </c>
      <c r="P261" s="504" t="s">
        <v>1495</v>
      </c>
      <c r="Q261" s="287"/>
      <c r="R261" s="168"/>
      <c r="S261" s="380"/>
      <c r="T261" s="473" t="s">
        <v>1283</v>
      </c>
      <c r="U261" s="473" t="s">
        <v>637</v>
      </c>
      <c r="W261" s="418" t="s">
        <v>2282</v>
      </c>
      <c r="X261" s="418" t="s">
        <v>3139</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2490</v>
      </c>
      <c r="K262" s="887" t="s">
        <v>258</v>
      </c>
      <c r="L262" s="888" t="s">
        <v>405</v>
      </c>
      <c r="M262" s="952" t="s">
        <v>1150</v>
      </c>
      <c r="N262" s="952" t="s">
        <v>1277</v>
      </c>
      <c r="O262" s="1066" t="s">
        <v>3736</v>
      </c>
      <c r="P262" s="504" t="s">
        <v>1497</v>
      </c>
      <c r="Q262" s="287"/>
      <c r="R262" s="168"/>
      <c r="S262" s="380"/>
      <c r="T262" s="473" t="s">
        <v>2642</v>
      </c>
      <c r="U262" s="473" t="s">
        <v>639</v>
      </c>
      <c r="W262" s="418" t="s">
        <v>211</v>
      </c>
      <c r="X262" s="418" t="s">
        <v>3139</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2490</v>
      </c>
      <c r="K263" s="887" t="s">
        <v>3366</v>
      </c>
      <c r="L263" s="888" t="s">
        <v>405</v>
      </c>
      <c r="M263" s="952" t="s">
        <v>2480</v>
      </c>
      <c r="N263" s="952" t="s">
        <v>1281</v>
      </c>
      <c r="O263" s="1066" t="s">
        <v>3737</v>
      </c>
      <c r="P263" s="504" t="s">
        <v>1499</v>
      </c>
      <c r="Q263" s="287"/>
      <c r="R263" s="168"/>
      <c r="S263" s="380"/>
      <c r="T263" s="473" t="s">
        <v>2192</v>
      </c>
      <c r="U263" s="473" t="s">
        <v>97</v>
      </c>
      <c r="W263" s="418" t="s">
        <v>629</v>
      </c>
      <c r="X263" s="418" t="s">
        <v>3139</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2490</v>
      </c>
      <c r="K264" s="887" t="s">
        <v>663</v>
      </c>
      <c r="L264" s="888" t="s">
        <v>405</v>
      </c>
      <c r="M264" s="951" t="s">
        <v>2480</v>
      </c>
      <c r="N264" s="951" t="s">
        <v>1277</v>
      </c>
      <c r="O264" s="1066" t="s">
        <v>3738</v>
      </c>
      <c r="P264" s="504" t="s">
        <v>1501</v>
      </c>
      <c r="Q264" s="287"/>
      <c r="R264" s="168"/>
      <c r="S264" s="380"/>
      <c r="T264" s="473" t="s">
        <v>1496</v>
      </c>
      <c r="U264" s="473" t="s">
        <v>1567</v>
      </c>
      <c r="W264" s="418" t="s">
        <v>223</v>
      </c>
      <c r="X264" s="418" t="s">
        <v>3139</v>
      </c>
      <c r="Z264" s="418"/>
      <c r="AA264" s="157"/>
      <c r="AB264" s="157"/>
      <c r="AC264" s="809"/>
      <c r="AD264" s="481"/>
      <c r="AE264" s="157"/>
      <c r="AF264" s="157"/>
      <c r="AG264" s="157"/>
      <c r="AH264" s="157"/>
      <c r="AI264" s="157"/>
      <c r="AJ264" s="157"/>
      <c r="AK264" s="157"/>
    </row>
    <row r="265" spans="2:37" ht="10.5" customHeight="1">
      <c r="B265" s="279"/>
      <c r="C265" s="370" t="s">
        <v>1820</v>
      </c>
      <c r="D265" s="426"/>
      <c r="E265" s="279"/>
      <c r="F265" s="506"/>
      <c r="G265" s="885" t="s">
        <v>167</v>
      </c>
      <c r="H265" s="885" t="s">
        <v>1165</v>
      </c>
      <c r="I265" s="886" t="s">
        <v>1620</v>
      </c>
      <c r="J265" s="886" t="s">
        <v>2490</v>
      </c>
      <c r="K265" s="887" t="s">
        <v>2464</v>
      </c>
      <c r="L265" s="888" t="s">
        <v>405</v>
      </c>
      <c r="M265" s="952" t="s">
        <v>1150</v>
      </c>
      <c r="N265" s="952" t="s">
        <v>1620</v>
      </c>
      <c r="O265" s="1066" t="s">
        <v>3739</v>
      </c>
      <c r="P265" s="504" t="s">
        <v>1503</v>
      </c>
      <c r="Q265" s="287"/>
      <c r="R265" s="168"/>
      <c r="S265" s="380"/>
      <c r="T265" s="473" t="s">
        <v>2446</v>
      </c>
      <c r="U265" s="473" t="s">
        <v>598</v>
      </c>
      <c r="W265" s="418" t="s">
        <v>630</v>
      </c>
      <c r="X265" s="418" t="s">
        <v>3139</v>
      </c>
      <c r="Z265" s="418"/>
      <c r="AA265" s="157"/>
      <c r="AB265" s="157"/>
      <c r="AC265" s="809"/>
      <c r="AD265" s="481"/>
      <c r="AE265" s="157"/>
      <c r="AF265" s="157"/>
      <c r="AG265" s="157"/>
      <c r="AH265" s="157"/>
      <c r="AI265" s="157"/>
      <c r="AJ265" s="157"/>
      <c r="AK265" s="157"/>
    </row>
    <row r="266" spans="2:37" ht="10.5" customHeight="1">
      <c r="B266" s="279"/>
      <c r="C266" s="369" t="s">
        <v>1822</v>
      </c>
      <c r="D266" s="426"/>
      <c r="E266" s="279"/>
      <c r="F266" s="506"/>
      <c r="G266" s="885" t="s">
        <v>168</v>
      </c>
      <c r="H266" s="885" t="s">
        <v>1262</v>
      </c>
      <c r="I266" s="889" t="s">
        <v>169</v>
      </c>
      <c r="J266" s="889" t="s">
        <v>2489</v>
      </c>
      <c r="K266" s="887" t="s">
        <v>664</v>
      </c>
      <c r="L266" s="888" t="s">
        <v>404</v>
      </c>
      <c r="M266" s="952" t="s">
        <v>2480</v>
      </c>
      <c r="N266" s="952" t="s">
        <v>1159</v>
      </c>
      <c r="O266" s="1066" t="s">
        <v>3740</v>
      </c>
      <c r="P266" s="504" t="s">
        <v>1663</v>
      </c>
      <c r="Q266" s="287"/>
      <c r="R266" s="168"/>
      <c r="S266" s="380"/>
      <c r="T266" s="473" t="s">
        <v>1498</v>
      </c>
      <c r="U266" s="473" t="s">
        <v>630</v>
      </c>
      <c r="W266" s="418" t="s">
        <v>755</v>
      </c>
      <c r="X266" s="418" t="s">
        <v>3139</v>
      </c>
      <c r="Z266" s="418"/>
      <c r="AA266" s="157"/>
      <c r="AB266" s="157"/>
      <c r="AC266" s="809"/>
      <c r="AD266" s="481"/>
      <c r="AE266" s="157"/>
      <c r="AF266" s="157"/>
      <c r="AG266" s="157"/>
      <c r="AH266" s="157"/>
      <c r="AI266" s="157"/>
      <c r="AJ266" s="157"/>
      <c r="AK266" s="157"/>
    </row>
    <row r="267" spans="2:37" ht="10.5" customHeight="1">
      <c r="B267" s="279"/>
      <c r="C267" s="369" t="s">
        <v>1824</v>
      </c>
      <c r="D267" s="426"/>
      <c r="E267" s="279"/>
      <c r="F267" s="506"/>
      <c r="G267" s="885" t="s">
        <v>1271</v>
      </c>
      <c r="H267" s="885" t="s">
        <v>1165</v>
      </c>
      <c r="I267" s="886" t="s">
        <v>170</v>
      </c>
      <c r="J267" s="886" t="s">
        <v>2489</v>
      </c>
      <c r="K267" s="887" t="s">
        <v>665</v>
      </c>
      <c r="L267" s="888" t="s">
        <v>404</v>
      </c>
      <c r="M267" s="952" t="s">
        <v>2480</v>
      </c>
      <c r="N267" s="952" t="s">
        <v>1271</v>
      </c>
      <c r="O267" s="1066" t="s">
        <v>3741</v>
      </c>
      <c r="P267" s="504" t="s">
        <v>1665</v>
      </c>
      <c r="Q267" s="287"/>
      <c r="R267" s="168"/>
      <c r="S267" s="380"/>
      <c r="T267" s="473" t="s">
        <v>2643</v>
      </c>
      <c r="U267" s="473" t="s">
        <v>2141</v>
      </c>
      <c r="W267" s="418" t="s">
        <v>3130</v>
      </c>
      <c r="X267" s="418" t="s">
        <v>3139</v>
      </c>
      <c r="Z267" s="418"/>
      <c r="AA267" s="157"/>
      <c r="AB267" s="157"/>
      <c r="AC267" s="809"/>
      <c r="AD267" s="481"/>
      <c r="AE267" s="157"/>
      <c r="AF267" s="157"/>
      <c r="AG267" s="157"/>
      <c r="AH267" s="157"/>
      <c r="AI267" s="157"/>
      <c r="AJ267" s="157"/>
      <c r="AK267" s="157"/>
    </row>
    <row r="268" spans="2:37" ht="10.5" customHeight="1">
      <c r="B268" s="279"/>
      <c r="C268" s="369" t="s">
        <v>1826</v>
      </c>
      <c r="D268" s="426"/>
      <c r="E268" s="279"/>
      <c r="F268" s="506"/>
      <c r="G268" s="885" t="s">
        <v>171</v>
      </c>
      <c r="H268" s="885" t="s">
        <v>1262</v>
      </c>
      <c r="I268" s="886" t="s">
        <v>1952</v>
      </c>
      <c r="J268" s="886" t="s">
        <v>2490</v>
      </c>
      <c r="K268" s="887" t="s">
        <v>590</v>
      </c>
      <c r="L268" s="888" t="s">
        <v>405</v>
      </c>
      <c r="M268" s="951" t="s">
        <v>2480</v>
      </c>
      <c r="N268" s="951" t="s">
        <v>158</v>
      </c>
      <c r="O268" s="1066" t="s">
        <v>3742</v>
      </c>
      <c r="P268" s="504" t="s">
        <v>1667</v>
      </c>
      <c r="Q268" s="287"/>
      <c r="R268" s="168"/>
      <c r="S268" s="380"/>
      <c r="T268" s="473" t="s">
        <v>1500</v>
      </c>
      <c r="U268" s="473" t="s">
        <v>156</v>
      </c>
      <c r="W268" s="418" t="s">
        <v>3131</v>
      </c>
      <c r="X268" s="418" t="s">
        <v>3139</v>
      </c>
      <c r="Z268" s="418"/>
      <c r="AA268" s="157"/>
      <c r="AB268" s="157"/>
      <c r="AC268" s="809"/>
      <c r="AD268" s="481"/>
      <c r="AE268" s="157"/>
      <c r="AF268" s="157"/>
      <c r="AG268" s="157"/>
      <c r="AH268" s="157"/>
      <c r="AI268" s="157"/>
      <c r="AJ268" s="157"/>
      <c r="AK268" s="157"/>
    </row>
    <row r="269" spans="2:37" ht="10.5" customHeight="1">
      <c r="B269" s="279"/>
      <c r="C269" s="369" t="s">
        <v>1828</v>
      </c>
      <c r="D269" s="426"/>
      <c r="E269" s="279"/>
      <c r="F269" s="506"/>
      <c r="G269" s="885" t="s">
        <v>345</v>
      </c>
      <c r="H269" s="885" t="s">
        <v>1165</v>
      </c>
      <c r="I269" s="889" t="s">
        <v>153</v>
      </c>
      <c r="J269" s="889" t="s">
        <v>2490</v>
      </c>
      <c r="K269" s="887" t="s">
        <v>1606</v>
      </c>
      <c r="L269" s="888" t="s">
        <v>405</v>
      </c>
      <c r="M269" s="951" t="s">
        <v>2480</v>
      </c>
      <c r="N269" s="951" t="s">
        <v>153</v>
      </c>
      <c r="O269" s="1066" t="s">
        <v>3743</v>
      </c>
      <c r="P269" s="504" t="s">
        <v>984</v>
      </c>
      <c r="Q269" s="287"/>
      <c r="R269" s="168"/>
      <c r="S269" s="380"/>
      <c r="T269" s="473" t="s">
        <v>1502</v>
      </c>
      <c r="U269" s="473" t="s">
        <v>1264</v>
      </c>
      <c r="W269" s="418" t="s">
        <v>1175</v>
      </c>
      <c r="X269" s="418" t="s">
        <v>3139</v>
      </c>
      <c r="Z269" s="418"/>
      <c r="AA269" s="157"/>
      <c r="AB269" s="157"/>
      <c r="AC269" s="809"/>
      <c r="AD269" s="481"/>
      <c r="AE269" s="157"/>
      <c r="AF269" s="157"/>
      <c r="AG269" s="157"/>
      <c r="AH269" s="157"/>
      <c r="AI269" s="157"/>
      <c r="AJ269" s="157"/>
      <c r="AK269" s="157"/>
    </row>
    <row r="270" spans="2:37" ht="10.5" customHeight="1">
      <c r="B270" s="279"/>
      <c r="C270" s="369" t="s">
        <v>1830</v>
      </c>
      <c r="D270" s="426"/>
      <c r="E270" s="279"/>
      <c r="F270" s="506"/>
      <c r="G270" s="885" t="s">
        <v>1789</v>
      </c>
      <c r="H270" s="885" t="s">
        <v>1262</v>
      </c>
      <c r="I270" s="889" t="s">
        <v>735</v>
      </c>
      <c r="J270" s="889" t="s">
        <v>2490</v>
      </c>
      <c r="K270" s="887" t="s">
        <v>2479</v>
      </c>
      <c r="L270" s="888" t="s">
        <v>405</v>
      </c>
      <c r="M270" s="951" t="s">
        <v>2480</v>
      </c>
      <c r="N270" s="951" t="s">
        <v>1281</v>
      </c>
      <c r="O270" s="1066" t="s">
        <v>3744</v>
      </c>
      <c r="P270" s="504" t="s">
        <v>985</v>
      </c>
      <c r="Q270" s="287"/>
      <c r="R270" s="168"/>
      <c r="S270" s="380"/>
      <c r="T270" s="473" t="s">
        <v>1504</v>
      </c>
      <c r="U270" s="473" t="s">
        <v>171</v>
      </c>
      <c r="W270" s="418" t="s">
        <v>650</v>
      </c>
      <c r="X270" s="418" t="s">
        <v>3139</v>
      </c>
      <c r="Z270" s="418"/>
      <c r="AA270" s="157"/>
      <c r="AB270" s="157"/>
      <c r="AC270" s="809"/>
      <c r="AD270" s="481"/>
      <c r="AE270" s="157"/>
      <c r="AF270" s="157"/>
      <c r="AG270" s="157"/>
      <c r="AH270" s="157"/>
      <c r="AI270" s="157"/>
      <c r="AJ270" s="157"/>
      <c r="AK270" s="157"/>
    </row>
    <row r="271" spans="2:37" ht="10.5" customHeight="1">
      <c r="B271" s="279"/>
      <c r="C271" s="370" t="s">
        <v>1833</v>
      </c>
      <c r="D271" s="426"/>
      <c r="E271" s="279"/>
      <c r="F271" s="506"/>
      <c r="G271" s="885" t="s">
        <v>1790</v>
      </c>
      <c r="H271" s="885" t="s">
        <v>1165</v>
      </c>
      <c r="I271" s="886" t="s">
        <v>8</v>
      </c>
      <c r="J271" s="886" t="s">
        <v>2490</v>
      </c>
      <c r="K271" s="887" t="s">
        <v>2463</v>
      </c>
      <c r="L271" s="888" t="s">
        <v>405</v>
      </c>
      <c r="M271" s="951" t="s">
        <v>2480</v>
      </c>
      <c r="N271" s="951" t="s">
        <v>1277</v>
      </c>
      <c r="O271" s="1066" t="s">
        <v>3745</v>
      </c>
      <c r="P271" s="504" t="s">
        <v>225</v>
      </c>
      <c r="Q271" s="287"/>
      <c r="R271" s="168"/>
      <c r="S271" s="380"/>
      <c r="T271" s="473" t="s">
        <v>1664</v>
      </c>
      <c r="U271" s="473" t="s">
        <v>630</v>
      </c>
      <c r="W271" s="418" t="s">
        <v>637</v>
      </c>
      <c r="X271" s="418" t="s">
        <v>3139</v>
      </c>
      <c r="Z271" s="418"/>
      <c r="AA271" s="157"/>
      <c r="AB271" s="157"/>
      <c r="AC271" s="809"/>
      <c r="AD271" s="481"/>
      <c r="AE271" s="157"/>
      <c r="AF271" s="157"/>
      <c r="AG271" s="157"/>
      <c r="AH271" s="157"/>
      <c r="AI271" s="157"/>
      <c r="AJ271" s="157"/>
      <c r="AK271" s="157"/>
    </row>
    <row r="272" spans="2:37" ht="10.5" customHeight="1">
      <c r="B272" s="279"/>
      <c r="C272" s="369" t="s">
        <v>1917</v>
      </c>
      <c r="D272" s="426"/>
      <c r="E272" s="279"/>
      <c r="F272" s="506"/>
      <c r="G272" s="885" t="s">
        <v>1791</v>
      </c>
      <c r="H272" s="885" t="s">
        <v>1165</v>
      </c>
      <c r="I272" s="889" t="s">
        <v>739</v>
      </c>
      <c r="J272" s="889" t="s">
        <v>2490</v>
      </c>
      <c r="K272" s="887" t="s">
        <v>666</v>
      </c>
      <c r="L272" s="888" t="s">
        <v>405</v>
      </c>
      <c r="M272" s="951" t="s">
        <v>2480</v>
      </c>
      <c r="N272" s="951" t="s">
        <v>1159</v>
      </c>
      <c r="O272" s="1066" t="s">
        <v>3746</v>
      </c>
      <c r="P272" s="504" t="s">
        <v>227</v>
      </c>
      <c r="Q272" s="287"/>
      <c r="R272" s="168"/>
      <c r="S272" s="380"/>
      <c r="T272" s="473" t="s">
        <v>1666</v>
      </c>
      <c r="U272" s="473" t="s">
        <v>703</v>
      </c>
      <c r="W272" s="418" t="s">
        <v>942</v>
      </c>
      <c r="X272" s="418" t="s">
        <v>3139</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2489</v>
      </c>
      <c r="K273" s="887" t="s">
        <v>667</v>
      </c>
      <c r="L273" s="888" t="s">
        <v>404</v>
      </c>
      <c r="M273" s="952" t="s">
        <v>2480</v>
      </c>
      <c r="N273" s="952" t="s">
        <v>1702</v>
      </c>
      <c r="O273" s="1066" t="s">
        <v>3747</v>
      </c>
      <c r="P273" s="504" t="s">
        <v>1215</v>
      </c>
      <c r="Q273" s="287"/>
      <c r="R273" s="168"/>
      <c r="S273" s="380"/>
      <c r="T273" s="473" t="s">
        <v>983</v>
      </c>
      <c r="U273" s="473" t="s">
        <v>1265</v>
      </c>
      <c r="W273" s="418" t="s">
        <v>946</v>
      </c>
      <c r="X273" s="418" t="s">
        <v>3139</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2489</v>
      </c>
      <c r="K274" s="887" t="s">
        <v>668</v>
      </c>
      <c r="L274" s="888" t="s">
        <v>404</v>
      </c>
      <c r="M274" s="952" t="s">
        <v>2480</v>
      </c>
      <c r="N274" s="952" t="s">
        <v>1702</v>
      </c>
      <c r="O274" s="1066" t="s">
        <v>3748</v>
      </c>
      <c r="P274" s="504" t="s">
        <v>1968</v>
      </c>
      <c r="Q274" s="287"/>
      <c r="R274" s="168"/>
      <c r="S274" s="380"/>
      <c r="T274" s="473" t="s">
        <v>986</v>
      </c>
      <c r="U274" s="473" t="s">
        <v>628</v>
      </c>
      <c r="W274" s="418" t="s">
        <v>948</v>
      </c>
      <c r="X274" s="418" t="s">
        <v>3139</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1951</v>
      </c>
      <c r="J275" s="889" t="s">
        <v>2490</v>
      </c>
      <c r="K275" s="887" t="s">
        <v>669</v>
      </c>
      <c r="L275" s="888" t="s">
        <v>405</v>
      </c>
      <c r="M275" s="951" t="s">
        <v>2480</v>
      </c>
      <c r="N275" s="951" t="s">
        <v>1159</v>
      </c>
      <c r="O275" s="1066" t="s">
        <v>3749</v>
      </c>
      <c r="P275" s="504" t="s">
        <v>1970</v>
      </c>
      <c r="Q275" s="287"/>
      <c r="R275" s="168"/>
      <c r="S275" s="380"/>
      <c r="T275" s="473" t="s">
        <v>226</v>
      </c>
      <c r="U275" s="473" t="s">
        <v>2412</v>
      </c>
      <c r="W275" s="418" t="s">
        <v>545</v>
      </c>
      <c r="X275" s="418" t="s">
        <v>3139</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2489</v>
      </c>
      <c r="K276" s="887" t="s">
        <v>670</v>
      </c>
      <c r="L276" s="888" t="s">
        <v>404</v>
      </c>
      <c r="M276" s="952" t="s">
        <v>2480</v>
      </c>
      <c r="N276" s="952" t="s">
        <v>1277</v>
      </c>
      <c r="O276" s="1066" t="s">
        <v>3750</v>
      </c>
      <c r="P276" s="504" t="s">
        <v>1972</v>
      </c>
      <c r="Q276" s="287"/>
      <c r="R276" s="168"/>
      <c r="S276" s="380"/>
      <c r="T276" s="505" t="s">
        <v>2644</v>
      </c>
      <c r="U276" s="505" t="s">
        <v>840</v>
      </c>
      <c r="W276" s="418" t="s">
        <v>356</v>
      </c>
      <c r="X276" s="418" t="s">
        <v>3139</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2465</v>
      </c>
      <c r="H277" s="885" t="s">
        <v>1262</v>
      </c>
      <c r="I277" s="889" t="s">
        <v>2466</v>
      </c>
      <c r="J277" s="886" t="s">
        <v>2490</v>
      </c>
      <c r="K277" s="887" t="s">
        <v>3365</v>
      </c>
      <c r="L277" s="888" t="s">
        <v>405</v>
      </c>
      <c r="M277" s="952" t="s">
        <v>2480</v>
      </c>
      <c r="N277" s="952" t="s">
        <v>1159</v>
      </c>
      <c r="O277" s="1066" t="s">
        <v>3751</v>
      </c>
      <c r="P277" s="504" t="s">
        <v>1974</v>
      </c>
      <c r="Q277" s="287"/>
      <c r="R277" s="168"/>
      <c r="S277" s="380"/>
      <c r="T277" s="473" t="s">
        <v>1678</v>
      </c>
      <c r="U277" s="473" t="s">
        <v>1057</v>
      </c>
      <c r="W277" s="418" t="s">
        <v>1529</v>
      </c>
      <c r="X277" s="418" t="s">
        <v>3139</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2467</v>
      </c>
      <c r="H278" s="885" t="s">
        <v>1262</v>
      </c>
      <c r="I278" s="886" t="s">
        <v>2468</v>
      </c>
      <c r="J278" s="886" t="s">
        <v>2490</v>
      </c>
      <c r="K278" s="887" t="s">
        <v>1864</v>
      </c>
      <c r="L278" s="888" t="s">
        <v>405</v>
      </c>
      <c r="M278" s="951" t="s">
        <v>2480</v>
      </c>
      <c r="N278" s="951" t="s">
        <v>1159</v>
      </c>
      <c r="O278" s="1066" t="s">
        <v>3752</v>
      </c>
      <c r="P278" s="504" t="s">
        <v>1976</v>
      </c>
      <c r="Q278" s="287"/>
      <c r="R278" s="168"/>
      <c r="S278" s="380"/>
      <c r="T278" s="473" t="s">
        <v>1969</v>
      </c>
      <c r="U278" s="473" t="s">
        <v>309</v>
      </c>
      <c r="W278" s="418" t="s">
        <v>970</v>
      </c>
      <c r="X278" s="418" t="s">
        <v>3139</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2469</v>
      </c>
      <c r="H279" s="885" t="s">
        <v>1715</v>
      </c>
      <c r="I279" s="889" t="s">
        <v>153</v>
      </c>
      <c r="J279" s="889" t="s">
        <v>2490</v>
      </c>
      <c r="K279" s="887" t="s">
        <v>1606</v>
      </c>
      <c r="L279" s="888" t="s">
        <v>405</v>
      </c>
      <c r="M279" s="952" t="s">
        <v>1150</v>
      </c>
      <c r="N279" s="952" t="s">
        <v>153</v>
      </c>
      <c r="O279" s="1066" t="s">
        <v>3753</v>
      </c>
      <c r="P279" s="504" t="s">
        <v>1978</v>
      </c>
      <c r="Q279" s="287"/>
      <c r="R279" s="168"/>
      <c r="S279" s="380"/>
      <c r="T279" s="473" t="s">
        <v>1971</v>
      </c>
      <c r="U279" s="473" t="s">
        <v>307</v>
      </c>
      <c r="W279" s="418" t="s">
        <v>972</v>
      </c>
      <c r="X279" s="418" t="s">
        <v>3139</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2470</v>
      </c>
      <c r="H280" s="885" t="s">
        <v>1262</v>
      </c>
      <c r="I280" s="889" t="s">
        <v>734</v>
      </c>
      <c r="J280" s="889" t="s">
        <v>2490</v>
      </c>
      <c r="K280" s="887" t="s">
        <v>2458</v>
      </c>
      <c r="L280" s="888" t="s">
        <v>405</v>
      </c>
      <c r="M280" s="951" t="s">
        <v>1150</v>
      </c>
      <c r="N280" s="951" t="s">
        <v>1159</v>
      </c>
      <c r="O280" s="1066" t="s">
        <v>3754</v>
      </c>
      <c r="P280" s="504" t="s">
        <v>645</v>
      </c>
      <c r="Q280" s="287"/>
      <c r="R280" s="168"/>
      <c r="S280" s="380"/>
      <c r="T280" s="473" t="s">
        <v>1973</v>
      </c>
      <c r="U280" s="473" t="s">
        <v>598</v>
      </c>
      <c r="W280" s="418" t="s">
        <v>1603</v>
      </c>
      <c r="X280" s="418" t="s">
        <v>3139</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2471</v>
      </c>
      <c r="H281" s="885" t="s">
        <v>1262</v>
      </c>
      <c r="I281" s="886" t="s">
        <v>1952</v>
      </c>
      <c r="J281" s="886" t="s">
        <v>2490</v>
      </c>
      <c r="K281" s="887" t="s">
        <v>590</v>
      </c>
      <c r="L281" s="888" t="s">
        <v>405</v>
      </c>
      <c r="M281" s="951" t="s">
        <v>2480</v>
      </c>
      <c r="N281" s="951" t="s">
        <v>158</v>
      </c>
      <c r="O281" s="1066" t="s">
        <v>3755</v>
      </c>
      <c r="P281" s="504" t="s">
        <v>2225</v>
      </c>
      <c r="Q281" s="287"/>
      <c r="R281" s="168"/>
      <c r="S281" s="380"/>
      <c r="T281" s="473" t="s">
        <v>1975</v>
      </c>
      <c r="U281" s="473" t="s">
        <v>2467</v>
      </c>
      <c r="W281" s="418" t="s">
        <v>833</v>
      </c>
      <c r="X281" s="418" t="s">
        <v>3139</v>
      </c>
      <c r="Z281" s="418"/>
      <c r="AA281" s="157"/>
      <c r="AB281" s="157"/>
      <c r="AC281" s="809"/>
      <c r="AD281" s="481"/>
      <c r="AE281" s="157"/>
      <c r="AF281" s="157"/>
      <c r="AG281" s="157"/>
      <c r="AH281" s="157"/>
      <c r="AI281" s="157"/>
      <c r="AJ281" s="157"/>
      <c r="AK281" s="157"/>
    </row>
    <row r="282" spans="2:37" ht="10.5" customHeight="1">
      <c r="B282" s="279"/>
      <c r="C282" s="369" t="s">
        <v>2287</v>
      </c>
      <c r="D282" s="426"/>
      <c r="F282" s="506"/>
      <c r="G282" s="885" t="s">
        <v>2472</v>
      </c>
      <c r="H282" s="885" t="s">
        <v>1262</v>
      </c>
      <c r="I282" s="886" t="s">
        <v>1952</v>
      </c>
      <c r="J282" s="886" t="s">
        <v>2490</v>
      </c>
      <c r="K282" s="887" t="s">
        <v>590</v>
      </c>
      <c r="L282" s="888" t="s">
        <v>405</v>
      </c>
      <c r="M282" s="951" t="s">
        <v>2480</v>
      </c>
      <c r="N282" s="951" t="s">
        <v>158</v>
      </c>
      <c r="O282" s="1066" t="s">
        <v>3756</v>
      </c>
      <c r="P282" s="504" t="s">
        <v>2226</v>
      </c>
      <c r="Q282" s="287"/>
      <c r="R282" s="168"/>
      <c r="S282" s="380"/>
      <c r="T282" s="473" t="s">
        <v>3941</v>
      </c>
      <c r="U282" s="473" t="s">
        <v>1160</v>
      </c>
      <c r="W282" s="418" t="s">
        <v>1661</v>
      </c>
      <c r="X282" s="418" t="s">
        <v>3139</v>
      </c>
      <c r="Z282" s="418"/>
      <c r="AA282" s="157"/>
      <c r="AB282" s="157"/>
      <c r="AC282" s="809"/>
      <c r="AD282" s="481"/>
      <c r="AE282" s="157"/>
      <c r="AF282" s="157"/>
      <c r="AG282" s="157"/>
      <c r="AH282" s="157"/>
      <c r="AI282" s="157"/>
      <c r="AJ282" s="157"/>
      <c r="AK282" s="157"/>
    </row>
    <row r="283" spans="2:37" ht="10.5" customHeight="1">
      <c r="B283" s="279"/>
      <c r="C283" s="369" t="s">
        <v>2289</v>
      </c>
      <c r="D283" s="426"/>
      <c r="F283" s="506"/>
      <c r="G283" s="885" t="s">
        <v>2473</v>
      </c>
      <c r="H283" s="885" t="s">
        <v>1262</v>
      </c>
      <c r="I283" s="889" t="s">
        <v>734</v>
      </c>
      <c r="J283" s="889" t="s">
        <v>2490</v>
      </c>
      <c r="K283" s="887" t="s">
        <v>2458</v>
      </c>
      <c r="L283" s="888" t="s">
        <v>405</v>
      </c>
      <c r="M283" s="951" t="s">
        <v>1150</v>
      </c>
      <c r="N283" s="951" t="s">
        <v>1159</v>
      </c>
      <c r="O283" s="1066" t="s">
        <v>3757</v>
      </c>
      <c r="P283" s="504" t="s">
        <v>1200</v>
      </c>
      <c r="Q283" s="287"/>
      <c r="R283" s="168"/>
      <c r="S283" s="380"/>
      <c r="T283" s="473" t="s">
        <v>2447</v>
      </c>
      <c r="U283" s="473" t="s">
        <v>1918</v>
      </c>
      <c r="W283" s="418" t="s">
        <v>601</v>
      </c>
      <c r="X283" s="418" t="s">
        <v>3139</v>
      </c>
      <c r="Z283" s="418"/>
      <c r="AA283" s="157"/>
      <c r="AB283" s="157"/>
      <c r="AC283" s="809"/>
      <c r="AD283" s="481"/>
      <c r="AE283" s="157"/>
      <c r="AF283" s="157"/>
      <c r="AG283" s="157"/>
      <c r="AH283" s="157"/>
      <c r="AI283" s="157"/>
      <c r="AJ283" s="157"/>
      <c r="AK283" s="157"/>
    </row>
    <row r="284" spans="2:37" ht="10.5" customHeight="1">
      <c r="B284" s="279"/>
      <c r="C284" s="369" t="s">
        <v>2291</v>
      </c>
      <c r="D284" s="426"/>
      <c r="F284" s="506"/>
      <c r="G284" s="885" t="s">
        <v>1051</v>
      </c>
      <c r="H284" s="885" t="s">
        <v>1262</v>
      </c>
      <c r="I284" s="889" t="s">
        <v>1052</v>
      </c>
      <c r="J284" s="889" t="s">
        <v>2490</v>
      </c>
      <c r="K284" s="887" t="s">
        <v>1865</v>
      </c>
      <c r="L284" s="888" t="s">
        <v>405</v>
      </c>
      <c r="M284" s="952" t="s">
        <v>2480</v>
      </c>
      <c r="N284" s="952" t="s">
        <v>1271</v>
      </c>
      <c r="O284" s="1066" t="s">
        <v>3758</v>
      </c>
      <c r="P284" s="504" t="s">
        <v>1202</v>
      </c>
      <c r="Q284" s="287"/>
      <c r="R284" s="168"/>
      <c r="S284" s="380"/>
      <c r="T284" s="473" t="s">
        <v>1977</v>
      </c>
      <c r="U284" s="473" t="s">
        <v>191</v>
      </c>
      <c r="W284" s="418" t="s">
        <v>2186</v>
      </c>
      <c r="X284" s="418" t="s">
        <v>3139</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2490</v>
      </c>
      <c r="K285" s="887" t="s">
        <v>2458</v>
      </c>
      <c r="L285" s="888" t="s">
        <v>405</v>
      </c>
      <c r="M285" s="951" t="s">
        <v>1150</v>
      </c>
      <c r="N285" s="951" t="s">
        <v>1159</v>
      </c>
      <c r="O285" s="1066" t="s">
        <v>3759</v>
      </c>
      <c r="P285" s="504" t="s">
        <v>1204</v>
      </c>
      <c r="Q285" s="287"/>
      <c r="R285" s="168"/>
      <c r="S285" s="380"/>
      <c r="T285" s="473" t="s">
        <v>2645</v>
      </c>
      <c r="U285" s="473" t="s">
        <v>632</v>
      </c>
      <c r="W285" s="418" t="s">
        <v>994</v>
      </c>
      <c r="X285" s="418" t="s">
        <v>3139</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2489</v>
      </c>
      <c r="K286" s="887" t="s">
        <v>1866</v>
      </c>
      <c r="L286" s="888" t="s">
        <v>404</v>
      </c>
      <c r="M286" s="952" t="s">
        <v>2480</v>
      </c>
      <c r="N286" s="952" t="s">
        <v>1620</v>
      </c>
      <c r="O286" s="1066" t="s">
        <v>3760</v>
      </c>
      <c r="P286" s="504" t="s">
        <v>1205</v>
      </c>
      <c r="Q286" s="287"/>
      <c r="R286" s="168"/>
      <c r="S286" s="380"/>
      <c r="T286" s="473" t="s">
        <v>1979</v>
      </c>
      <c r="U286" s="473" t="s">
        <v>191</v>
      </c>
      <c r="W286" s="418" t="s">
        <v>1856</v>
      </c>
      <c r="X286" s="418" t="s">
        <v>3139</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2490</v>
      </c>
      <c r="K287" s="887" t="s">
        <v>2458</v>
      </c>
      <c r="L287" s="888" t="s">
        <v>405</v>
      </c>
      <c r="M287" s="951" t="s">
        <v>1150</v>
      </c>
      <c r="N287" s="951" t="s">
        <v>1159</v>
      </c>
      <c r="O287" s="1066" t="s">
        <v>3761</v>
      </c>
      <c r="P287" s="504" t="s">
        <v>1207</v>
      </c>
      <c r="Q287" s="287"/>
      <c r="R287" s="168"/>
      <c r="S287" s="380"/>
      <c r="T287" s="473" t="s">
        <v>646</v>
      </c>
      <c r="U287" s="473" t="s">
        <v>1918</v>
      </c>
      <c r="W287" s="418" t="s">
        <v>471</v>
      </c>
      <c r="X287" s="418" t="s">
        <v>3139</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2489</v>
      </c>
      <c r="K288" s="887" t="s">
        <v>1867</v>
      </c>
      <c r="L288" s="888" t="s">
        <v>404</v>
      </c>
      <c r="M288" s="952" t="s">
        <v>2480</v>
      </c>
      <c r="N288" s="952" t="s">
        <v>1159</v>
      </c>
      <c r="O288" s="1066" t="s">
        <v>3762</v>
      </c>
      <c r="P288" s="504" t="s">
        <v>2382</v>
      </c>
      <c r="Q288" s="287"/>
      <c r="R288" s="168"/>
      <c r="S288" s="380"/>
      <c r="T288" s="473" t="s">
        <v>2227</v>
      </c>
      <c r="U288" s="473" t="s">
        <v>115</v>
      </c>
      <c r="W288" s="418" t="s">
        <v>1575</v>
      </c>
      <c r="X288" s="418" t="s">
        <v>3139</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2490</v>
      </c>
      <c r="K289" s="887" t="s">
        <v>1868</v>
      </c>
      <c r="L289" s="888" t="s">
        <v>405</v>
      </c>
      <c r="M289" s="952" t="s">
        <v>2480</v>
      </c>
      <c r="N289" s="952" t="s">
        <v>1271</v>
      </c>
      <c r="O289" s="1066" t="s">
        <v>3763</v>
      </c>
      <c r="P289" s="504" t="s">
        <v>77</v>
      </c>
      <c r="Q289" s="287"/>
      <c r="R289" s="168"/>
      <c r="S289" s="380"/>
      <c r="T289" s="473" t="s">
        <v>1201</v>
      </c>
      <c r="U289" s="473" t="s">
        <v>598</v>
      </c>
      <c r="W289" s="418" t="s">
        <v>908</v>
      </c>
      <c r="X289" s="418" t="s">
        <v>3139</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2489</v>
      </c>
      <c r="K290" s="887" t="s">
        <v>1869</v>
      </c>
      <c r="L290" s="888" t="s">
        <v>404</v>
      </c>
      <c r="M290" s="952" t="s">
        <v>2480</v>
      </c>
      <c r="N290" s="952" t="s">
        <v>1159</v>
      </c>
      <c r="O290" s="1066" t="s">
        <v>3764</v>
      </c>
      <c r="P290" s="504" t="s">
        <v>78</v>
      </c>
      <c r="Q290" s="287"/>
      <c r="R290" s="168"/>
      <c r="S290" s="380"/>
      <c r="T290" s="473" t="s">
        <v>1203</v>
      </c>
      <c r="U290" s="473" t="s">
        <v>2143</v>
      </c>
      <c r="W290" s="418" t="s">
        <v>2204</v>
      </c>
      <c r="X290" s="418" t="s">
        <v>3139</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2489</v>
      </c>
      <c r="K291" s="887" t="s">
        <v>1704</v>
      </c>
      <c r="L291" s="888" t="s">
        <v>404</v>
      </c>
      <c r="M291" s="952" t="s">
        <v>2480</v>
      </c>
      <c r="N291" s="952" t="s">
        <v>153</v>
      </c>
      <c r="O291" s="1066" t="s">
        <v>3765</v>
      </c>
      <c r="P291" s="504" t="s">
        <v>79</v>
      </c>
      <c r="Q291" s="287"/>
      <c r="R291" s="168"/>
      <c r="S291" s="380"/>
      <c r="T291" s="473" t="s">
        <v>2372</v>
      </c>
      <c r="U291" s="473" t="s">
        <v>1065</v>
      </c>
      <c r="W291" s="418" t="s">
        <v>312</v>
      </c>
      <c r="X291" s="418" t="s">
        <v>3139</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2489</v>
      </c>
      <c r="K292" s="887" t="s">
        <v>1705</v>
      </c>
      <c r="L292" s="888" t="s">
        <v>404</v>
      </c>
      <c r="M292" s="952" t="s">
        <v>2480</v>
      </c>
      <c r="N292" s="952" t="s">
        <v>158</v>
      </c>
      <c r="O292" s="1066" t="s">
        <v>3766</v>
      </c>
      <c r="P292" s="504" t="s">
        <v>81</v>
      </c>
      <c r="Q292" s="287"/>
      <c r="R292" s="168"/>
      <c r="S292" s="380"/>
      <c r="T292" s="473" t="s">
        <v>1206</v>
      </c>
      <c r="U292" s="473" t="s">
        <v>300</v>
      </c>
      <c r="W292" s="418" t="s">
        <v>314</v>
      </c>
      <c r="X292" s="418" t="s">
        <v>3139</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2489</v>
      </c>
      <c r="K293" s="887" t="s">
        <v>1706</v>
      </c>
      <c r="L293" s="888" t="s">
        <v>404</v>
      </c>
      <c r="M293" s="952" t="s">
        <v>2480</v>
      </c>
      <c r="N293" s="952" t="s">
        <v>1702</v>
      </c>
      <c r="O293" s="1066" t="s">
        <v>3767</v>
      </c>
      <c r="P293" s="504" t="s">
        <v>1181</v>
      </c>
      <c r="Q293" s="287"/>
      <c r="R293" s="168"/>
      <c r="S293" s="380"/>
      <c r="T293" s="473" t="s">
        <v>2381</v>
      </c>
      <c r="U293" s="473" t="s">
        <v>107</v>
      </c>
      <c r="W293" s="418" t="s">
        <v>317</v>
      </c>
      <c r="X293" s="418" t="s">
        <v>3139</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2490</v>
      </c>
      <c r="K294" s="887" t="s">
        <v>2479</v>
      </c>
      <c r="L294" s="888" t="s">
        <v>405</v>
      </c>
      <c r="M294" s="952" t="s">
        <v>1150</v>
      </c>
      <c r="N294" s="952" t="s">
        <v>1281</v>
      </c>
      <c r="O294" s="1066" t="s">
        <v>3768</v>
      </c>
      <c r="P294" s="504" t="s">
        <v>1183</v>
      </c>
      <c r="Q294" s="287"/>
      <c r="R294" s="168"/>
      <c r="S294" s="380"/>
      <c r="T294" s="473" t="s">
        <v>76</v>
      </c>
      <c r="U294" s="473" t="s">
        <v>188</v>
      </c>
      <c r="W294" s="418" t="s">
        <v>1676</v>
      </c>
      <c r="X294" s="418" t="s">
        <v>3139</v>
      </c>
      <c r="AA294" s="27"/>
      <c r="AB294" s="27"/>
      <c r="AC294" s="809"/>
      <c r="AD294" s="481"/>
    </row>
    <row r="295" spans="6:37" ht="10.5" customHeight="1">
      <c r="F295" s="506"/>
      <c r="G295" s="885" t="s">
        <v>1070</v>
      </c>
      <c r="H295" s="885" t="s">
        <v>1262</v>
      </c>
      <c r="I295" s="889" t="s">
        <v>734</v>
      </c>
      <c r="J295" s="889" t="s">
        <v>2490</v>
      </c>
      <c r="K295" s="887" t="s">
        <v>2458</v>
      </c>
      <c r="L295" s="888" t="s">
        <v>405</v>
      </c>
      <c r="M295" s="951" t="s">
        <v>1150</v>
      </c>
      <c r="N295" s="951" t="s">
        <v>1159</v>
      </c>
      <c r="O295" s="1066" t="s">
        <v>3769</v>
      </c>
      <c r="P295" s="504" t="s">
        <v>1185</v>
      </c>
      <c r="Q295" s="287"/>
      <c r="R295" s="168"/>
      <c r="S295" s="380"/>
      <c r="T295" s="473" t="s">
        <v>80</v>
      </c>
      <c r="U295" s="473" t="s">
        <v>2089</v>
      </c>
      <c r="W295" s="418" t="s">
        <v>661</v>
      </c>
      <c r="X295" s="418" t="s">
        <v>3139</v>
      </c>
      <c r="AA295" s="27"/>
      <c r="AB295" s="27"/>
      <c r="AC295" s="809"/>
      <c r="AD295" s="481"/>
    </row>
    <row r="296" spans="6:37" ht="10.5" customHeight="1">
      <c r="F296" s="506"/>
      <c r="G296" s="885" t="s">
        <v>1071</v>
      </c>
      <c r="H296" s="885" t="s">
        <v>1165</v>
      </c>
      <c r="I296" s="886" t="s">
        <v>2073</v>
      </c>
      <c r="J296" s="886" t="s">
        <v>2489</v>
      </c>
      <c r="K296" s="887" t="s">
        <v>1707</v>
      </c>
      <c r="L296" s="888" t="s">
        <v>404</v>
      </c>
      <c r="M296" s="952" t="s">
        <v>2480</v>
      </c>
      <c r="N296" s="952" t="s">
        <v>153</v>
      </c>
      <c r="O296" s="1066" t="s">
        <v>3770</v>
      </c>
      <c r="P296" s="504" t="s">
        <v>1187</v>
      </c>
      <c r="Q296" s="287"/>
      <c r="R296" s="168"/>
      <c r="S296" s="380"/>
      <c r="T296" s="473" t="s">
        <v>82</v>
      </c>
      <c r="U296" s="473" t="s">
        <v>1272</v>
      </c>
      <c r="W296" s="418" t="s">
        <v>2249</v>
      </c>
      <c r="X296" s="418" t="s">
        <v>3139</v>
      </c>
      <c r="AA296" s="27"/>
      <c r="AB296" s="27"/>
      <c r="AC296" s="809"/>
      <c r="AD296" s="481"/>
    </row>
    <row r="297" spans="6:37" ht="10.5" customHeight="1">
      <c r="F297" s="506"/>
      <c r="G297" s="885" t="s">
        <v>2074</v>
      </c>
      <c r="H297" s="885" t="s">
        <v>1165</v>
      </c>
      <c r="I297" s="886" t="s">
        <v>2075</v>
      </c>
      <c r="J297" s="886" t="s">
        <v>2489</v>
      </c>
      <c r="K297" s="887" t="s">
        <v>1708</v>
      </c>
      <c r="L297" s="888" t="s">
        <v>404</v>
      </c>
      <c r="M297" s="952" t="s">
        <v>2480</v>
      </c>
      <c r="N297" s="952" t="s">
        <v>1277</v>
      </c>
      <c r="O297" s="1066" t="s">
        <v>3771</v>
      </c>
      <c r="P297" s="504" t="s">
        <v>1189</v>
      </c>
      <c r="Q297" s="287"/>
      <c r="R297" s="168"/>
      <c r="S297" s="380"/>
      <c r="T297" s="473" t="s">
        <v>1182</v>
      </c>
      <c r="U297" s="473" t="s">
        <v>1862</v>
      </c>
      <c r="W297" s="418" t="s">
        <v>455</v>
      </c>
      <c r="X297" s="418" t="s">
        <v>3139</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3772</v>
      </c>
      <c r="P298" s="504" t="s">
        <v>1191</v>
      </c>
      <c r="Q298" s="287"/>
      <c r="R298" s="168"/>
      <c r="S298" s="380"/>
      <c r="T298" s="473" t="s">
        <v>1184</v>
      </c>
      <c r="U298" s="473" t="s">
        <v>171</v>
      </c>
      <c r="W298" s="418" t="s">
        <v>3132</v>
      </c>
      <c r="X298" s="418" t="s">
        <v>3139</v>
      </c>
      <c r="AA298" s="27"/>
      <c r="AB298" s="27"/>
      <c r="AC298" s="809"/>
      <c r="AD298" s="481"/>
    </row>
    <row r="299" spans="6:37" ht="10.5" customHeight="1">
      <c r="F299" s="506"/>
      <c r="G299" s="885" t="s">
        <v>2076</v>
      </c>
      <c r="H299" s="885" t="s">
        <v>1165</v>
      </c>
      <c r="I299" s="889" t="s">
        <v>2077</v>
      </c>
      <c r="J299" s="886" t="s">
        <v>2489</v>
      </c>
      <c r="K299" s="887" t="s">
        <v>436</v>
      </c>
      <c r="L299" s="888" t="s">
        <v>404</v>
      </c>
      <c r="M299" s="952" t="s">
        <v>2480</v>
      </c>
      <c r="N299" s="952" t="s">
        <v>1702</v>
      </c>
      <c r="O299" s="1066" t="s">
        <v>3773</v>
      </c>
      <c r="P299" s="504" t="s">
        <v>857</v>
      </c>
      <c r="Q299" s="287"/>
      <c r="R299" s="168"/>
      <c r="S299" s="380"/>
      <c r="T299" s="505" t="s">
        <v>1186</v>
      </c>
      <c r="U299" s="505" t="s">
        <v>1067</v>
      </c>
      <c r="W299" s="418" t="s">
        <v>3133</v>
      </c>
      <c r="X299" s="418" t="s">
        <v>3139</v>
      </c>
      <c r="AA299" s="27"/>
      <c r="AB299" s="27"/>
      <c r="AC299" s="809"/>
      <c r="AD299" s="481"/>
    </row>
    <row r="300" spans="6:37" ht="10.5" customHeight="1">
      <c r="F300" s="506"/>
      <c r="G300" s="885" t="s">
        <v>2078</v>
      </c>
      <c r="H300" s="885" t="s">
        <v>1262</v>
      </c>
      <c r="I300" s="889" t="s">
        <v>734</v>
      </c>
      <c r="J300" s="889" t="s">
        <v>2490</v>
      </c>
      <c r="K300" s="887" t="s">
        <v>2458</v>
      </c>
      <c r="L300" s="888" t="s">
        <v>405</v>
      </c>
      <c r="M300" s="951" t="s">
        <v>1150</v>
      </c>
      <c r="N300" s="952" t="s">
        <v>1159</v>
      </c>
      <c r="O300" s="1066" t="s">
        <v>3774</v>
      </c>
      <c r="P300" s="504" t="s">
        <v>858</v>
      </c>
      <c r="Q300" s="287"/>
      <c r="R300" s="168"/>
      <c r="S300" s="380"/>
      <c r="T300" s="473" t="s">
        <v>1188</v>
      </c>
      <c r="U300" s="473" t="s">
        <v>1160</v>
      </c>
      <c r="W300" s="418" t="s">
        <v>73</v>
      </c>
      <c r="X300" s="418" t="s">
        <v>3139</v>
      </c>
      <c r="AA300" s="27"/>
      <c r="AB300" s="27"/>
      <c r="AC300" s="810"/>
      <c r="AD300" s="481"/>
    </row>
    <row r="301" spans="6:37" ht="10.5" customHeight="1">
      <c r="F301" s="506"/>
      <c r="G301" s="885" t="s">
        <v>2079</v>
      </c>
      <c r="H301" s="885" t="s">
        <v>1262</v>
      </c>
      <c r="I301" s="889" t="s">
        <v>2080</v>
      </c>
      <c r="J301" s="889" t="s">
        <v>2489</v>
      </c>
      <c r="K301" s="887" t="s">
        <v>212</v>
      </c>
      <c r="L301" s="888" t="s">
        <v>404</v>
      </c>
      <c r="M301" s="952" t="s">
        <v>2480</v>
      </c>
      <c r="N301" s="951" t="s">
        <v>158</v>
      </c>
      <c r="O301" s="1066" t="s">
        <v>3775</v>
      </c>
      <c r="P301" s="504" t="s">
        <v>860</v>
      </c>
      <c r="Q301" s="287"/>
      <c r="R301" s="168"/>
      <c r="S301" s="380"/>
      <c r="T301" s="473" t="s">
        <v>1190</v>
      </c>
      <c r="U301" s="473" t="s">
        <v>2089</v>
      </c>
      <c r="W301" s="418" t="s">
        <v>2304</v>
      </c>
      <c r="X301" s="418" t="s">
        <v>3139</v>
      </c>
      <c r="AA301" s="27"/>
      <c r="AB301" s="27"/>
      <c r="AC301" s="809"/>
      <c r="AD301" s="481"/>
    </row>
    <row r="302" spans="6:37" ht="10.5" customHeight="1">
      <c r="F302" s="506"/>
      <c r="G302" s="885" t="s">
        <v>2081</v>
      </c>
      <c r="H302" s="885" t="s">
        <v>1165</v>
      </c>
      <c r="I302" s="886" t="s">
        <v>2082</v>
      </c>
      <c r="J302" s="889" t="s">
        <v>2489</v>
      </c>
      <c r="K302" s="887" t="s">
        <v>1370</v>
      </c>
      <c r="L302" s="888" t="s">
        <v>404</v>
      </c>
      <c r="M302" s="952" t="s">
        <v>2480</v>
      </c>
      <c r="N302" s="952" t="s">
        <v>153</v>
      </c>
      <c r="O302" s="1066" t="s">
        <v>3776</v>
      </c>
      <c r="P302" s="504" t="s">
        <v>862</v>
      </c>
      <c r="Q302" s="287"/>
      <c r="R302" s="168"/>
      <c r="S302" s="380"/>
      <c r="T302" s="473" t="s">
        <v>2378</v>
      </c>
      <c r="U302" s="473" t="s">
        <v>1565</v>
      </c>
      <c r="W302" s="418" t="s">
        <v>584</v>
      </c>
      <c r="X302" s="418" t="s">
        <v>3139</v>
      </c>
      <c r="AA302" s="27"/>
      <c r="AB302" s="27"/>
      <c r="AC302" s="809"/>
      <c r="AD302" s="481"/>
    </row>
    <row r="303" spans="6:37" ht="10.5" customHeight="1">
      <c r="F303" s="506"/>
      <c r="G303" s="885" t="s">
        <v>2083</v>
      </c>
      <c r="H303" s="885" t="s">
        <v>1715</v>
      </c>
      <c r="I303" s="886" t="s">
        <v>2084</v>
      </c>
      <c r="J303" s="886" t="s">
        <v>2489</v>
      </c>
      <c r="K303" s="887" t="s">
        <v>1371</v>
      </c>
      <c r="L303" s="888" t="s">
        <v>404</v>
      </c>
      <c r="M303" s="952" t="s">
        <v>2480</v>
      </c>
      <c r="N303" s="952" t="s">
        <v>1702</v>
      </c>
      <c r="O303" s="1066" t="s">
        <v>3777</v>
      </c>
      <c r="P303" s="504" t="s">
        <v>2045</v>
      </c>
      <c r="Q303" s="287"/>
      <c r="R303" s="168"/>
      <c r="S303" s="380"/>
      <c r="T303" s="473" t="s">
        <v>153</v>
      </c>
      <c r="U303" s="473" t="s">
        <v>2469</v>
      </c>
      <c r="W303" s="418" t="s">
        <v>928</v>
      </c>
      <c r="X303" s="418" t="s">
        <v>3139</v>
      </c>
      <c r="AA303" s="27"/>
      <c r="AB303" s="27"/>
      <c r="AC303" s="809"/>
      <c r="AD303" s="481"/>
    </row>
    <row r="304" spans="6:37" ht="10.5" customHeight="1">
      <c r="F304" s="506"/>
      <c r="G304" s="885" t="s">
        <v>2085</v>
      </c>
      <c r="H304" s="885" t="s">
        <v>1165</v>
      </c>
      <c r="I304" s="886" t="s">
        <v>2086</v>
      </c>
      <c r="J304" s="886" t="s">
        <v>2489</v>
      </c>
      <c r="K304" s="887" t="s">
        <v>1372</v>
      </c>
      <c r="L304" s="888" t="s">
        <v>404</v>
      </c>
      <c r="M304" s="952" t="s">
        <v>2480</v>
      </c>
      <c r="N304" s="952" t="s">
        <v>153</v>
      </c>
      <c r="O304" s="1066" t="s">
        <v>3778</v>
      </c>
      <c r="P304" s="504" t="s">
        <v>2046</v>
      </c>
      <c r="Q304" s="287"/>
      <c r="R304" s="168"/>
      <c r="S304" s="380"/>
      <c r="T304" s="473" t="s">
        <v>859</v>
      </c>
      <c r="U304" s="473" t="s">
        <v>171</v>
      </c>
      <c r="W304" s="418" t="s">
        <v>1432</v>
      </c>
      <c r="X304" s="418" t="s">
        <v>3139</v>
      </c>
      <c r="AA304" s="27"/>
      <c r="AB304" s="27"/>
      <c r="AC304" s="809"/>
      <c r="AD304" s="481"/>
    </row>
    <row r="305" spans="6:30" ht="10.5" customHeight="1">
      <c r="F305" s="506"/>
      <c r="G305" s="885" t="s">
        <v>2087</v>
      </c>
      <c r="H305" s="885" t="s">
        <v>1262</v>
      </c>
      <c r="I305" s="886" t="s">
        <v>2088</v>
      </c>
      <c r="J305" s="886" t="s">
        <v>2489</v>
      </c>
      <c r="K305" s="887" t="s">
        <v>1922</v>
      </c>
      <c r="L305" s="888" t="s">
        <v>404</v>
      </c>
      <c r="M305" s="952" t="s">
        <v>2480</v>
      </c>
      <c r="N305" s="952" t="s">
        <v>158</v>
      </c>
      <c r="O305" s="1066" t="s">
        <v>3779</v>
      </c>
      <c r="P305" s="504" t="s">
        <v>1964</v>
      </c>
      <c r="Q305" s="287"/>
      <c r="R305" s="168"/>
      <c r="S305" s="380"/>
      <c r="T305" s="505" t="s">
        <v>861</v>
      </c>
      <c r="U305" s="505" t="s">
        <v>312</v>
      </c>
      <c r="W305" s="418" t="s">
        <v>2234</v>
      </c>
      <c r="X305" s="418" t="s">
        <v>3139</v>
      </c>
      <c r="AA305" s="27"/>
      <c r="AB305" s="27"/>
      <c r="AC305" s="809"/>
      <c r="AD305" s="481"/>
    </row>
    <row r="306" spans="6:30" ht="10.5" customHeight="1">
      <c r="F306" s="506"/>
      <c r="G306" s="885" t="s">
        <v>2089</v>
      </c>
      <c r="H306" s="885" t="s">
        <v>1165</v>
      </c>
      <c r="I306" s="886" t="s">
        <v>2090</v>
      </c>
      <c r="J306" s="886" t="s">
        <v>2489</v>
      </c>
      <c r="K306" s="887" t="s">
        <v>1923</v>
      </c>
      <c r="L306" s="888" t="s">
        <v>404</v>
      </c>
      <c r="M306" s="952" t="s">
        <v>2480</v>
      </c>
      <c r="N306" s="952" t="s">
        <v>1277</v>
      </c>
      <c r="O306" s="1066" t="s">
        <v>3780</v>
      </c>
      <c r="P306" s="504" t="s">
        <v>1966</v>
      </c>
      <c r="Q306" s="287"/>
      <c r="R306" s="168"/>
      <c r="S306" s="380"/>
      <c r="T306" s="473" t="s">
        <v>863</v>
      </c>
      <c r="U306" s="473" t="s">
        <v>1056</v>
      </c>
      <c r="W306" s="418" t="s">
        <v>788</v>
      </c>
      <c r="X306" s="418" t="s">
        <v>3139</v>
      </c>
      <c r="AA306" s="27"/>
      <c r="AB306" s="27"/>
      <c r="AC306" s="810"/>
      <c r="AD306" s="481"/>
    </row>
    <row r="307" spans="6:30" ht="10.5" customHeight="1">
      <c r="F307" s="506"/>
      <c r="G307" s="885" t="s">
        <v>2091</v>
      </c>
      <c r="H307" s="885" t="s">
        <v>1165</v>
      </c>
      <c r="I307" s="886" t="s">
        <v>836</v>
      </c>
      <c r="J307" s="886" t="s">
        <v>2489</v>
      </c>
      <c r="K307" s="887" t="s">
        <v>1924</v>
      </c>
      <c r="L307" s="888" t="s">
        <v>404</v>
      </c>
      <c r="M307" s="952" t="s">
        <v>2480</v>
      </c>
      <c r="N307" s="952" t="s">
        <v>153</v>
      </c>
      <c r="O307" s="1066" t="s">
        <v>3781</v>
      </c>
      <c r="P307" s="504" t="s">
        <v>568</v>
      </c>
      <c r="Q307" s="287"/>
      <c r="R307" s="168"/>
      <c r="S307" s="380"/>
      <c r="T307" s="473" t="s">
        <v>2448</v>
      </c>
      <c r="U307" s="473" t="s">
        <v>2372</v>
      </c>
      <c r="W307" s="418" t="s">
        <v>791</v>
      </c>
      <c r="X307" s="418" t="s">
        <v>3139</v>
      </c>
      <c r="AA307" s="27"/>
      <c r="AB307" s="27"/>
      <c r="AC307" s="809"/>
      <c r="AD307" s="481"/>
    </row>
    <row r="308" spans="6:30" ht="10.5" customHeight="1">
      <c r="F308" s="506"/>
      <c r="G308" s="885" t="s">
        <v>837</v>
      </c>
      <c r="H308" s="885" t="s">
        <v>1165</v>
      </c>
      <c r="I308" s="886" t="s">
        <v>838</v>
      </c>
      <c r="J308" s="886" t="s">
        <v>2489</v>
      </c>
      <c r="K308" s="887" t="s">
        <v>1925</v>
      </c>
      <c r="L308" s="888" t="s">
        <v>404</v>
      </c>
      <c r="M308" s="952" t="s">
        <v>2480</v>
      </c>
      <c r="N308" s="952" t="s">
        <v>1702</v>
      </c>
      <c r="O308" s="1066" t="s">
        <v>3782</v>
      </c>
      <c r="P308" s="504" t="s">
        <v>569</v>
      </c>
      <c r="Q308" s="287"/>
      <c r="R308" s="168"/>
      <c r="S308" s="380"/>
      <c r="T308" s="473" t="s">
        <v>2047</v>
      </c>
      <c r="U308" s="473" t="s">
        <v>1070</v>
      </c>
      <c r="W308" s="418" t="s">
        <v>1448</v>
      </c>
      <c r="X308" s="418" t="s">
        <v>3139</v>
      </c>
      <c r="AA308" s="27"/>
      <c r="AB308" s="27"/>
      <c r="AC308" s="809"/>
      <c r="AD308" s="481"/>
    </row>
    <row r="309" spans="6:30" ht="10.5" customHeight="1">
      <c r="F309" s="506"/>
      <c r="G309" s="885" t="s">
        <v>1592</v>
      </c>
      <c r="H309" s="885" t="s">
        <v>1165</v>
      </c>
      <c r="I309" s="889" t="s">
        <v>1702</v>
      </c>
      <c r="J309" s="886" t="s">
        <v>2490</v>
      </c>
      <c r="K309" s="887" t="s">
        <v>1119</v>
      </c>
      <c r="L309" s="888" t="s">
        <v>405</v>
      </c>
      <c r="M309" s="951" t="s">
        <v>2480</v>
      </c>
      <c r="N309" s="952" t="s">
        <v>1702</v>
      </c>
      <c r="O309" s="1066" t="s">
        <v>3783</v>
      </c>
      <c r="P309" s="504" t="s">
        <v>571</v>
      </c>
      <c r="Q309" s="287"/>
      <c r="R309" s="168"/>
      <c r="S309" s="380"/>
      <c r="T309" s="473" t="s">
        <v>1965</v>
      </c>
      <c r="U309" s="473" t="s">
        <v>1593</v>
      </c>
      <c r="W309" s="418" t="s">
        <v>463</v>
      </c>
      <c r="X309" s="418" t="s">
        <v>3139</v>
      </c>
      <c r="AA309" s="27"/>
      <c r="AB309" s="27"/>
      <c r="AC309" s="809"/>
      <c r="AD309" s="481"/>
    </row>
    <row r="310" spans="6:30" ht="10.5" customHeight="1">
      <c r="F310" s="506"/>
      <c r="G310" s="885" t="s">
        <v>1593</v>
      </c>
      <c r="H310" s="885" t="s">
        <v>1165</v>
      </c>
      <c r="I310" s="889" t="s">
        <v>1594</v>
      </c>
      <c r="J310" s="889" t="s">
        <v>2489</v>
      </c>
      <c r="K310" s="887" t="s">
        <v>1926</v>
      </c>
      <c r="L310" s="888" t="s">
        <v>404</v>
      </c>
      <c r="M310" s="952" t="s">
        <v>2480</v>
      </c>
      <c r="N310" s="951" t="s">
        <v>1620</v>
      </c>
      <c r="O310" s="1066" t="s">
        <v>3784</v>
      </c>
      <c r="P310" s="504" t="s">
        <v>573</v>
      </c>
      <c r="Q310" s="287"/>
      <c r="R310" s="168"/>
      <c r="S310" s="380"/>
      <c r="T310" s="473" t="s">
        <v>1967</v>
      </c>
      <c r="U310" s="473" t="s">
        <v>2416</v>
      </c>
      <c r="W310" s="418" t="s">
        <v>1344</v>
      </c>
      <c r="X310" s="418" t="s">
        <v>3139</v>
      </c>
      <c r="AA310" s="27"/>
      <c r="AB310" s="27"/>
      <c r="AC310" s="809"/>
      <c r="AD310" s="481"/>
    </row>
    <row r="311" spans="6:30" ht="10.5" customHeight="1">
      <c r="F311" s="506"/>
      <c r="G311" s="885" t="s">
        <v>1595</v>
      </c>
      <c r="H311" s="885" t="s">
        <v>1165</v>
      </c>
      <c r="I311" s="889" t="s">
        <v>1820</v>
      </c>
      <c r="J311" s="889" t="s">
        <v>2489</v>
      </c>
      <c r="K311" s="887" t="s">
        <v>1123</v>
      </c>
      <c r="L311" s="888" t="s">
        <v>404</v>
      </c>
      <c r="M311" s="952" t="s">
        <v>2480</v>
      </c>
      <c r="N311" s="952" t="s">
        <v>1702</v>
      </c>
      <c r="O311" s="1066" t="s">
        <v>3785</v>
      </c>
      <c r="P311" s="504" t="s">
        <v>574</v>
      </c>
      <c r="Q311" s="287"/>
      <c r="R311" s="168"/>
      <c r="S311" s="380"/>
      <c r="T311" s="473" t="s">
        <v>793</v>
      </c>
      <c r="U311" s="473" t="s">
        <v>307</v>
      </c>
      <c r="W311" s="418" t="s">
        <v>1346</v>
      </c>
      <c r="X311" s="418" t="s">
        <v>3139</v>
      </c>
      <c r="AA311" s="27"/>
      <c r="AB311" s="27"/>
      <c r="AC311" s="809"/>
      <c r="AD311" s="813"/>
    </row>
    <row r="312" spans="6:30" ht="10.5" customHeight="1">
      <c r="F312" s="506"/>
      <c r="G312" s="885" t="s">
        <v>1821</v>
      </c>
      <c r="H312" s="885" t="s">
        <v>1165</v>
      </c>
      <c r="I312" s="889" t="s">
        <v>1822</v>
      </c>
      <c r="J312" s="889" t="s">
        <v>2489</v>
      </c>
      <c r="K312" s="887" t="s">
        <v>1124</v>
      </c>
      <c r="L312" s="888" t="s">
        <v>404</v>
      </c>
      <c r="M312" s="952" t="s">
        <v>2480</v>
      </c>
      <c r="N312" s="952" t="s">
        <v>1277</v>
      </c>
      <c r="O312" s="1066" t="s">
        <v>3786</v>
      </c>
      <c r="P312" s="504" t="s">
        <v>575</v>
      </c>
      <c r="Q312" s="287"/>
      <c r="R312" s="168"/>
      <c r="S312" s="380"/>
      <c r="T312" s="473" t="s">
        <v>570</v>
      </c>
      <c r="U312" s="473" t="s">
        <v>115</v>
      </c>
      <c r="W312" s="418" t="s">
        <v>2380</v>
      </c>
      <c r="X312" s="418" t="s">
        <v>3139</v>
      </c>
      <c r="AA312" s="27"/>
      <c r="AB312" s="27"/>
      <c r="AC312" s="809"/>
      <c r="AD312" s="481"/>
    </row>
    <row r="313" spans="6:30" ht="10.5" customHeight="1">
      <c r="F313" s="506"/>
      <c r="G313" s="885" t="s">
        <v>1823</v>
      </c>
      <c r="H313" s="885" t="s">
        <v>1262</v>
      </c>
      <c r="I313" s="889" t="s">
        <v>1824</v>
      </c>
      <c r="J313" s="889" t="s">
        <v>2489</v>
      </c>
      <c r="K313" s="887" t="s">
        <v>1125</v>
      </c>
      <c r="L313" s="888" t="s">
        <v>404</v>
      </c>
      <c r="M313" s="952" t="s">
        <v>2480</v>
      </c>
      <c r="N313" s="952" t="s">
        <v>158</v>
      </c>
      <c r="O313" s="1066" t="s">
        <v>3787</v>
      </c>
      <c r="P313" s="504" t="s">
        <v>577</v>
      </c>
      <c r="Q313" s="287"/>
      <c r="R313" s="168"/>
      <c r="S313" s="380"/>
      <c r="T313" s="473" t="s">
        <v>2449</v>
      </c>
      <c r="U313" s="473" t="s">
        <v>1278</v>
      </c>
      <c r="W313" s="418" t="s">
        <v>1017</v>
      </c>
      <c r="X313" s="418" t="s">
        <v>3139</v>
      </c>
      <c r="AA313" s="27"/>
      <c r="AB313" s="27"/>
      <c r="AC313" s="809"/>
      <c r="AD313" s="481"/>
    </row>
    <row r="314" spans="6:30" ht="10.5" customHeight="1">
      <c r="F314" s="506"/>
      <c r="G314" s="885" t="s">
        <v>1825</v>
      </c>
      <c r="H314" s="885" t="s">
        <v>1165</v>
      </c>
      <c r="I314" s="889" t="s">
        <v>1826</v>
      </c>
      <c r="J314" s="889" t="s">
        <v>2489</v>
      </c>
      <c r="K314" s="887" t="s">
        <v>1126</v>
      </c>
      <c r="L314" s="888" t="s">
        <v>404</v>
      </c>
      <c r="M314" s="952" t="s">
        <v>2480</v>
      </c>
      <c r="N314" s="952" t="s">
        <v>1271</v>
      </c>
      <c r="O314" s="1066" t="s">
        <v>3788</v>
      </c>
      <c r="P314" s="504" t="s">
        <v>579</v>
      </c>
      <c r="Q314" s="287"/>
      <c r="R314" s="168"/>
      <c r="S314" s="380"/>
      <c r="T314" s="473" t="s">
        <v>572</v>
      </c>
      <c r="U314" s="473" t="s">
        <v>2470</v>
      </c>
      <c r="W314" s="418" t="s">
        <v>1271</v>
      </c>
      <c r="X314" s="418" t="s">
        <v>3139</v>
      </c>
      <c r="AA314" s="27"/>
      <c r="AB314" s="27"/>
      <c r="AC314" s="809"/>
      <c r="AD314" s="481"/>
    </row>
    <row r="315" spans="6:30" ht="10.5" customHeight="1">
      <c r="F315" s="506"/>
      <c r="G315" s="885" t="s">
        <v>1827</v>
      </c>
      <c r="H315" s="885" t="s">
        <v>1165</v>
      </c>
      <c r="I315" s="886" t="s">
        <v>1828</v>
      </c>
      <c r="J315" s="889" t="s">
        <v>2489</v>
      </c>
      <c r="K315" s="887" t="s">
        <v>1127</v>
      </c>
      <c r="L315" s="888" t="s">
        <v>404</v>
      </c>
      <c r="M315" s="952" t="s">
        <v>2480</v>
      </c>
      <c r="N315" s="952" t="s">
        <v>1159</v>
      </c>
      <c r="O315" s="1066" t="s">
        <v>3789</v>
      </c>
      <c r="P315" s="504" t="s">
        <v>521</v>
      </c>
      <c r="Q315" s="287"/>
      <c r="R315" s="168"/>
      <c r="S315" s="380"/>
      <c r="T315" s="473" t="s">
        <v>2415</v>
      </c>
      <c r="U315" s="473" t="s">
        <v>2472</v>
      </c>
      <c r="W315" s="418" t="s">
        <v>171</v>
      </c>
      <c r="X315" s="418" t="s">
        <v>3139</v>
      </c>
      <c r="AA315" s="27"/>
      <c r="AB315" s="27"/>
      <c r="AC315" s="809"/>
      <c r="AD315" s="481"/>
    </row>
    <row r="316" spans="6:30" ht="10.5" customHeight="1">
      <c r="F316" s="506"/>
      <c r="G316" s="885" t="s">
        <v>1829</v>
      </c>
      <c r="H316" s="885" t="s">
        <v>1165</v>
      </c>
      <c r="I316" s="889" t="s">
        <v>1830</v>
      </c>
      <c r="J316" s="886" t="s">
        <v>2489</v>
      </c>
      <c r="K316" s="887" t="s">
        <v>1128</v>
      </c>
      <c r="L316" s="888" t="s">
        <v>404</v>
      </c>
      <c r="M316" s="952" t="s">
        <v>2480</v>
      </c>
      <c r="N316" s="952" t="s">
        <v>1702</v>
      </c>
      <c r="O316" s="1066" t="s">
        <v>3790</v>
      </c>
      <c r="P316" s="504" t="s">
        <v>1114</v>
      </c>
      <c r="Q316" s="287"/>
      <c r="R316" s="168"/>
      <c r="S316" s="380"/>
      <c r="T316" s="473" t="s">
        <v>576</v>
      </c>
      <c r="U316" s="473" t="s">
        <v>2087</v>
      </c>
      <c r="W316" s="418" t="s">
        <v>1511</v>
      </c>
      <c r="X316" s="418" t="s">
        <v>3139</v>
      </c>
      <c r="AA316" s="27"/>
      <c r="AB316" s="27"/>
      <c r="AC316" s="809"/>
      <c r="AD316" s="481"/>
    </row>
    <row r="317" spans="6:30" ht="10.5" customHeight="1">
      <c r="F317" s="506"/>
      <c r="G317" s="885" t="s">
        <v>1831</v>
      </c>
      <c r="H317" s="885" t="s">
        <v>1165</v>
      </c>
      <c r="I317" s="889" t="s">
        <v>1271</v>
      </c>
      <c r="J317" s="889" t="s">
        <v>2490</v>
      </c>
      <c r="K317" s="887" t="s">
        <v>2461</v>
      </c>
      <c r="L317" s="888" t="s">
        <v>405</v>
      </c>
      <c r="M317" s="951" t="s">
        <v>2480</v>
      </c>
      <c r="N317" s="952" t="s">
        <v>1271</v>
      </c>
      <c r="O317" s="1066" t="s">
        <v>3791</v>
      </c>
      <c r="P317" s="504" t="s">
        <v>717</v>
      </c>
      <c r="Q317" s="287"/>
      <c r="R317" s="168"/>
      <c r="S317" s="380"/>
      <c r="T317" s="473" t="s">
        <v>2646</v>
      </c>
      <c r="U317" s="473" t="s">
        <v>1061</v>
      </c>
      <c r="W317" s="418" t="s">
        <v>361</v>
      </c>
      <c r="X317" s="418" t="s">
        <v>3139</v>
      </c>
      <c r="AA317" s="27"/>
      <c r="AB317" s="27"/>
      <c r="AC317" s="809"/>
      <c r="AD317" s="481"/>
    </row>
    <row r="318" spans="6:30" ht="10.5" customHeight="1">
      <c r="F318" s="506"/>
      <c r="G318" s="885" t="s">
        <v>1832</v>
      </c>
      <c r="H318" s="885" t="s">
        <v>1262</v>
      </c>
      <c r="I318" s="889" t="s">
        <v>1833</v>
      </c>
      <c r="J318" s="889" t="s">
        <v>2489</v>
      </c>
      <c r="K318" s="887" t="s">
        <v>1129</v>
      </c>
      <c r="L318" s="888" t="s">
        <v>404</v>
      </c>
      <c r="M318" s="952" t="s">
        <v>2480</v>
      </c>
      <c r="N318" s="951" t="s">
        <v>158</v>
      </c>
      <c r="O318" s="1066" t="s">
        <v>3792</v>
      </c>
      <c r="P318" s="504" t="s">
        <v>33</v>
      </c>
      <c r="Q318" s="287"/>
      <c r="R318" s="168"/>
      <c r="S318" s="380"/>
      <c r="T318" s="473" t="s">
        <v>578</v>
      </c>
      <c r="U318" s="473" t="s">
        <v>1569</v>
      </c>
      <c r="W318" s="418" t="s">
        <v>363</v>
      </c>
      <c r="X318" s="418" t="s">
        <v>3139</v>
      </c>
      <c r="AA318" s="27"/>
      <c r="AB318" s="27"/>
      <c r="AC318" s="809"/>
      <c r="AD318" s="481"/>
    </row>
    <row r="319" spans="6:30" ht="10.5" customHeight="1">
      <c r="F319" s="506"/>
      <c r="G319" s="885" t="s">
        <v>1916</v>
      </c>
      <c r="H319" s="885" t="s">
        <v>1165</v>
      </c>
      <c r="I319" s="886" t="s">
        <v>1917</v>
      </c>
      <c r="J319" s="889" t="s">
        <v>2489</v>
      </c>
      <c r="K319" s="887" t="s">
        <v>1130</v>
      </c>
      <c r="L319" s="888" t="s">
        <v>404</v>
      </c>
      <c r="M319" s="952" t="s">
        <v>2480</v>
      </c>
      <c r="N319" s="952" t="s">
        <v>1159</v>
      </c>
      <c r="O319" s="1066" t="s">
        <v>3793</v>
      </c>
      <c r="P319" s="504" t="s">
        <v>1876</v>
      </c>
      <c r="Q319" s="287"/>
      <c r="R319" s="168"/>
      <c r="S319" s="380"/>
      <c r="T319" s="473" t="s">
        <v>520</v>
      </c>
      <c r="U319" s="473" t="s">
        <v>629</v>
      </c>
      <c r="W319" s="418" t="s">
        <v>1541</v>
      </c>
      <c r="X319" s="418" t="s">
        <v>3139</v>
      </c>
      <c r="AA319" s="27"/>
      <c r="AB319" s="27"/>
      <c r="AC319" s="809"/>
      <c r="AD319" s="481"/>
    </row>
    <row r="320" spans="6:30" ht="10.5" customHeight="1">
      <c r="F320" s="506"/>
      <c r="G320" s="885" t="s">
        <v>1918</v>
      </c>
      <c r="H320" s="885" t="s">
        <v>1262</v>
      </c>
      <c r="I320" s="889" t="s">
        <v>1460</v>
      </c>
      <c r="J320" s="886" t="s">
        <v>2490</v>
      </c>
      <c r="K320" s="887" t="s">
        <v>1604</v>
      </c>
      <c r="L320" s="888" t="s">
        <v>405</v>
      </c>
      <c r="M320" s="951" t="s">
        <v>2480</v>
      </c>
      <c r="N320" s="952" t="s">
        <v>1460</v>
      </c>
      <c r="O320" s="1066" t="s">
        <v>3794</v>
      </c>
      <c r="P320" s="504" t="s">
        <v>1878</v>
      </c>
      <c r="Q320" s="287"/>
      <c r="R320" s="168"/>
      <c r="S320" s="380"/>
      <c r="T320" s="473" t="s">
        <v>522</v>
      </c>
      <c r="U320" s="473" t="s">
        <v>152</v>
      </c>
      <c r="W320" s="418" t="s">
        <v>1048</v>
      </c>
      <c r="X320" s="418" t="s">
        <v>3139</v>
      </c>
      <c r="AA320" s="27"/>
      <c r="AB320" s="27"/>
      <c r="AC320" s="809"/>
      <c r="AD320" s="481"/>
    </row>
    <row r="321" spans="3:30" ht="10.5" customHeight="1">
      <c r="F321" s="506"/>
      <c r="G321" s="885" t="s">
        <v>1919</v>
      </c>
      <c r="H321" s="885" t="s">
        <v>1262</v>
      </c>
      <c r="I321" s="889" t="s">
        <v>734</v>
      </c>
      <c r="J321" s="889" t="s">
        <v>2490</v>
      </c>
      <c r="K321" s="887" t="s">
        <v>2458</v>
      </c>
      <c r="L321" s="888" t="s">
        <v>405</v>
      </c>
      <c r="M321" s="951" t="s">
        <v>1150</v>
      </c>
      <c r="N321" s="951" t="s">
        <v>1159</v>
      </c>
      <c r="O321" s="1066" t="s">
        <v>3795</v>
      </c>
      <c r="P321" s="504" t="s">
        <v>323</v>
      </c>
      <c r="Q321" s="287"/>
      <c r="R321" s="168"/>
      <c r="S321" s="380"/>
      <c r="T321" s="473" t="s">
        <v>716</v>
      </c>
      <c r="U321" s="473" t="s">
        <v>1067</v>
      </c>
      <c r="W321" s="418" t="s">
        <v>3134</v>
      </c>
      <c r="X321" s="418" t="s">
        <v>3139</v>
      </c>
      <c r="AA321" s="27"/>
      <c r="AB321" s="27"/>
      <c r="AC321" s="809"/>
      <c r="AD321" s="481"/>
    </row>
    <row r="322" spans="3:30" ht="10.5" customHeight="1">
      <c r="F322" s="506"/>
      <c r="G322" s="885" t="s">
        <v>1920</v>
      </c>
      <c r="H322" s="885" t="s">
        <v>1165</v>
      </c>
      <c r="I322" s="889" t="s">
        <v>96</v>
      </c>
      <c r="J322" s="889" t="s">
        <v>2489</v>
      </c>
      <c r="K322" s="887" t="s">
        <v>1131</v>
      </c>
      <c r="L322" s="888" t="s">
        <v>404</v>
      </c>
      <c r="M322" s="952" t="s">
        <v>2480</v>
      </c>
      <c r="N322" s="951" t="s">
        <v>1620</v>
      </c>
      <c r="O322" s="1066" t="s">
        <v>3796</v>
      </c>
      <c r="P322" s="504" t="s">
        <v>325</v>
      </c>
      <c r="Q322" s="287"/>
      <c r="R322" s="168"/>
      <c r="S322" s="380"/>
      <c r="T322" s="473" t="s">
        <v>718</v>
      </c>
      <c r="U322" s="473" t="s">
        <v>114</v>
      </c>
      <c r="W322" s="418" t="s">
        <v>3135</v>
      </c>
      <c r="X322" s="418" t="s">
        <v>3139</v>
      </c>
      <c r="AA322" s="27"/>
      <c r="AB322" s="27"/>
      <c r="AC322" s="809"/>
      <c r="AD322" s="481"/>
    </row>
    <row r="323" spans="3:30" ht="10.5" customHeight="1">
      <c r="F323" s="506"/>
      <c r="G323" s="885" t="s">
        <v>97</v>
      </c>
      <c r="H323" s="885" t="s">
        <v>1262</v>
      </c>
      <c r="I323" s="889" t="s">
        <v>98</v>
      </c>
      <c r="J323" s="889" t="s">
        <v>2489</v>
      </c>
      <c r="K323" s="887" t="s">
        <v>1132</v>
      </c>
      <c r="L323" s="888" t="s">
        <v>404</v>
      </c>
      <c r="M323" s="952" t="s">
        <v>2480</v>
      </c>
      <c r="N323" s="952" t="s">
        <v>1281</v>
      </c>
      <c r="O323" s="1066" t="s">
        <v>3797</v>
      </c>
      <c r="P323" s="504" t="s">
        <v>327</v>
      </c>
      <c r="Q323" s="287"/>
      <c r="R323" s="168"/>
      <c r="S323" s="380"/>
      <c r="T323" s="473" t="s">
        <v>34</v>
      </c>
      <c r="U323" s="473" t="s">
        <v>168</v>
      </c>
      <c r="W323" s="418" t="s">
        <v>496</v>
      </c>
      <c r="X323" s="418" t="s">
        <v>3139</v>
      </c>
      <c r="AA323" s="27"/>
      <c r="AB323" s="27"/>
      <c r="AC323" s="809"/>
      <c r="AD323" s="481"/>
    </row>
    <row r="324" spans="3:30" ht="10.5" customHeight="1">
      <c r="F324" s="506"/>
      <c r="G324" s="885" t="s">
        <v>99</v>
      </c>
      <c r="H324" s="885" t="s">
        <v>1165</v>
      </c>
      <c r="I324" s="889" t="s">
        <v>100</v>
      </c>
      <c r="J324" s="889" t="s">
        <v>2489</v>
      </c>
      <c r="K324" s="887" t="s">
        <v>1133</v>
      </c>
      <c r="L324" s="888" t="s">
        <v>404</v>
      </c>
      <c r="M324" s="952" t="s">
        <v>2480</v>
      </c>
      <c r="N324" s="952" t="s">
        <v>1271</v>
      </c>
      <c r="O324" s="1066" t="s">
        <v>3798</v>
      </c>
      <c r="P324" s="504" t="s">
        <v>329</v>
      </c>
      <c r="Q324" s="287"/>
      <c r="R324" s="168"/>
      <c r="S324" s="380"/>
      <c r="T324" s="473" t="s">
        <v>1877</v>
      </c>
      <c r="U324" s="473" t="s">
        <v>2143</v>
      </c>
      <c r="W324" s="418" t="s">
        <v>498</v>
      </c>
      <c r="X324" s="418" t="s">
        <v>3139</v>
      </c>
      <c r="AA324" s="27"/>
      <c r="AB324" s="27"/>
      <c r="AC324" s="809"/>
      <c r="AD324" s="481"/>
    </row>
    <row r="325" spans="3:30" ht="10.5" customHeight="1">
      <c r="F325" s="506"/>
      <c r="G325" s="885" t="s">
        <v>101</v>
      </c>
      <c r="H325" s="885" t="s">
        <v>1165</v>
      </c>
      <c r="I325" s="889" t="s">
        <v>102</v>
      </c>
      <c r="J325" s="889" t="s">
        <v>2489</v>
      </c>
      <c r="K325" s="887" t="s">
        <v>1134</v>
      </c>
      <c r="L325" s="888" t="s">
        <v>404</v>
      </c>
      <c r="M325" s="952" t="s">
        <v>2480</v>
      </c>
      <c r="N325" s="952" t="s">
        <v>1277</v>
      </c>
      <c r="O325" s="1066" t="s">
        <v>3799</v>
      </c>
      <c r="P325" s="504" t="s">
        <v>331</v>
      </c>
      <c r="Q325" s="287"/>
      <c r="R325" s="168"/>
      <c r="S325" s="380"/>
      <c r="T325" s="473" t="s">
        <v>1879</v>
      </c>
      <c r="U325" s="473" t="s">
        <v>2473</v>
      </c>
      <c r="W325" s="418" t="s">
        <v>504</v>
      </c>
      <c r="X325" s="418" t="s">
        <v>3139</v>
      </c>
      <c r="AA325" s="27"/>
      <c r="AB325" s="27"/>
      <c r="AC325" s="809"/>
      <c r="AD325" s="481"/>
    </row>
    <row r="326" spans="3:30" ht="10.5" customHeight="1">
      <c r="F326" s="506"/>
      <c r="G326" s="885" t="s">
        <v>103</v>
      </c>
      <c r="H326" s="885" t="s">
        <v>1165</v>
      </c>
      <c r="I326" s="889" t="s">
        <v>104</v>
      </c>
      <c r="J326" s="889" t="s">
        <v>2489</v>
      </c>
      <c r="K326" s="887" t="s">
        <v>1135</v>
      </c>
      <c r="L326" s="888" t="s">
        <v>404</v>
      </c>
      <c r="M326" s="952" t="s">
        <v>2480</v>
      </c>
      <c r="N326" s="952" t="s">
        <v>153</v>
      </c>
      <c r="O326" s="1066" t="s">
        <v>3800</v>
      </c>
      <c r="P326" s="504" t="s">
        <v>333</v>
      </c>
      <c r="Q326" s="287"/>
      <c r="R326" s="168"/>
      <c r="S326" s="380"/>
      <c r="T326" s="473" t="s">
        <v>324</v>
      </c>
      <c r="U326" s="473" t="s">
        <v>1862</v>
      </c>
      <c r="W326" s="418" t="s">
        <v>516</v>
      </c>
      <c r="X326" s="418" t="s">
        <v>3139</v>
      </c>
      <c r="AA326" s="27"/>
      <c r="AB326" s="27"/>
      <c r="AC326" s="809"/>
      <c r="AD326" s="481"/>
    </row>
    <row r="327" spans="3:30" ht="10.5" customHeight="1">
      <c r="F327" s="506"/>
      <c r="G327" s="885" t="s">
        <v>105</v>
      </c>
      <c r="H327" s="885" t="s">
        <v>1165</v>
      </c>
      <c r="I327" s="889" t="s">
        <v>106</v>
      </c>
      <c r="J327" s="889" t="s">
        <v>2489</v>
      </c>
      <c r="K327" s="887" t="s">
        <v>2253</v>
      </c>
      <c r="L327" s="888" t="s">
        <v>404</v>
      </c>
      <c r="M327" s="952" t="s">
        <v>2480</v>
      </c>
      <c r="N327" s="952" t="s">
        <v>1271</v>
      </c>
      <c r="O327" s="1066" t="s">
        <v>3801</v>
      </c>
      <c r="P327" s="504" t="s">
        <v>1852</v>
      </c>
      <c r="Q327" s="287"/>
      <c r="R327" s="168"/>
      <c r="S327" s="380"/>
      <c r="T327" s="473" t="s">
        <v>326</v>
      </c>
      <c r="U327" s="473" t="s">
        <v>840</v>
      </c>
      <c r="W327" s="418" t="s">
        <v>1569</v>
      </c>
      <c r="X327" s="418" t="s">
        <v>3139</v>
      </c>
      <c r="AA327" s="27"/>
      <c r="AB327" s="27"/>
      <c r="AC327" s="809"/>
      <c r="AD327" s="481"/>
    </row>
    <row r="328" spans="3:30" ht="10.5" customHeight="1">
      <c r="F328" s="506"/>
      <c r="G328" s="885" t="s">
        <v>107</v>
      </c>
      <c r="H328" s="885" t="s">
        <v>1262</v>
      </c>
      <c r="I328" s="889" t="s">
        <v>108</v>
      </c>
      <c r="J328" s="889" t="s">
        <v>2489</v>
      </c>
      <c r="K328" s="887" t="s">
        <v>2254</v>
      </c>
      <c r="L328" s="888" t="s">
        <v>404</v>
      </c>
      <c r="M328" s="952" t="s">
        <v>2480</v>
      </c>
      <c r="N328" s="952" t="s">
        <v>158</v>
      </c>
      <c r="O328" s="1066" t="s">
        <v>3802</v>
      </c>
      <c r="P328" s="504" t="s">
        <v>1854</v>
      </c>
      <c r="Q328" s="287"/>
      <c r="R328" s="168"/>
      <c r="S328" s="380"/>
      <c r="T328" s="473" t="s">
        <v>328</v>
      </c>
      <c r="U328" s="473" t="s">
        <v>171</v>
      </c>
      <c r="W328" s="418" t="s">
        <v>2004</v>
      </c>
      <c r="X328" s="418" t="s">
        <v>3139</v>
      </c>
      <c r="AA328" s="27"/>
      <c r="AB328" s="27"/>
      <c r="AC328" s="809"/>
      <c r="AD328" s="481"/>
    </row>
    <row r="329" spans="3:30" ht="10.5" customHeight="1">
      <c r="F329" s="506"/>
      <c r="G329" s="885" t="s">
        <v>1862</v>
      </c>
      <c r="H329" s="885" t="s">
        <v>1262</v>
      </c>
      <c r="I329" s="886" t="s">
        <v>324</v>
      </c>
      <c r="J329" s="889" t="s">
        <v>2490</v>
      </c>
      <c r="K329" s="887" t="s">
        <v>2255</v>
      </c>
      <c r="L329" s="888" t="s">
        <v>405</v>
      </c>
      <c r="M329" s="952" t="s">
        <v>1150</v>
      </c>
      <c r="N329" s="952" t="s">
        <v>1460</v>
      </c>
      <c r="O329" s="1066" t="s">
        <v>3803</v>
      </c>
      <c r="P329" s="504" t="s">
        <v>2061</v>
      </c>
      <c r="Q329" s="287"/>
      <c r="R329" s="168"/>
      <c r="S329" s="380"/>
      <c r="T329" s="505" t="s">
        <v>330</v>
      </c>
      <c r="U329" s="505" t="s">
        <v>2290</v>
      </c>
      <c r="W329" s="418" t="s">
        <v>3136</v>
      </c>
      <c r="X329" s="418" t="s">
        <v>3139</v>
      </c>
      <c r="AA329" s="27"/>
      <c r="AB329" s="27"/>
      <c r="AC329" s="809"/>
      <c r="AD329" s="481"/>
    </row>
    <row r="330" spans="3:30" ht="10.5" customHeight="1">
      <c r="F330" s="506"/>
      <c r="G330" s="885" t="s">
        <v>1863</v>
      </c>
      <c r="H330" s="885" t="s">
        <v>1165</v>
      </c>
      <c r="I330" s="889" t="s">
        <v>2287</v>
      </c>
      <c r="J330" s="886" t="s">
        <v>2489</v>
      </c>
      <c r="K330" s="887" t="s">
        <v>2256</v>
      </c>
      <c r="L330" s="888" t="s">
        <v>404</v>
      </c>
      <c r="M330" s="952" t="s">
        <v>2480</v>
      </c>
      <c r="N330" s="952" t="s">
        <v>1702</v>
      </c>
      <c r="O330" s="1066" t="s">
        <v>3804</v>
      </c>
      <c r="P330" s="504" t="s">
        <v>145</v>
      </c>
      <c r="Q330" s="287"/>
      <c r="R330" s="168"/>
      <c r="S330" s="380"/>
      <c r="T330" s="473" t="s">
        <v>332</v>
      </c>
      <c r="U330" s="473" t="s">
        <v>1790</v>
      </c>
      <c r="W330" s="418" t="s">
        <v>2147</v>
      </c>
      <c r="X330" s="418" t="s">
        <v>3139</v>
      </c>
      <c r="AA330" s="27"/>
      <c r="AB330" s="27"/>
      <c r="AC330" s="810"/>
      <c r="AD330" s="481"/>
    </row>
    <row r="331" spans="3:30" ht="10.5" customHeight="1">
      <c r="F331" s="506"/>
      <c r="G331" s="885" t="s">
        <v>2288</v>
      </c>
      <c r="H331" s="885" t="s">
        <v>1262</v>
      </c>
      <c r="I331" s="889" t="s">
        <v>2289</v>
      </c>
      <c r="J331" s="889" t="s">
        <v>2489</v>
      </c>
      <c r="K331" s="887" t="s">
        <v>402</v>
      </c>
      <c r="L331" s="888" t="s">
        <v>404</v>
      </c>
      <c r="M331" s="952" t="s">
        <v>2480</v>
      </c>
      <c r="N331" s="952" t="s">
        <v>1281</v>
      </c>
      <c r="O331" s="1066" t="s">
        <v>3805</v>
      </c>
      <c r="P331" s="504" t="s">
        <v>146</v>
      </c>
      <c r="Q331" s="287"/>
      <c r="R331" s="168"/>
      <c r="S331" s="380"/>
      <c r="T331" s="473" t="s">
        <v>334</v>
      </c>
      <c r="U331" s="473" t="s">
        <v>167</v>
      </c>
      <c r="W331" s="418" t="s">
        <v>380</v>
      </c>
      <c r="X331" s="418" t="s">
        <v>3139</v>
      </c>
      <c r="AA331" s="27"/>
      <c r="AB331" s="27"/>
      <c r="AC331" s="809"/>
      <c r="AD331" s="481"/>
    </row>
    <row r="332" spans="3:30" ht="10.5" customHeight="1">
      <c r="F332" s="506"/>
      <c r="G332" s="885" t="s">
        <v>2290</v>
      </c>
      <c r="H332" s="885" t="s">
        <v>1165</v>
      </c>
      <c r="I332" s="889" t="s">
        <v>2291</v>
      </c>
      <c r="J332" s="889" t="s">
        <v>2489</v>
      </c>
      <c r="K332" s="887" t="s">
        <v>403</v>
      </c>
      <c r="L332" s="888" t="s">
        <v>404</v>
      </c>
      <c r="M332" s="952" t="s">
        <v>2480</v>
      </c>
      <c r="N332" s="952" t="s">
        <v>1271</v>
      </c>
      <c r="O332" s="1066" t="s">
        <v>3806</v>
      </c>
      <c r="P332" s="504" t="s">
        <v>1516</v>
      </c>
      <c r="Q332" s="287"/>
      <c r="R332" s="168"/>
      <c r="S332" s="380"/>
      <c r="T332" s="473" t="s">
        <v>1853</v>
      </c>
      <c r="U332" s="473" t="s">
        <v>99</v>
      </c>
      <c r="W332" s="418" t="s">
        <v>1755</v>
      </c>
      <c r="X332" s="418" t="s">
        <v>3139</v>
      </c>
      <c r="AA332" s="27"/>
      <c r="AB332" s="27"/>
      <c r="AC332" s="809"/>
      <c r="AD332" s="481"/>
    </row>
    <row r="333" spans="3:30" ht="10.5" customHeight="1">
      <c r="F333" s="325"/>
      <c r="G333" s="885" t="s">
        <v>2292</v>
      </c>
      <c r="H333" s="885" t="s">
        <v>1165</v>
      </c>
      <c r="I333" s="889" t="s">
        <v>1702</v>
      </c>
      <c r="J333" s="889" t="s">
        <v>2490</v>
      </c>
      <c r="K333" s="887" t="s">
        <v>1119</v>
      </c>
      <c r="L333" s="888" t="s">
        <v>405</v>
      </c>
      <c r="M333" s="951" t="s">
        <v>2480</v>
      </c>
      <c r="N333" s="952" t="s">
        <v>1702</v>
      </c>
      <c r="O333" s="1066" t="s">
        <v>3807</v>
      </c>
      <c r="P333" s="504" t="s">
        <v>758</v>
      </c>
      <c r="Q333" s="287"/>
      <c r="R333" s="168"/>
      <c r="S333" s="380"/>
      <c r="T333" s="473" t="s">
        <v>187</v>
      </c>
      <c r="U333" s="473" t="s">
        <v>1592</v>
      </c>
      <c r="W333" s="418" t="s">
        <v>2170</v>
      </c>
      <c r="X333" s="418" t="s">
        <v>3139</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2062</v>
      </c>
      <c r="U334" s="473" t="s">
        <v>187</v>
      </c>
      <c r="W334" s="418" t="s">
        <v>534</v>
      </c>
      <c r="X334" s="418" t="s">
        <v>3139</v>
      </c>
      <c r="AA334" s="27"/>
      <c r="AB334" s="27"/>
      <c r="AC334" s="809"/>
      <c r="AD334" s="481"/>
    </row>
    <row r="335" spans="3:30" ht="10.5" customHeight="1">
      <c r="C335" s="4793">
        <v>2019</v>
      </c>
      <c r="D335" s="4794"/>
      <c r="E335" s="4794"/>
      <c r="F335" s="4794"/>
      <c r="G335" s="4793">
        <v>2020</v>
      </c>
      <c r="H335" s="4793"/>
      <c r="I335" s="4793"/>
      <c r="J335" s="4793"/>
      <c r="K335"/>
      <c r="L335" s="4795" t="s">
        <v>4266</v>
      </c>
      <c r="M335" s="4796"/>
      <c r="N335" s="4796"/>
      <c r="O335" s="4797"/>
      <c r="P335" s="504" t="s">
        <v>762</v>
      </c>
      <c r="Q335" s="287"/>
      <c r="R335" s="168"/>
      <c r="S335" s="380"/>
      <c r="T335" s="505" t="s">
        <v>659</v>
      </c>
      <c r="U335" s="505" t="s">
        <v>2083</v>
      </c>
      <c r="W335" s="418" t="s">
        <v>1395</v>
      </c>
      <c r="X335" s="418" t="s">
        <v>3139</v>
      </c>
      <c r="AA335" s="27"/>
      <c r="AB335" s="27"/>
      <c r="AC335" s="809"/>
      <c r="AD335" s="481"/>
    </row>
    <row r="336" spans="3:30" ht="10.5" customHeight="1">
      <c r="C336" s="4798" t="s">
        <v>4166</v>
      </c>
      <c r="D336" s="4799" t="s">
        <v>4167</v>
      </c>
      <c r="E336" s="4799" t="s">
        <v>4168</v>
      </c>
      <c r="F336" s="4799" t="s">
        <v>4169</v>
      </c>
      <c r="G336" s="4798" t="s">
        <v>4166</v>
      </c>
      <c r="H336" s="4799" t="s">
        <v>4167</v>
      </c>
      <c r="I336" s="4799" t="s">
        <v>4168</v>
      </c>
      <c r="J336" s="4799" t="s">
        <v>4169</v>
      </c>
      <c r="K336"/>
      <c r="L336" s="4798" t="s">
        <v>4166</v>
      </c>
      <c r="M336" s="4799" t="s">
        <v>4167</v>
      </c>
      <c r="N336" s="4799" t="s">
        <v>4168</v>
      </c>
      <c r="O336" s="4799" t="s">
        <v>4169</v>
      </c>
      <c r="P336" s="504" t="s">
        <v>2312</v>
      </c>
      <c r="Q336" s="287"/>
      <c r="R336" s="168"/>
      <c r="S336" s="380"/>
      <c r="T336" s="473" t="s">
        <v>147</v>
      </c>
      <c r="U336" s="473" t="s">
        <v>1789</v>
      </c>
      <c r="W336" s="418" t="s">
        <v>1518</v>
      </c>
      <c r="X336" s="418" t="s">
        <v>3139</v>
      </c>
      <c r="AA336" s="27"/>
      <c r="AB336" s="27"/>
      <c r="AC336" s="810"/>
      <c r="AD336" s="481"/>
    </row>
    <row r="337" spans="3:30" ht="10.5" customHeight="1">
      <c r="C337" s="4798"/>
      <c r="D337" s="4799"/>
      <c r="E337" s="4799"/>
      <c r="F337" s="4799"/>
      <c r="G337" s="4798"/>
      <c r="H337" s="4799"/>
      <c r="I337" s="4799"/>
      <c r="J337" s="4799"/>
      <c r="K337"/>
      <c r="L337" s="4798"/>
      <c r="M337" s="4799"/>
      <c r="N337" s="4799"/>
      <c r="O337" s="4799"/>
      <c r="P337" s="504" t="s">
        <v>2313</v>
      </c>
      <c r="Q337" s="287"/>
      <c r="R337" s="168"/>
      <c r="S337" s="380"/>
      <c r="T337" s="473" t="s">
        <v>188</v>
      </c>
      <c r="U337" s="473" t="s">
        <v>598</v>
      </c>
      <c r="W337" s="418" t="s">
        <v>2027</v>
      </c>
      <c r="X337" s="418" t="s">
        <v>3139</v>
      </c>
      <c r="AA337" s="27"/>
      <c r="AB337" s="27"/>
      <c r="AC337" s="809"/>
      <c r="AD337" s="481"/>
    </row>
    <row r="338" spans="3:30" ht="10.5" customHeight="1">
      <c r="C338" s="4798"/>
      <c r="D338" s="4799"/>
      <c r="E338" s="4799"/>
      <c r="F338" s="4799"/>
      <c r="G338" s="4798"/>
      <c r="H338" s="4799"/>
      <c r="I338" s="4799"/>
      <c r="J338" s="4799"/>
      <c r="K338"/>
      <c r="L338" s="4798"/>
      <c r="M338" s="4799"/>
      <c r="N338" s="4799"/>
      <c r="O338" s="4799"/>
      <c r="P338" s="504" t="s">
        <v>2315</v>
      </c>
      <c r="Q338" s="287"/>
      <c r="R338" s="168"/>
      <c r="S338" s="380"/>
      <c r="T338" s="473" t="s">
        <v>2450</v>
      </c>
      <c r="U338" s="473" t="s">
        <v>1920</v>
      </c>
      <c r="W338" s="418" t="s">
        <v>2029</v>
      </c>
      <c r="X338" s="418" t="s">
        <v>3139</v>
      </c>
      <c r="AA338" s="27"/>
      <c r="AB338" s="27"/>
      <c r="AC338" s="809"/>
      <c r="AD338" s="481"/>
    </row>
    <row r="339" spans="3:30" ht="10.5" customHeight="1">
      <c r="C339" s="4798"/>
      <c r="D339" s="4799"/>
      <c r="E339" s="4799"/>
      <c r="F339" s="4799"/>
      <c r="G339" s="4798"/>
      <c r="H339" s="4799"/>
      <c r="I339" s="4799"/>
      <c r="J339" s="4799"/>
      <c r="K339"/>
      <c r="L339" s="4798"/>
      <c r="M339" s="4799"/>
      <c r="N339" s="4799"/>
      <c r="O339" s="4799"/>
      <c r="P339" s="504" t="s">
        <v>2317</v>
      </c>
      <c r="Q339" s="287"/>
      <c r="R339" s="168"/>
      <c r="S339" s="380"/>
      <c r="T339" s="473" t="s">
        <v>759</v>
      </c>
      <c r="U339" s="473" t="s">
        <v>99</v>
      </c>
      <c r="W339" s="418" t="s">
        <v>1386</v>
      </c>
      <c r="X339" s="418" t="s">
        <v>3139</v>
      </c>
      <c r="AA339" s="27"/>
      <c r="AB339" s="27"/>
      <c r="AC339" s="809"/>
      <c r="AD339" s="481"/>
    </row>
    <row r="340" spans="3:30" ht="10.5" customHeight="1">
      <c r="C340" s="4798"/>
      <c r="D340" s="4799"/>
      <c r="E340" s="4799"/>
      <c r="F340" s="4799"/>
      <c r="G340" s="4798"/>
      <c r="H340" s="4799"/>
      <c r="I340" s="4799"/>
      <c r="J340" s="4799"/>
      <c r="K340"/>
      <c r="L340" s="4798"/>
      <c r="M340" s="4799"/>
      <c r="N340" s="4799"/>
      <c r="O340" s="4799"/>
      <c r="P340" s="504" t="s">
        <v>2318</v>
      </c>
      <c r="Q340" s="287"/>
      <c r="R340" s="168"/>
      <c r="S340" s="380"/>
      <c r="T340" s="473" t="s">
        <v>761</v>
      </c>
      <c r="U340" s="473" t="s">
        <v>115</v>
      </c>
      <c r="W340" s="418" t="s">
        <v>1492</v>
      </c>
      <c r="X340" s="418" t="s">
        <v>3139</v>
      </c>
      <c r="AA340" s="27"/>
      <c r="AB340" s="27"/>
      <c r="AC340" s="809"/>
      <c r="AD340" s="481"/>
    </row>
    <row r="341" spans="3:30" ht="10.5" customHeight="1">
      <c r="C341" s="4798"/>
      <c r="D341" s="4799"/>
      <c r="E341" s="4799"/>
      <c r="F341" s="4799"/>
      <c r="G341" s="4798"/>
      <c r="H341" s="4799"/>
      <c r="I341" s="4799"/>
      <c r="J341" s="4799"/>
      <c r="K341"/>
      <c r="L341" s="4798"/>
      <c r="M341" s="4799"/>
      <c r="N341" s="4799"/>
      <c r="O341" s="4799"/>
      <c r="P341" s="504" t="s">
        <v>365</v>
      </c>
      <c r="Q341" s="287"/>
      <c r="R341" s="168"/>
      <c r="S341" s="380"/>
      <c r="T341" s="473" t="s">
        <v>763</v>
      </c>
      <c r="U341" s="473" t="s">
        <v>315</v>
      </c>
      <c r="W341" s="418" t="s">
        <v>1139</v>
      </c>
      <c r="X341" s="418" t="s">
        <v>3139</v>
      </c>
      <c r="AA341" s="27"/>
      <c r="AB341" s="27"/>
      <c r="AC341" s="809"/>
      <c r="AD341" s="481"/>
    </row>
    <row r="342" spans="3:30" ht="10.5" customHeight="1">
      <c r="C342" s="1522">
        <v>13001950100</v>
      </c>
      <c r="D342" s="1523">
        <v>0</v>
      </c>
      <c r="E342" s="1523">
        <v>1</v>
      </c>
      <c r="F342" s="1524">
        <v>1</v>
      </c>
      <c r="G342" s="1534" t="s">
        <v>4251</v>
      </c>
      <c r="H342" s="1535">
        <v>0</v>
      </c>
      <c r="I342" s="1535">
        <v>0</v>
      </c>
      <c r="J342" s="1536">
        <v>0</v>
      </c>
      <c r="K342" s="1525"/>
      <c r="L342" s="1517" t="s">
        <v>4251</v>
      </c>
      <c r="M342" s="1518">
        <v>0</v>
      </c>
      <c r="N342" s="1518">
        <v>1</v>
      </c>
      <c r="O342" s="1518">
        <v>1</v>
      </c>
      <c r="P342" s="504" t="s">
        <v>42</v>
      </c>
      <c r="Q342" s="287"/>
      <c r="R342" s="168"/>
      <c r="S342" s="380"/>
      <c r="T342" s="505" t="s">
        <v>2647</v>
      </c>
      <c r="U342" s="505" t="s">
        <v>844</v>
      </c>
      <c r="W342" s="418" t="s">
        <v>1671</v>
      </c>
      <c r="X342" s="418" t="s">
        <v>3139</v>
      </c>
      <c r="AA342" s="27"/>
      <c r="AB342" s="27"/>
      <c r="AC342" s="809"/>
      <c r="AD342" s="481"/>
    </row>
    <row r="343" spans="3:30" ht="10.5" customHeight="1">
      <c r="C343" s="1526" t="s">
        <v>4304</v>
      </c>
      <c r="D343" s="1523">
        <v>0</v>
      </c>
      <c r="E343" s="1523">
        <v>0</v>
      </c>
      <c r="F343" s="1524">
        <v>0</v>
      </c>
      <c r="G343" s="1537" t="s">
        <v>4304</v>
      </c>
      <c r="H343" s="1521">
        <v>0</v>
      </c>
      <c r="I343" s="1521">
        <v>0</v>
      </c>
      <c r="J343" s="1538">
        <v>0</v>
      </c>
      <c r="K343" s="1525"/>
      <c r="L343" s="1519">
        <v>13001950200</v>
      </c>
      <c r="M343" s="1520">
        <v>0</v>
      </c>
      <c r="N343" s="1520">
        <v>0</v>
      </c>
      <c r="O343" s="1520">
        <v>0</v>
      </c>
      <c r="P343" s="504" t="s">
        <v>44</v>
      </c>
      <c r="Q343" s="287"/>
      <c r="R343" s="168"/>
      <c r="S343" s="380"/>
      <c r="T343" s="473" t="s">
        <v>2314</v>
      </c>
      <c r="U343" s="473" t="s">
        <v>1397</v>
      </c>
      <c r="W343" s="418" t="s">
        <v>1731</v>
      </c>
      <c r="X343" s="418" t="s">
        <v>3139</v>
      </c>
      <c r="AA343" s="27"/>
      <c r="AB343" s="27"/>
      <c r="AC343" s="810"/>
      <c r="AD343" s="481"/>
    </row>
    <row r="344" spans="3:30" ht="10.5" customHeight="1">
      <c r="C344" s="1526" t="s">
        <v>4305</v>
      </c>
      <c r="D344" s="1523">
        <v>0</v>
      </c>
      <c r="E344" s="1523">
        <v>0</v>
      </c>
      <c r="F344" s="1524">
        <v>0</v>
      </c>
      <c r="G344" s="1537" t="s">
        <v>4305</v>
      </c>
      <c r="H344" s="1521">
        <v>0</v>
      </c>
      <c r="I344" s="1521">
        <v>0</v>
      </c>
      <c r="J344" s="1538">
        <v>0</v>
      </c>
      <c r="K344" s="1525"/>
      <c r="L344" s="1519">
        <v>13001950300</v>
      </c>
      <c r="M344" s="1520">
        <v>0</v>
      </c>
      <c r="N344" s="1520">
        <v>0</v>
      </c>
      <c r="O344" s="1520">
        <v>0</v>
      </c>
      <c r="P344" s="504" t="s">
        <v>1834</v>
      </c>
      <c r="Q344" s="287"/>
      <c r="R344" s="168"/>
      <c r="S344" s="380"/>
      <c r="T344" s="473" t="s">
        <v>2316</v>
      </c>
      <c r="U344" s="473" t="s">
        <v>1065</v>
      </c>
      <c r="W344" s="418" t="s">
        <v>1063</v>
      </c>
      <c r="X344" s="418" t="s">
        <v>3139</v>
      </c>
      <c r="AA344" s="27"/>
      <c r="AB344" s="27"/>
      <c r="AC344" s="809"/>
      <c r="AD344" s="481"/>
    </row>
    <row r="345" spans="3:30" ht="10.5" customHeight="1">
      <c r="C345" s="1526" t="s">
        <v>4306</v>
      </c>
      <c r="D345" s="1523">
        <v>0</v>
      </c>
      <c r="E345" s="1523">
        <v>0</v>
      </c>
      <c r="F345" s="1524">
        <v>0</v>
      </c>
      <c r="G345" s="1537" t="s">
        <v>4306</v>
      </c>
      <c r="H345" s="1521">
        <v>0</v>
      </c>
      <c r="I345" s="1521">
        <v>0</v>
      </c>
      <c r="J345" s="1538">
        <v>0</v>
      </c>
      <c r="K345" s="1525"/>
      <c r="L345" s="1519">
        <v>13001950400</v>
      </c>
      <c r="M345" s="1520">
        <v>0</v>
      </c>
      <c r="N345" s="1520">
        <v>0</v>
      </c>
      <c r="O345" s="1520">
        <v>0</v>
      </c>
      <c r="P345" s="504" t="s">
        <v>1835</v>
      </c>
      <c r="Q345" s="287"/>
      <c r="R345" s="168"/>
      <c r="S345" s="380"/>
      <c r="T345" s="473" t="s">
        <v>2451</v>
      </c>
      <c r="U345" s="473" t="s">
        <v>636</v>
      </c>
      <c r="W345" s="418" t="s">
        <v>3137</v>
      </c>
      <c r="X345" s="418" t="s">
        <v>3139</v>
      </c>
      <c r="AA345" s="27"/>
      <c r="AB345" s="27"/>
      <c r="AC345" s="809"/>
      <c r="AD345" s="481"/>
    </row>
    <row r="346" spans="3:30" ht="10.5" customHeight="1">
      <c r="C346" s="1526" t="s">
        <v>4307</v>
      </c>
      <c r="D346" s="1523">
        <v>0</v>
      </c>
      <c r="E346" s="1523">
        <v>0</v>
      </c>
      <c r="F346" s="1524">
        <v>0</v>
      </c>
      <c r="G346" s="1537" t="s">
        <v>4307</v>
      </c>
      <c r="H346" s="1521">
        <v>0</v>
      </c>
      <c r="I346" s="1521">
        <v>0</v>
      </c>
      <c r="J346" s="1538">
        <v>0</v>
      </c>
      <c r="K346" s="1525"/>
      <c r="L346" s="1519">
        <v>13001950500</v>
      </c>
      <c r="M346" s="1520">
        <v>0</v>
      </c>
      <c r="N346" s="1520">
        <v>0</v>
      </c>
      <c r="O346" s="1520">
        <v>0</v>
      </c>
      <c r="P346" s="504" t="s">
        <v>1837</v>
      </c>
      <c r="Q346" s="287"/>
      <c r="R346" s="168"/>
      <c r="S346" s="380"/>
      <c r="T346" s="507" t="s">
        <v>364</v>
      </c>
      <c r="U346" s="473" t="s">
        <v>2378</v>
      </c>
      <c r="W346" s="418" t="s">
        <v>2051</v>
      </c>
      <c r="X346" s="418" t="s">
        <v>3139</v>
      </c>
      <c r="AA346" s="27"/>
      <c r="AB346" s="27"/>
      <c r="AC346" s="809"/>
      <c r="AD346" s="481"/>
    </row>
    <row r="347" spans="3:30" ht="10.5" customHeight="1">
      <c r="C347" s="1526" t="s">
        <v>4308</v>
      </c>
      <c r="D347" s="1523">
        <v>0</v>
      </c>
      <c r="E347" s="1523">
        <v>0</v>
      </c>
      <c r="F347" s="1524">
        <v>0</v>
      </c>
      <c r="G347" s="1537" t="s">
        <v>4308</v>
      </c>
      <c r="H347" s="1521">
        <v>0</v>
      </c>
      <c r="I347" s="1521">
        <v>0</v>
      </c>
      <c r="J347" s="1538">
        <v>0</v>
      </c>
      <c r="K347" s="1525"/>
      <c r="L347" s="1519">
        <v>13003960100</v>
      </c>
      <c r="M347" s="1520">
        <v>0</v>
      </c>
      <c r="N347" s="1520">
        <v>0</v>
      </c>
      <c r="O347" s="1520">
        <v>0</v>
      </c>
      <c r="P347" s="504" t="s">
        <v>1838</v>
      </c>
      <c r="Q347" s="287"/>
      <c r="R347" s="168"/>
      <c r="S347" s="380"/>
      <c r="T347" s="473" t="s">
        <v>366</v>
      </c>
      <c r="U347" s="473" t="s">
        <v>2076</v>
      </c>
      <c r="W347" s="418" t="s">
        <v>1458</v>
      </c>
      <c r="X347" s="418" t="s">
        <v>3139</v>
      </c>
      <c r="AA347" s="27"/>
      <c r="AB347" s="27"/>
      <c r="AC347" s="811"/>
      <c r="AD347" s="481"/>
    </row>
    <row r="348" spans="3:30" ht="10.5" customHeight="1">
      <c r="C348" s="1526" t="s">
        <v>4309</v>
      </c>
      <c r="D348" s="1523">
        <v>0</v>
      </c>
      <c r="E348" s="1523">
        <v>0</v>
      </c>
      <c r="F348" s="1524">
        <v>0</v>
      </c>
      <c r="G348" s="1537" t="s">
        <v>4309</v>
      </c>
      <c r="H348" s="1521">
        <v>0</v>
      </c>
      <c r="I348" s="1521">
        <v>0</v>
      </c>
      <c r="J348" s="1538">
        <v>0</v>
      </c>
      <c r="K348" s="1525"/>
      <c r="L348" s="1519">
        <v>13003960200</v>
      </c>
      <c r="M348" s="1520">
        <v>0</v>
      </c>
      <c r="N348" s="1520">
        <v>0</v>
      </c>
      <c r="O348" s="1520">
        <v>0</v>
      </c>
      <c r="P348" s="504" t="s">
        <v>1839</v>
      </c>
      <c r="Q348" s="287"/>
      <c r="R348" s="168"/>
      <c r="S348" s="380"/>
      <c r="T348" s="473" t="s">
        <v>43</v>
      </c>
      <c r="U348" s="473" t="s">
        <v>917</v>
      </c>
      <c r="W348" s="418" t="s">
        <v>58</v>
      </c>
      <c r="X348" s="418" t="s">
        <v>3139</v>
      </c>
      <c r="AA348" s="27"/>
      <c r="AB348" s="27"/>
      <c r="AC348" s="809"/>
      <c r="AD348" s="481"/>
    </row>
    <row r="349" spans="3:30" ht="10.5" customHeight="1">
      <c r="C349" s="1526" t="s">
        <v>4310</v>
      </c>
      <c r="D349" s="1523">
        <v>0</v>
      </c>
      <c r="E349" s="1523">
        <v>0</v>
      </c>
      <c r="F349" s="1524">
        <v>0</v>
      </c>
      <c r="G349" s="1537" t="s">
        <v>4310</v>
      </c>
      <c r="H349" s="1521">
        <v>0</v>
      </c>
      <c r="I349" s="1521">
        <v>0</v>
      </c>
      <c r="J349" s="1538">
        <v>0</v>
      </c>
      <c r="K349" s="1525"/>
      <c r="L349" s="1519">
        <v>13003960300</v>
      </c>
      <c r="M349" s="1520">
        <v>0</v>
      </c>
      <c r="N349" s="1520">
        <v>0</v>
      </c>
      <c r="O349" s="1520">
        <v>0</v>
      </c>
      <c r="P349" s="504" t="s">
        <v>1841</v>
      </c>
      <c r="Q349" s="287"/>
      <c r="R349" s="168"/>
      <c r="S349" s="380"/>
      <c r="T349" s="473" t="s">
        <v>45</v>
      </c>
      <c r="U349" s="473" t="s">
        <v>598</v>
      </c>
      <c r="W349" s="418" t="s">
        <v>62</v>
      </c>
      <c r="X349" s="418" t="s">
        <v>3139</v>
      </c>
      <c r="AA349" s="27"/>
      <c r="AB349" s="27"/>
      <c r="AC349" s="809"/>
      <c r="AD349" s="481"/>
    </row>
    <row r="350" spans="3:30" ht="10.5" customHeight="1">
      <c r="C350" s="1526" t="s">
        <v>4311</v>
      </c>
      <c r="D350" s="1523">
        <v>1</v>
      </c>
      <c r="E350" s="1523">
        <v>0</v>
      </c>
      <c r="F350" s="1524">
        <v>1</v>
      </c>
      <c r="G350" s="1537" t="s">
        <v>4311</v>
      </c>
      <c r="H350" s="1521">
        <v>0</v>
      </c>
      <c r="I350" s="1521">
        <v>0</v>
      </c>
      <c r="J350" s="1538">
        <v>0</v>
      </c>
      <c r="K350" s="1525"/>
      <c r="L350" s="1519">
        <v>13005970100</v>
      </c>
      <c r="M350" s="1520">
        <v>1</v>
      </c>
      <c r="N350" s="1520">
        <v>0</v>
      </c>
      <c r="O350" s="1520">
        <v>1</v>
      </c>
      <c r="P350" s="504" t="s">
        <v>686</v>
      </c>
      <c r="Q350" s="287"/>
      <c r="R350" s="168"/>
      <c r="S350" s="380"/>
      <c r="T350" s="505" t="s">
        <v>839</v>
      </c>
      <c r="U350" s="505" t="s">
        <v>2376</v>
      </c>
      <c r="W350" s="418" t="s">
        <v>64</v>
      </c>
      <c r="X350" s="418" t="s">
        <v>3139</v>
      </c>
      <c r="AA350" s="27"/>
      <c r="AB350" s="27"/>
      <c r="AC350" s="809"/>
      <c r="AD350" s="481"/>
    </row>
    <row r="351" spans="3:30" ht="10.5" customHeight="1">
      <c r="C351" s="1526" t="s">
        <v>4312</v>
      </c>
      <c r="D351" s="1523">
        <v>0</v>
      </c>
      <c r="E351" s="1523">
        <v>0</v>
      </c>
      <c r="F351" s="1524">
        <v>0</v>
      </c>
      <c r="G351" s="1537" t="s">
        <v>4312</v>
      </c>
      <c r="H351" s="1521">
        <v>0</v>
      </c>
      <c r="I351" s="1521">
        <v>0</v>
      </c>
      <c r="J351" s="1538">
        <v>0</v>
      </c>
      <c r="K351" s="1525"/>
      <c r="L351" s="1519">
        <v>13005970201</v>
      </c>
      <c r="M351" s="1520">
        <v>0</v>
      </c>
      <c r="N351" s="1520">
        <v>0</v>
      </c>
      <c r="O351" s="1520">
        <v>0</v>
      </c>
      <c r="P351" s="504" t="s">
        <v>1097</v>
      </c>
      <c r="Q351" s="287"/>
      <c r="R351" s="168"/>
      <c r="S351" s="380"/>
      <c r="T351" s="505" t="s">
        <v>1836</v>
      </c>
      <c r="U351" s="505" t="s">
        <v>839</v>
      </c>
      <c r="W351" s="418" t="s">
        <v>745</v>
      </c>
      <c r="X351" s="418" t="s">
        <v>3139</v>
      </c>
      <c r="AA351" s="27"/>
      <c r="AB351" s="27"/>
      <c r="AC351" s="810"/>
      <c r="AD351" s="481"/>
    </row>
    <row r="352" spans="3:30" ht="10.5" customHeight="1">
      <c r="C352" s="1526" t="s">
        <v>4313</v>
      </c>
      <c r="D352" s="1523">
        <v>0</v>
      </c>
      <c r="E352" s="1523">
        <v>0</v>
      </c>
      <c r="F352" s="1524">
        <v>0</v>
      </c>
      <c r="G352" s="1537" t="s">
        <v>4313</v>
      </c>
      <c r="H352" s="1521">
        <v>0</v>
      </c>
      <c r="I352" s="1521">
        <v>0</v>
      </c>
      <c r="J352" s="1538">
        <v>0</v>
      </c>
      <c r="K352" s="1525"/>
      <c r="L352" s="1519">
        <v>13005970202</v>
      </c>
      <c r="M352" s="1520">
        <v>0</v>
      </c>
      <c r="N352" s="1520">
        <v>0</v>
      </c>
      <c r="O352" s="1520">
        <v>0</v>
      </c>
      <c r="P352" s="504" t="s">
        <v>1099</v>
      </c>
      <c r="Q352" s="287"/>
      <c r="R352" s="168"/>
      <c r="S352" s="380"/>
      <c r="T352" s="473" t="s">
        <v>2452</v>
      </c>
      <c r="U352" s="473" t="s">
        <v>598</v>
      </c>
      <c r="W352" s="418" t="s">
        <v>906</v>
      </c>
      <c r="X352" s="418" t="s">
        <v>3139</v>
      </c>
      <c r="AA352" s="27"/>
      <c r="AB352" s="27"/>
      <c r="AC352" s="810"/>
      <c r="AD352" s="481"/>
    </row>
    <row r="353" spans="3:30" ht="10.5" customHeight="1">
      <c r="C353" s="1526" t="s">
        <v>4314</v>
      </c>
      <c r="D353" s="1523">
        <v>0</v>
      </c>
      <c r="E353" s="1523">
        <v>0</v>
      </c>
      <c r="F353" s="1524">
        <v>0</v>
      </c>
      <c r="G353" s="1537" t="s">
        <v>4314</v>
      </c>
      <c r="H353" s="1521">
        <v>0</v>
      </c>
      <c r="I353" s="1521">
        <v>1</v>
      </c>
      <c r="J353" s="1538">
        <v>1</v>
      </c>
      <c r="K353" s="1525"/>
      <c r="L353" s="1519">
        <v>13007960100</v>
      </c>
      <c r="M353" s="1520">
        <v>0</v>
      </c>
      <c r="N353" s="1520">
        <v>1</v>
      </c>
      <c r="O353" s="1520">
        <v>1</v>
      </c>
      <c r="P353" s="504" t="s">
        <v>1101</v>
      </c>
      <c r="Q353" s="287"/>
      <c r="R353" s="168"/>
      <c r="S353" s="380"/>
      <c r="T353" s="473" t="s">
        <v>2648</v>
      </c>
      <c r="U353" s="473" t="s">
        <v>2373</v>
      </c>
      <c r="W353" s="418" t="s">
        <v>1003</v>
      </c>
      <c r="X353" s="418" t="s">
        <v>3139</v>
      </c>
      <c r="AA353" s="27"/>
      <c r="AB353" s="27"/>
      <c r="AC353" s="809"/>
      <c r="AD353" s="481"/>
    </row>
    <row r="354" spans="3:30" ht="10.5" customHeight="1">
      <c r="C354" s="1526" t="s">
        <v>4315</v>
      </c>
      <c r="D354" s="1523">
        <v>1</v>
      </c>
      <c r="E354" s="1523">
        <v>0</v>
      </c>
      <c r="F354" s="1524">
        <v>1</v>
      </c>
      <c r="G354" s="1537" t="s">
        <v>4315</v>
      </c>
      <c r="H354" s="1521">
        <v>0</v>
      </c>
      <c r="I354" s="1521">
        <v>0</v>
      </c>
      <c r="J354" s="1538">
        <v>0</v>
      </c>
      <c r="K354" s="1525"/>
      <c r="L354" s="1519">
        <v>13007960200</v>
      </c>
      <c r="M354" s="1520">
        <v>1</v>
      </c>
      <c r="N354" s="1520">
        <v>0</v>
      </c>
      <c r="O354" s="1520">
        <v>1</v>
      </c>
      <c r="P354" s="504" t="s">
        <v>2396</v>
      </c>
      <c r="Q354" s="287"/>
      <c r="R354" s="168"/>
      <c r="S354" s="380"/>
      <c r="T354" s="473" t="s">
        <v>1840</v>
      </c>
      <c r="U354" s="473" t="s">
        <v>1397</v>
      </c>
      <c r="W354" s="418" t="s">
        <v>2166</v>
      </c>
      <c r="X354" s="418" t="s">
        <v>3139</v>
      </c>
      <c r="AA354" s="27"/>
      <c r="AB354" s="27"/>
      <c r="AC354" s="809"/>
      <c r="AD354" s="481"/>
    </row>
    <row r="355" spans="3:30" ht="10.5" customHeight="1">
      <c r="C355" s="1526" t="s">
        <v>4316</v>
      </c>
      <c r="D355" s="1523">
        <v>0</v>
      </c>
      <c r="E355" s="1523">
        <v>0</v>
      </c>
      <c r="F355" s="1524">
        <v>0</v>
      </c>
      <c r="G355" s="1537" t="s">
        <v>4316</v>
      </c>
      <c r="H355" s="1521">
        <v>1</v>
      </c>
      <c r="I355" s="1521">
        <v>0</v>
      </c>
      <c r="J355" s="1538">
        <v>1</v>
      </c>
      <c r="K355" s="1525"/>
      <c r="L355" s="1519">
        <v>13009970100</v>
      </c>
      <c r="M355" s="1520">
        <v>1</v>
      </c>
      <c r="N355" s="1520">
        <v>0</v>
      </c>
      <c r="O355" s="1520">
        <v>1</v>
      </c>
      <c r="P355" s="504" t="s">
        <v>2398</v>
      </c>
      <c r="Q355" s="287"/>
      <c r="R355" s="168"/>
      <c r="S355" s="380"/>
      <c r="T355" s="473" t="s">
        <v>1842</v>
      </c>
      <c r="U355" s="473" t="s">
        <v>1397</v>
      </c>
      <c r="W355" s="418" t="s">
        <v>2404</v>
      </c>
      <c r="X355" s="418" t="s">
        <v>3139</v>
      </c>
      <c r="AA355" s="27"/>
      <c r="AB355" s="27"/>
      <c r="AC355" s="809"/>
      <c r="AD355" s="481"/>
    </row>
    <row r="356" spans="3:30" ht="10.5" customHeight="1">
      <c r="C356" s="1526" t="s">
        <v>4317</v>
      </c>
      <c r="D356" s="1523">
        <v>0</v>
      </c>
      <c r="E356" s="1523">
        <v>0</v>
      </c>
      <c r="F356" s="1524">
        <v>0</v>
      </c>
      <c r="G356" s="1537" t="s">
        <v>4317</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2071</v>
      </c>
      <c r="X356" s="418" t="s">
        <v>3139</v>
      </c>
      <c r="AA356" s="27"/>
      <c r="AB356" s="27"/>
      <c r="AC356" s="809"/>
      <c r="AD356" s="481"/>
    </row>
    <row r="357" spans="3:30" ht="10.5" customHeight="1">
      <c r="C357" s="1526" t="s">
        <v>4318</v>
      </c>
      <c r="D357" s="1523">
        <v>1</v>
      </c>
      <c r="E357" s="1523">
        <v>1</v>
      </c>
      <c r="F357" s="1524">
        <v>2</v>
      </c>
      <c r="G357" s="1537" t="s">
        <v>4318</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3139</v>
      </c>
      <c r="AA357" s="27"/>
      <c r="AB357" s="27"/>
      <c r="AC357" s="809"/>
      <c r="AD357" s="481"/>
    </row>
    <row r="358" spans="3:30" ht="10.5" customHeight="1">
      <c r="C358" s="1526" t="s">
        <v>4319</v>
      </c>
      <c r="D358" s="1523">
        <v>0</v>
      </c>
      <c r="E358" s="1523">
        <v>0</v>
      </c>
      <c r="F358" s="1524">
        <v>0</v>
      </c>
      <c r="G358" s="1537" t="s">
        <v>4319</v>
      </c>
      <c r="H358" s="1521">
        <v>0</v>
      </c>
      <c r="I358" s="1521">
        <v>1</v>
      </c>
      <c r="J358" s="1538">
        <v>1</v>
      </c>
      <c r="K358" s="1525"/>
      <c r="L358" s="1519">
        <v>13009970400</v>
      </c>
      <c r="M358" s="1520">
        <v>0</v>
      </c>
      <c r="N358" s="1520">
        <v>1</v>
      </c>
      <c r="O358" s="1520">
        <v>1</v>
      </c>
      <c r="P358" s="504" t="s">
        <v>1739</v>
      </c>
      <c r="Q358" s="287"/>
      <c r="R358" s="168"/>
      <c r="S358" s="380"/>
      <c r="T358" s="473" t="s">
        <v>2649</v>
      </c>
      <c r="U358" s="473" t="s">
        <v>151</v>
      </c>
      <c r="W358" s="418" t="s">
        <v>2307</v>
      </c>
      <c r="X358" s="418" t="s">
        <v>3139</v>
      </c>
      <c r="AA358" s="27"/>
      <c r="AB358" s="27"/>
      <c r="AC358" s="809"/>
      <c r="AD358" s="481"/>
    </row>
    <row r="359" spans="3:30" ht="10.5" customHeight="1">
      <c r="C359" s="1526" t="s">
        <v>4320</v>
      </c>
      <c r="D359" s="1523">
        <v>0</v>
      </c>
      <c r="E359" s="1523">
        <v>0</v>
      </c>
      <c r="F359" s="1524">
        <v>0</v>
      </c>
      <c r="G359" s="1537" t="s">
        <v>4320</v>
      </c>
      <c r="H359" s="1521">
        <v>0</v>
      </c>
      <c r="I359" s="1521">
        <v>0</v>
      </c>
      <c r="J359" s="1538">
        <v>0</v>
      </c>
      <c r="K359" s="1525"/>
      <c r="L359" s="1519">
        <v>13009970500</v>
      </c>
      <c r="M359" s="1520">
        <v>0</v>
      </c>
      <c r="N359" s="1520">
        <v>0</v>
      </c>
      <c r="O359" s="1520">
        <v>0</v>
      </c>
      <c r="P359" s="504" t="s">
        <v>1741</v>
      </c>
      <c r="Q359" s="287"/>
      <c r="R359" s="168"/>
      <c r="S359" s="380"/>
      <c r="T359" s="473" t="s">
        <v>2650</v>
      </c>
      <c r="U359" s="473" t="s">
        <v>305</v>
      </c>
      <c r="W359" s="418" t="s">
        <v>782</v>
      </c>
      <c r="X359" s="418" t="s">
        <v>3139</v>
      </c>
      <c r="AA359" s="27"/>
      <c r="AB359" s="27"/>
      <c r="AC359" s="809"/>
      <c r="AD359" s="481"/>
    </row>
    <row r="360" spans="3:30" ht="10.5" customHeight="1">
      <c r="C360" s="1526" t="s">
        <v>4321</v>
      </c>
      <c r="D360" s="1523">
        <v>0</v>
      </c>
      <c r="E360" s="1523">
        <v>0</v>
      </c>
      <c r="F360" s="1524">
        <v>0</v>
      </c>
      <c r="G360" s="1537" t="s">
        <v>4321</v>
      </c>
      <c r="H360" s="1521">
        <v>0</v>
      </c>
      <c r="I360" s="1521">
        <v>0</v>
      </c>
      <c r="J360" s="1538">
        <v>0</v>
      </c>
      <c r="K360" s="1525"/>
      <c r="L360" s="1519">
        <v>13009970600</v>
      </c>
      <c r="M360" s="1520">
        <v>0</v>
      </c>
      <c r="N360" s="1520">
        <v>0</v>
      </c>
      <c r="O360" s="1520">
        <v>0</v>
      </c>
      <c r="P360" s="504" t="s">
        <v>1803</v>
      </c>
      <c r="Q360" s="287"/>
      <c r="R360" s="168"/>
      <c r="S360" s="380"/>
      <c r="T360" s="473" t="s">
        <v>1098</v>
      </c>
      <c r="U360" s="473" t="s">
        <v>1397</v>
      </c>
      <c r="W360" s="418" t="s">
        <v>160</v>
      </c>
      <c r="X360" s="418" t="s">
        <v>3139</v>
      </c>
      <c r="AA360" s="27"/>
      <c r="AB360" s="27"/>
      <c r="AC360" s="809"/>
      <c r="AD360" s="481"/>
    </row>
    <row r="361" spans="3:30" ht="10.5" customHeight="1">
      <c r="C361" s="1526" t="s">
        <v>4322</v>
      </c>
      <c r="D361" s="1523">
        <v>0</v>
      </c>
      <c r="E361" s="1523">
        <v>0</v>
      </c>
      <c r="F361" s="1524">
        <v>0</v>
      </c>
      <c r="G361" s="1537" t="s">
        <v>4322</v>
      </c>
      <c r="H361" s="1521">
        <v>0</v>
      </c>
      <c r="I361" s="1521">
        <v>0</v>
      </c>
      <c r="J361" s="1538">
        <v>0</v>
      </c>
      <c r="K361" s="1525"/>
      <c r="L361" s="1519">
        <v>13009970701</v>
      </c>
      <c r="M361" s="1520">
        <v>0</v>
      </c>
      <c r="N361" s="1520">
        <v>0</v>
      </c>
      <c r="O361" s="1520">
        <v>0</v>
      </c>
      <c r="P361" s="504" t="s">
        <v>1805</v>
      </c>
      <c r="Q361" s="287"/>
      <c r="R361" s="168"/>
      <c r="S361" s="380"/>
      <c r="T361" s="473" t="s">
        <v>1100</v>
      </c>
      <c r="U361" s="473" t="s">
        <v>632</v>
      </c>
      <c r="W361" s="418" t="s">
        <v>1277</v>
      </c>
      <c r="X361" s="418" t="s">
        <v>3139</v>
      </c>
      <c r="AA361" s="27"/>
      <c r="AB361" s="27"/>
      <c r="AC361" s="809"/>
      <c r="AD361" s="481"/>
    </row>
    <row r="362" spans="3:30" ht="10.5" customHeight="1">
      <c r="C362" s="1526" t="s">
        <v>4323</v>
      </c>
      <c r="D362" s="1523">
        <v>0</v>
      </c>
      <c r="E362" s="1523">
        <v>0</v>
      </c>
      <c r="F362" s="1524">
        <v>0</v>
      </c>
      <c r="G362" s="1537" t="s">
        <v>4323</v>
      </c>
      <c r="H362" s="1521">
        <v>0</v>
      </c>
      <c r="I362" s="1521">
        <v>0</v>
      </c>
      <c r="J362" s="1538">
        <v>0</v>
      </c>
      <c r="K362" s="1525"/>
      <c r="L362" s="1519">
        <v>13009970702</v>
      </c>
      <c r="M362" s="1520">
        <v>0</v>
      </c>
      <c r="N362" s="1520">
        <v>0</v>
      </c>
      <c r="O362" s="1520">
        <v>0</v>
      </c>
      <c r="P362" s="504" t="s">
        <v>1806</v>
      </c>
      <c r="Q362" s="287"/>
      <c r="R362" s="168"/>
      <c r="S362" s="380"/>
      <c r="T362" s="473" t="s">
        <v>2453</v>
      </c>
      <c r="U362" s="473" t="s">
        <v>2078</v>
      </c>
      <c r="W362" s="418" t="s">
        <v>1032</v>
      </c>
      <c r="X362" s="418" t="s">
        <v>3139</v>
      </c>
      <c r="AA362" s="27"/>
      <c r="AB362" s="27"/>
      <c r="AC362" s="809"/>
      <c r="AD362" s="481"/>
    </row>
    <row r="363" spans="3:30" ht="10.5" customHeight="1">
      <c r="C363" s="1526" t="s">
        <v>4324</v>
      </c>
      <c r="D363" s="1523">
        <v>0</v>
      </c>
      <c r="E363" s="1523">
        <v>0</v>
      </c>
      <c r="F363" s="1524">
        <v>0</v>
      </c>
      <c r="G363" s="1537" t="s">
        <v>4324</v>
      </c>
      <c r="H363" s="1521">
        <v>0</v>
      </c>
      <c r="I363" s="1521">
        <v>0</v>
      </c>
      <c r="J363" s="1538">
        <v>0</v>
      </c>
      <c r="K363" s="1525"/>
      <c r="L363" s="1519">
        <v>13009970800</v>
      </c>
      <c r="M363" s="1520">
        <v>0</v>
      </c>
      <c r="N363" s="1520">
        <v>0</v>
      </c>
      <c r="O363" s="1520">
        <v>0</v>
      </c>
      <c r="P363" s="504" t="s">
        <v>1808</v>
      </c>
      <c r="Q363" s="287"/>
      <c r="R363" s="168"/>
      <c r="S363" s="380"/>
      <c r="T363" s="473" t="s">
        <v>2454</v>
      </c>
      <c r="U363" s="473" t="s">
        <v>2414</v>
      </c>
      <c r="W363" s="418" t="s">
        <v>1903</v>
      </c>
      <c r="X363" s="418" t="s">
        <v>3139</v>
      </c>
      <c r="AA363" s="27"/>
      <c r="AB363" s="27"/>
      <c r="AC363" s="809"/>
      <c r="AD363" s="481"/>
    </row>
    <row r="364" spans="3:30" ht="10.5" customHeight="1">
      <c r="C364" s="1526" t="s">
        <v>4325</v>
      </c>
      <c r="D364" s="1523">
        <v>0</v>
      </c>
      <c r="E364" s="1523">
        <v>0</v>
      </c>
      <c r="F364" s="1524">
        <v>0</v>
      </c>
      <c r="G364" s="1537" t="s">
        <v>4325</v>
      </c>
      <c r="H364" s="1521">
        <v>0</v>
      </c>
      <c r="I364" s="1521">
        <v>0</v>
      </c>
      <c r="J364" s="1538">
        <v>0</v>
      </c>
      <c r="K364" s="1525"/>
      <c r="L364" s="1519">
        <v>13011970100</v>
      </c>
      <c r="M364" s="1520">
        <v>0</v>
      </c>
      <c r="N364" s="1520">
        <v>0</v>
      </c>
      <c r="O364" s="1520">
        <v>0</v>
      </c>
      <c r="P364" s="504" t="s">
        <v>1810</v>
      </c>
      <c r="Q364" s="287"/>
      <c r="R364" s="168"/>
      <c r="S364" s="380"/>
      <c r="T364" s="473" t="s">
        <v>1102</v>
      </c>
      <c r="U364" s="473" t="s">
        <v>1160</v>
      </c>
      <c r="W364" s="418" t="s">
        <v>1800</v>
      </c>
      <c r="X364" s="418" t="s">
        <v>3139</v>
      </c>
      <c r="AA364" s="27"/>
      <c r="AB364" s="27"/>
      <c r="AC364" s="809"/>
      <c r="AD364" s="481"/>
    </row>
    <row r="365" spans="3:30" ht="10.5" customHeight="1">
      <c r="C365" s="1526" t="s">
        <v>4326</v>
      </c>
      <c r="D365" s="1523">
        <v>0</v>
      </c>
      <c r="E365" s="1523">
        <v>0</v>
      </c>
      <c r="F365" s="1524">
        <v>0</v>
      </c>
      <c r="G365" s="1537" t="s">
        <v>4326</v>
      </c>
      <c r="H365" s="1521">
        <v>0</v>
      </c>
      <c r="I365" s="1521">
        <v>0</v>
      </c>
      <c r="J365" s="1538">
        <v>0</v>
      </c>
      <c r="K365" s="1525"/>
      <c r="L365" s="1519">
        <v>13011970200</v>
      </c>
      <c r="M365" s="1520">
        <v>0</v>
      </c>
      <c r="N365" s="1520">
        <v>0</v>
      </c>
      <c r="O365" s="1520">
        <v>0</v>
      </c>
      <c r="P365" s="504" t="s">
        <v>1844</v>
      </c>
      <c r="Q365" s="287"/>
      <c r="R365" s="168"/>
      <c r="S365" s="380"/>
      <c r="T365" s="473" t="s">
        <v>2397</v>
      </c>
      <c r="U365" s="473" t="s">
        <v>191</v>
      </c>
      <c r="W365" s="418" t="s">
        <v>2419</v>
      </c>
      <c r="X365" s="418" t="s">
        <v>3139</v>
      </c>
      <c r="AA365" s="27"/>
      <c r="AB365" s="27"/>
      <c r="AC365" s="809"/>
      <c r="AD365" s="481"/>
    </row>
    <row r="366" spans="3:30" ht="10.5" customHeight="1">
      <c r="C366" s="1526" t="s">
        <v>4327</v>
      </c>
      <c r="D366" s="1523">
        <v>1</v>
      </c>
      <c r="E366" s="1523">
        <v>1</v>
      </c>
      <c r="F366" s="1524">
        <v>2</v>
      </c>
      <c r="G366" s="1537" t="s">
        <v>4327</v>
      </c>
      <c r="H366" s="1521">
        <v>0</v>
      </c>
      <c r="I366" s="1521">
        <v>0</v>
      </c>
      <c r="J366" s="1538">
        <v>0</v>
      </c>
      <c r="K366" s="1525"/>
      <c r="L366" s="1519">
        <v>13011970300</v>
      </c>
      <c r="M366" s="1520">
        <v>1</v>
      </c>
      <c r="N366" s="1520">
        <v>1</v>
      </c>
      <c r="O366" s="1520">
        <v>2</v>
      </c>
      <c r="P366" s="504" t="s">
        <v>1846</v>
      </c>
      <c r="Q366" s="287"/>
      <c r="R366" s="168"/>
      <c r="S366" s="380"/>
      <c r="T366" s="505" t="s">
        <v>435</v>
      </c>
      <c r="U366" s="505" t="s">
        <v>1061</v>
      </c>
      <c r="W366" s="418" t="s">
        <v>1113</v>
      </c>
      <c r="X366" s="418" t="s">
        <v>3139</v>
      </c>
      <c r="AA366" s="27"/>
      <c r="AB366" s="27"/>
      <c r="AC366" s="809"/>
      <c r="AD366" s="481"/>
    </row>
    <row r="367" spans="3:30" ht="10.5" customHeight="1">
      <c r="C367" s="1526" t="s">
        <v>4328</v>
      </c>
      <c r="D367" s="1523">
        <v>0</v>
      </c>
      <c r="E367" s="1523">
        <v>0</v>
      </c>
      <c r="F367" s="1524">
        <v>0</v>
      </c>
      <c r="G367" s="1537" t="s">
        <v>4328</v>
      </c>
      <c r="H367" s="1521">
        <v>0</v>
      </c>
      <c r="I367" s="1521">
        <v>0</v>
      </c>
      <c r="J367" s="1538">
        <v>0</v>
      </c>
      <c r="K367" s="1525"/>
      <c r="L367" s="1519">
        <v>13011970400</v>
      </c>
      <c r="M367" s="1520">
        <v>0</v>
      </c>
      <c r="N367" s="1520">
        <v>0</v>
      </c>
      <c r="O367" s="1520">
        <v>0</v>
      </c>
      <c r="P367" s="504" t="s">
        <v>1847</v>
      </c>
      <c r="Q367" s="287"/>
      <c r="R367" s="168"/>
      <c r="S367" s="380"/>
      <c r="T367" s="505" t="s">
        <v>3942</v>
      </c>
      <c r="U367" s="505" t="s">
        <v>634</v>
      </c>
      <c r="W367" s="418" t="s">
        <v>2400</v>
      </c>
      <c r="X367" s="418" t="s">
        <v>3139</v>
      </c>
      <c r="AA367" s="27"/>
      <c r="AB367" s="27"/>
      <c r="AC367" s="810"/>
      <c r="AD367" s="481"/>
    </row>
    <row r="368" spans="3:30" ht="10.5" customHeight="1">
      <c r="C368" s="1526" t="s">
        <v>4329</v>
      </c>
      <c r="D368" s="1523">
        <v>1</v>
      </c>
      <c r="E368" s="1523">
        <v>1</v>
      </c>
      <c r="F368" s="1524">
        <v>2</v>
      </c>
      <c r="G368" s="1537" t="s">
        <v>4329</v>
      </c>
      <c r="H368" s="1521">
        <v>1</v>
      </c>
      <c r="I368" s="1521">
        <v>1</v>
      </c>
      <c r="J368" s="1538">
        <v>2</v>
      </c>
      <c r="K368" s="1525"/>
      <c r="L368" s="1519">
        <v>13013180103</v>
      </c>
      <c r="M368" s="1520">
        <v>1</v>
      </c>
      <c r="N368" s="1520">
        <v>1</v>
      </c>
      <c r="O368" s="1520">
        <v>2</v>
      </c>
      <c r="P368" s="504" t="s">
        <v>1849</v>
      </c>
      <c r="Q368" s="287"/>
      <c r="R368" s="168"/>
      <c r="S368" s="380"/>
      <c r="T368" s="505" t="s">
        <v>290</v>
      </c>
      <c r="U368" s="505" t="s">
        <v>1283</v>
      </c>
      <c r="W368" s="418" t="s">
        <v>783</v>
      </c>
      <c r="X368" s="418" t="s">
        <v>3139</v>
      </c>
      <c r="AA368" s="27"/>
      <c r="AB368" s="27"/>
      <c r="AC368" s="810"/>
      <c r="AD368" s="481"/>
    </row>
    <row r="369" spans="3:30" ht="10.5" customHeight="1">
      <c r="C369" s="1526" t="s">
        <v>4330</v>
      </c>
      <c r="D369" s="1523">
        <v>0</v>
      </c>
      <c r="E369" s="1523">
        <v>1</v>
      </c>
      <c r="F369" s="1524">
        <v>1</v>
      </c>
      <c r="G369" s="1537" t="s">
        <v>4330</v>
      </c>
      <c r="H369" s="1521">
        <v>0</v>
      </c>
      <c r="I369" s="1521">
        <v>0</v>
      </c>
      <c r="J369" s="1538">
        <v>0</v>
      </c>
      <c r="K369" s="1525"/>
      <c r="L369" s="1519">
        <v>13013180104</v>
      </c>
      <c r="M369" s="1520">
        <v>0</v>
      </c>
      <c r="N369" s="1520">
        <v>1</v>
      </c>
      <c r="O369" s="1520">
        <v>1</v>
      </c>
      <c r="P369" s="504" t="s">
        <v>1851</v>
      </c>
      <c r="Q369" s="287"/>
      <c r="R369" s="168"/>
      <c r="S369" s="380"/>
      <c r="T369" s="473" t="s">
        <v>1740</v>
      </c>
      <c r="U369" s="473" t="s">
        <v>844</v>
      </c>
      <c r="W369" s="418" t="s">
        <v>2011</v>
      </c>
      <c r="X369" s="418" t="s">
        <v>3139</v>
      </c>
      <c r="AA369" s="27"/>
      <c r="AB369" s="27"/>
      <c r="AC369" s="810"/>
      <c r="AD369" s="481"/>
    </row>
    <row r="370" spans="3:30" ht="10.5" customHeight="1">
      <c r="C370" s="1526" t="s">
        <v>4331</v>
      </c>
      <c r="D370" s="1523">
        <v>0</v>
      </c>
      <c r="E370" s="1523">
        <v>1</v>
      </c>
      <c r="F370" s="1524">
        <v>1</v>
      </c>
      <c r="G370" s="1537" t="s">
        <v>4331</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3139</v>
      </c>
      <c r="AA370" s="27"/>
      <c r="AB370" s="27"/>
      <c r="AC370" s="809"/>
      <c r="AD370" s="481"/>
    </row>
    <row r="371" spans="3:30" ht="10.5" customHeight="1">
      <c r="C371" s="1526" t="s">
        <v>4332</v>
      </c>
      <c r="D371" s="1523">
        <v>0</v>
      </c>
      <c r="E371" s="1523">
        <v>1</v>
      </c>
      <c r="F371" s="1524">
        <v>1</v>
      </c>
      <c r="G371" s="1537" t="s">
        <v>4332</v>
      </c>
      <c r="H371" s="1521">
        <v>1</v>
      </c>
      <c r="I371" s="1521">
        <v>0</v>
      </c>
      <c r="J371" s="1538">
        <v>1</v>
      </c>
      <c r="K371" s="1525"/>
      <c r="L371" s="1519">
        <v>13013180106</v>
      </c>
      <c r="M371" s="1520">
        <v>1</v>
      </c>
      <c r="N371" s="1520">
        <v>1</v>
      </c>
      <c r="O371" s="1520">
        <v>1</v>
      </c>
      <c r="P371" s="504" t="s">
        <v>126</v>
      </c>
      <c r="Q371" s="287"/>
      <c r="R371" s="168"/>
      <c r="S371" s="380"/>
      <c r="T371" s="505" t="s">
        <v>1804</v>
      </c>
      <c r="U371" s="505" t="s">
        <v>2378</v>
      </c>
      <c r="W371" s="418" t="s">
        <v>2388</v>
      </c>
      <c r="X371" s="418" t="s">
        <v>3139</v>
      </c>
      <c r="AA371" s="27"/>
      <c r="AB371" s="27"/>
      <c r="AC371" s="809"/>
      <c r="AD371" s="481"/>
    </row>
    <row r="372" spans="3:30" ht="10.5" customHeight="1">
      <c r="C372" s="1526" t="s">
        <v>4333</v>
      </c>
      <c r="D372" s="1523">
        <v>0</v>
      </c>
      <c r="E372" s="1523">
        <v>0</v>
      </c>
      <c r="F372" s="1524">
        <v>0</v>
      </c>
      <c r="G372" s="1537" t="s">
        <v>4333</v>
      </c>
      <c r="H372" s="1521">
        <v>0</v>
      </c>
      <c r="I372" s="1521">
        <v>0</v>
      </c>
      <c r="J372" s="1538">
        <v>0</v>
      </c>
      <c r="K372" s="1525"/>
      <c r="L372" s="1519">
        <v>13013180107</v>
      </c>
      <c r="M372" s="1520">
        <v>0</v>
      </c>
      <c r="N372" s="1520">
        <v>0</v>
      </c>
      <c r="O372" s="1520">
        <v>0</v>
      </c>
      <c r="P372" s="504" t="s">
        <v>1598</v>
      </c>
      <c r="Q372" s="287"/>
      <c r="R372" s="168"/>
      <c r="S372" s="380"/>
      <c r="T372" s="505" t="s">
        <v>6304</v>
      </c>
      <c r="U372" s="505" t="s">
        <v>2372</v>
      </c>
      <c r="W372" s="418" t="s">
        <v>1817</v>
      </c>
      <c r="X372" s="418" t="s">
        <v>3139</v>
      </c>
      <c r="AA372" s="27"/>
      <c r="AB372" s="27"/>
      <c r="AC372" s="810"/>
      <c r="AD372" s="481"/>
    </row>
    <row r="373" spans="3:30" ht="10.5" customHeight="1">
      <c r="C373" s="1526" t="s">
        <v>4334</v>
      </c>
      <c r="D373" s="1523">
        <v>0</v>
      </c>
      <c r="E373" s="1523">
        <v>1</v>
      </c>
      <c r="F373" s="1524">
        <v>1</v>
      </c>
      <c r="G373" s="1537" t="s">
        <v>4334</v>
      </c>
      <c r="H373" s="1521">
        <v>0</v>
      </c>
      <c r="I373" s="1521">
        <v>0</v>
      </c>
      <c r="J373" s="1538">
        <v>0</v>
      </c>
      <c r="K373" s="1525"/>
      <c r="L373" s="1519">
        <v>13013180108</v>
      </c>
      <c r="M373" s="1520">
        <v>0</v>
      </c>
      <c r="N373" s="1520">
        <v>1</v>
      </c>
      <c r="O373" s="1520">
        <v>1</v>
      </c>
      <c r="P373" s="504" t="s">
        <v>1669</v>
      </c>
      <c r="Q373" s="287"/>
      <c r="R373" s="168"/>
      <c r="S373" s="380"/>
      <c r="T373" s="473" t="s">
        <v>1807</v>
      </c>
      <c r="U373" s="473" t="s">
        <v>632</v>
      </c>
      <c r="W373" s="418" t="s">
        <v>1363</v>
      </c>
      <c r="X373" s="418" t="s">
        <v>3139</v>
      </c>
      <c r="AA373" s="27"/>
      <c r="AB373" s="27"/>
      <c r="AC373" s="809"/>
      <c r="AD373" s="481"/>
    </row>
    <row r="374" spans="3:30" ht="10.5" customHeight="1">
      <c r="C374" s="1526" t="s">
        <v>4335</v>
      </c>
      <c r="D374" s="1523">
        <v>0</v>
      </c>
      <c r="E374" s="1523">
        <v>0</v>
      </c>
      <c r="F374" s="1524">
        <v>0</v>
      </c>
      <c r="G374" s="1537" t="s">
        <v>4335</v>
      </c>
      <c r="H374" s="1521">
        <v>0</v>
      </c>
      <c r="I374" s="1521">
        <v>0</v>
      </c>
      <c r="J374" s="1538">
        <v>0</v>
      </c>
      <c r="K374" s="1525"/>
      <c r="L374" s="1519">
        <v>13013180203</v>
      </c>
      <c r="M374" s="1520">
        <v>0</v>
      </c>
      <c r="N374" s="1520">
        <v>0</v>
      </c>
      <c r="O374" s="1520">
        <v>0</v>
      </c>
      <c r="P374" s="504" t="s">
        <v>2176</v>
      </c>
      <c r="Q374" s="287"/>
      <c r="R374" s="168"/>
      <c r="S374" s="380"/>
      <c r="T374" s="473" t="s">
        <v>1809</v>
      </c>
      <c r="U374" s="473" t="s">
        <v>1265</v>
      </c>
      <c r="W374" s="418" t="s">
        <v>2156</v>
      </c>
      <c r="X374" s="418" t="s">
        <v>3139</v>
      </c>
      <c r="AA374" s="27"/>
      <c r="AB374" s="27"/>
      <c r="AC374" s="809"/>
      <c r="AD374" s="481"/>
    </row>
    <row r="375" spans="3:30" ht="10.5" customHeight="1">
      <c r="C375" s="1526" t="s">
        <v>4336</v>
      </c>
      <c r="D375" s="1523">
        <v>0</v>
      </c>
      <c r="E375" s="1523">
        <v>0</v>
      </c>
      <c r="F375" s="1524">
        <v>0</v>
      </c>
      <c r="G375" s="1537" t="s">
        <v>4336</v>
      </c>
      <c r="H375" s="1521">
        <v>0</v>
      </c>
      <c r="I375" s="1521">
        <v>0</v>
      </c>
      <c r="J375" s="1538">
        <v>0</v>
      </c>
      <c r="K375" s="1525"/>
      <c r="L375" s="1519">
        <v>13013180204</v>
      </c>
      <c r="M375" s="1520">
        <v>0</v>
      </c>
      <c r="N375" s="1520">
        <v>0</v>
      </c>
      <c r="O375" s="1520">
        <v>0</v>
      </c>
      <c r="P375" s="504" t="s">
        <v>2178</v>
      </c>
      <c r="Q375" s="287"/>
      <c r="R375" s="168"/>
      <c r="S375" s="380"/>
      <c r="T375" s="473" t="s">
        <v>2651</v>
      </c>
      <c r="U375" s="473" t="s">
        <v>191</v>
      </c>
      <c r="W375" s="418" t="s">
        <v>2158</v>
      </c>
      <c r="X375" s="418" t="s">
        <v>3139</v>
      </c>
      <c r="AA375" s="27"/>
      <c r="AB375" s="27"/>
      <c r="AC375" s="809"/>
      <c r="AD375" s="481"/>
    </row>
    <row r="376" spans="3:30" ht="10.5" customHeight="1">
      <c r="C376" s="1526" t="s">
        <v>4337</v>
      </c>
      <c r="D376" s="1523">
        <v>0</v>
      </c>
      <c r="E376" s="1523">
        <v>0</v>
      </c>
      <c r="F376" s="1524">
        <v>0</v>
      </c>
      <c r="G376" s="1537" t="s">
        <v>4337</v>
      </c>
      <c r="H376" s="1521">
        <v>0</v>
      </c>
      <c r="I376" s="1521">
        <v>0</v>
      </c>
      <c r="J376" s="1538">
        <v>0</v>
      </c>
      <c r="K376" s="1525"/>
      <c r="L376" s="1519">
        <v>13013180205</v>
      </c>
      <c r="M376" s="1520">
        <v>0</v>
      </c>
      <c r="N376" s="1520">
        <v>0</v>
      </c>
      <c r="O376" s="1520">
        <v>0</v>
      </c>
      <c r="P376" s="504" t="s">
        <v>953</v>
      </c>
      <c r="Q376" s="287"/>
      <c r="R376" s="168"/>
      <c r="S376" s="380"/>
      <c r="T376" s="473" t="s">
        <v>1811</v>
      </c>
      <c r="U376" s="473" t="s">
        <v>1268</v>
      </c>
      <c r="W376" s="418" t="s">
        <v>1076</v>
      </c>
      <c r="X376" s="418" t="s">
        <v>3139</v>
      </c>
      <c r="AA376" s="27"/>
      <c r="AB376" s="27"/>
      <c r="AC376" s="809"/>
      <c r="AD376" s="481"/>
    </row>
    <row r="377" spans="3:30" ht="10.5" customHeight="1">
      <c r="C377" s="1526" t="s">
        <v>4338</v>
      </c>
      <c r="D377" s="1523">
        <v>1</v>
      </c>
      <c r="E377" s="1523">
        <v>1</v>
      </c>
      <c r="F377" s="1524">
        <v>2</v>
      </c>
      <c r="G377" s="1537" t="s">
        <v>4338</v>
      </c>
      <c r="H377" s="1521">
        <v>1</v>
      </c>
      <c r="I377" s="1521">
        <v>0</v>
      </c>
      <c r="J377" s="1538">
        <v>1</v>
      </c>
      <c r="K377" s="1525"/>
      <c r="L377" s="1519">
        <v>13013180206</v>
      </c>
      <c r="M377" s="1520">
        <v>1</v>
      </c>
      <c r="N377" s="1520">
        <v>1</v>
      </c>
      <c r="O377" s="1520">
        <v>2</v>
      </c>
      <c r="P377" s="504" t="s">
        <v>647</v>
      </c>
      <c r="Q377" s="287"/>
      <c r="R377" s="168"/>
      <c r="S377" s="380"/>
      <c r="T377" s="473" t="s">
        <v>1845</v>
      </c>
      <c r="U377" s="473" t="s">
        <v>307</v>
      </c>
      <c r="W377" s="418" t="s">
        <v>2032</v>
      </c>
      <c r="X377" s="418" t="s">
        <v>3139</v>
      </c>
      <c r="AA377" s="27"/>
      <c r="AB377" s="27"/>
      <c r="AC377" s="809"/>
      <c r="AD377" s="481"/>
    </row>
    <row r="378" spans="3:30" ht="10.5" customHeight="1">
      <c r="C378" s="1526" t="s">
        <v>4339</v>
      </c>
      <c r="D378" s="1523">
        <v>1</v>
      </c>
      <c r="E378" s="1523">
        <v>1</v>
      </c>
      <c r="F378" s="1524">
        <v>2</v>
      </c>
      <c r="G378" s="1537" t="s">
        <v>4339</v>
      </c>
      <c r="H378" s="1521">
        <v>1</v>
      </c>
      <c r="I378" s="1521">
        <v>0</v>
      </c>
      <c r="J378" s="1538">
        <v>1</v>
      </c>
      <c r="K378" s="1525"/>
      <c r="L378" s="1519">
        <v>13013180301</v>
      </c>
      <c r="M378" s="1520">
        <v>1</v>
      </c>
      <c r="N378" s="1520">
        <v>1</v>
      </c>
      <c r="O378" s="1520">
        <v>2</v>
      </c>
      <c r="P378" s="504" t="s">
        <v>540</v>
      </c>
      <c r="Q378" s="287"/>
      <c r="R378" s="168"/>
      <c r="S378" s="380"/>
      <c r="T378" s="473" t="s">
        <v>2652</v>
      </c>
      <c r="U378" s="473" t="s">
        <v>625</v>
      </c>
      <c r="W378" s="418" t="s">
        <v>2033</v>
      </c>
      <c r="X378" s="418" t="s">
        <v>3139</v>
      </c>
      <c r="AA378" s="27"/>
      <c r="AB378" s="27"/>
      <c r="AC378" s="809"/>
      <c r="AD378" s="481"/>
    </row>
    <row r="379" spans="3:30" ht="10.5" customHeight="1">
      <c r="C379" s="1526" t="s">
        <v>4340</v>
      </c>
      <c r="D379" s="1523">
        <v>1</v>
      </c>
      <c r="E379" s="1523">
        <v>1</v>
      </c>
      <c r="F379" s="1524">
        <v>2</v>
      </c>
      <c r="G379" s="1537" t="s">
        <v>4340</v>
      </c>
      <c r="H379" s="1521">
        <v>1</v>
      </c>
      <c r="I379" s="1521">
        <v>1</v>
      </c>
      <c r="J379" s="1538">
        <v>2</v>
      </c>
      <c r="K379" s="1525"/>
      <c r="L379" s="1519">
        <v>13013180302</v>
      </c>
      <c r="M379" s="1520">
        <v>1</v>
      </c>
      <c r="N379" s="1520">
        <v>1</v>
      </c>
      <c r="O379" s="1520">
        <v>2</v>
      </c>
      <c r="P379" s="504" t="s">
        <v>643</v>
      </c>
      <c r="Q379" s="287"/>
      <c r="R379" s="168"/>
      <c r="S379" s="380"/>
      <c r="T379" s="473" t="s">
        <v>1848</v>
      </c>
      <c r="U379" s="473" t="s">
        <v>2467</v>
      </c>
      <c r="W379" s="418" t="s">
        <v>2034</v>
      </c>
      <c r="X379" s="418" t="s">
        <v>3139</v>
      </c>
      <c r="AA379" s="27"/>
      <c r="AB379" s="27"/>
      <c r="AC379" s="809"/>
      <c r="AD379" s="481"/>
    </row>
    <row r="380" spans="3:30" ht="10.5" customHeight="1">
      <c r="C380" s="1526" t="s">
        <v>4341</v>
      </c>
      <c r="D380" s="1523">
        <v>1</v>
      </c>
      <c r="E380" s="1523">
        <v>1</v>
      </c>
      <c r="F380" s="1524">
        <v>2</v>
      </c>
      <c r="G380" s="1537" t="s">
        <v>4341</v>
      </c>
      <c r="H380" s="1521">
        <v>0</v>
      </c>
      <c r="I380" s="1521">
        <v>0</v>
      </c>
      <c r="J380" s="1538">
        <v>0</v>
      </c>
      <c r="K380" s="1525"/>
      <c r="L380" s="1519">
        <v>13013180303</v>
      </c>
      <c r="M380" s="1520">
        <v>1</v>
      </c>
      <c r="N380" s="1520">
        <v>1</v>
      </c>
      <c r="O380" s="1520">
        <v>2</v>
      </c>
      <c r="P380" s="504" t="s">
        <v>2281</v>
      </c>
      <c r="Q380" s="287"/>
      <c r="R380" s="168"/>
      <c r="S380" s="380"/>
      <c r="T380" s="473" t="s">
        <v>1850</v>
      </c>
      <c r="U380" s="473" t="s">
        <v>1265</v>
      </c>
      <c r="W380" s="418" t="s">
        <v>2229</v>
      </c>
      <c r="X380" s="418" t="s">
        <v>3139</v>
      </c>
      <c r="AA380" s="27"/>
      <c r="AB380" s="27"/>
      <c r="AC380" s="809"/>
      <c r="AD380" s="481"/>
    </row>
    <row r="381" spans="3:30" ht="10.5" customHeight="1">
      <c r="C381" s="1526" t="s">
        <v>4342</v>
      </c>
      <c r="D381" s="1523">
        <v>1</v>
      </c>
      <c r="E381" s="1523">
        <v>1</v>
      </c>
      <c r="F381" s="1524">
        <v>2</v>
      </c>
      <c r="G381" s="1537" t="s">
        <v>4342</v>
      </c>
      <c r="H381" s="1521">
        <v>0</v>
      </c>
      <c r="I381" s="1521">
        <v>1</v>
      </c>
      <c r="J381" s="1538">
        <v>1</v>
      </c>
      <c r="K381" s="1525"/>
      <c r="L381" s="1519">
        <v>13013180401</v>
      </c>
      <c r="M381" s="1520">
        <v>1</v>
      </c>
      <c r="N381" s="1520">
        <v>1</v>
      </c>
      <c r="O381" s="1520">
        <v>2</v>
      </c>
      <c r="P381" s="504" t="s">
        <v>210</v>
      </c>
      <c r="Q381" s="287"/>
      <c r="R381" s="168"/>
      <c r="S381" s="380"/>
      <c r="T381" s="473" t="s">
        <v>2143</v>
      </c>
      <c r="U381" s="473" t="s">
        <v>2411</v>
      </c>
      <c r="W381" s="418" t="s">
        <v>2231</v>
      </c>
      <c r="X381" s="418" t="s">
        <v>3139</v>
      </c>
      <c r="AA381" s="27"/>
      <c r="AB381" s="27"/>
      <c r="AC381" s="809"/>
      <c r="AD381" s="481"/>
    </row>
    <row r="382" spans="3:30" ht="10.5" customHeight="1">
      <c r="C382" s="1526" t="s">
        <v>4343</v>
      </c>
      <c r="D382" s="1523">
        <v>0</v>
      </c>
      <c r="E382" s="1523">
        <v>0</v>
      </c>
      <c r="F382" s="1524">
        <v>0</v>
      </c>
      <c r="G382" s="1537" t="s">
        <v>4343</v>
      </c>
      <c r="H382" s="1521">
        <v>0</v>
      </c>
      <c r="I382" s="1521">
        <v>0</v>
      </c>
      <c r="J382" s="1538">
        <v>0</v>
      </c>
      <c r="K382" s="1525"/>
      <c r="L382" s="1519">
        <v>13013180402</v>
      </c>
      <c r="M382" s="1520">
        <v>0</v>
      </c>
      <c r="N382" s="1520">
        <v>0</v>
      </c>
      <c r="O382" s="1520">
        <v>0</v>
      </c>
      <c r="P382" s="504" t="s">
        <v>749</v>
      </c>
      <c r="Q382" s="287"/>
      <c r="R382" s="168"/>
      <c r="S382" s="380"/>
      <c r="T382" s="473" t="s">
        <v>2455</v>
      </c>
      <c r="U382" s="473" t="s">
        <v>2078</v>
      </c>
      <c r="W382" s="418" t="s">
        <v>2159</v>
      </c>
      <c r="X382" s="418" t="s">
        <v>3139</v>
      </c>
      <c r="AA382" s="27"/>
      <c r="AB382" s="27"/>
      <c r="AC382" s="809"/>
      <c r="AD382" s="481"/>
    </row>
    <row r="383" spans="3:30" ht="10.5" customHeight="1">
      <c r="C383" s="1526" t="s">
        <v>4344</v>
      </c>
      <c r="D383" s="1523">
        <v>1</v>
      </c>
      <c r="E383" s="1523">
        <v>1</v>
      </c>
      <c r="F383" s="1524">
        <v>2</v>
      </c>
      <c r="G383" s="1537" t="s">
        <v>4344</v>
      </c>
      <c r="H383" s="1521">
        <v>1</v>
      </c>
      <c r="I383" s="1521" t="s">
        <v>4099</v>
      </c>
      <c r="J383" s="1538">
        <v>1</v>
      </c>
      <c r="K383" s="1525"/>
      <c r="L383" s="1519">
        <v>13013180501</v>
      </c>
      <c r="M383" s="1520">
        <v>1</v>
      </c>
      <c r="N383" s="1520">
        <v>1</v>
      </c>
      <c r="O383" s="1520">
        <v>2</v>
      </c>
      <c r="P383" s="504" t="s">
        <v>750</v>
      </c>
      <c r="Q383" s="287"/>
      <c r="R383" s="168"/>
      <c r="S383" s="380"/>
      <c r="T383" s="473" t="s">
        <v>2456</v>
      </c>
      <c r="U383" s="473" t="s">
        <v>2375</v>
      </c>
      <c r="W383" s="418" t="s">
        <v>1561</v>
      </c>
      <c r="X383" s="418" t="s">
        <v>3139</v>
      </c>
      <c r="AA383" s="27"/>
      <c r="AB383" s="27"/>
      <c r="AC383" s="809"/>
      <c r="AD383" s="481"/>
    </row>
    <row r="384" spans="3:30" ht="10.5" customHeight="1">
      <c r="C384" s="1526" t="s">
        <v>4345</v>
      </c>
      <c r="D384" s="1523">
        <v>1</v>
      </c>
      <c r="E384" s="1523">
        <v>1</v>
      </c>
      <c r="F384" s="1524">
        <v>2</v>
      </c>
      <c r="G384" s="1537" t="s">
        <v>4345</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3139</v>
      </c>
      <c r="AA384" s="27"/>
      <c r="AB384" s="27"/>
      <c r="AC384" s="810"/>
      <c r="AD384" s="481"/>
    </row>
    <row r="385" spans="3:30" ht="10.5" customHeight="1">
      <c r="C385" s="1526" t="s">
        <v>4346</v>
      </c>
      <c r="D385" s="1523">
        <v>1</v>
      </c>
      <c r="E385" s="1523">
        <v>1</v>
      </c>
      <c r="F385" s="1524">
        <v>2</v>
      </c>
      <c r="G385" s="1537" t="s">
        <v>4346</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3139</v>
      </c>
      <c r="AA385" s="27"/>
      <c r="AB385" s="27"/>
      <c r="AC385" s="809"/>
      <c r="AD385" s="481"/>
    </row>
    <row r="386" spans="3:30" ht="10.5" customHeight="1">
      <c r="C386" s="1526" t="s">
        <v>4347</v>
      </c>
      <c r="D386" s="1523">
        <v>1</v>
      </c>
      <c r="E386" s="1523">
        <v>1</v>
      </c>
      <c r="F386" s="1524">
        <v>2</v>
      </c>
      <c r="G386" s="1537" t="s">
        <v>4347</v>
      </c>
      <c r="H386" s="1521">
        <v>1</v>
      </c>
      <c r="I386" s="1521">
        <v>1</v>
      </c>
      <c r="J386" s="1538">
        <v>2</v>
      </c>
      <c r="K386" s="1525"/>
      <c r="L386" s="1519">
        <v>13015960101</v>
      </c>
      <c r="M386" s="1520">
        <v>1</v>
      </c>
      <c r="N386" s="1520">
        <v>1</v>
      </c>
      <c r="O386" s="1520">
        <v>2</v>
      </c>
      <c r="P386" s="504" t="s">
        <v>224</v>
      </c>
      <c r="Q386" s="287"/>
      <c r="R386" s="168"/>
      <c r="S386" s="380"/>
      <c r="T386" s="473" t="s">
        <v>2457</v>
      </c>
      <c r="U386" s="473" t="s">
        <v>1918</v>
      </c>
      <c r="W386" s="418" t="s">
        <v>1617</v>
      </c>
      <c r="X386" s="418" t="s">
        <v>3139</v>
      </c>
      <c r="AA386" s="27"/>
      <c r="AB386" s="27"/>
      <c r="AC386" s="809"/>
      <c r="AD386" s="481"/>
    </row>
    <row r="387" spans="3:30" ht="10.5" customHeight="1">
      <c r="C387" s="1526" t="s">
        <v>4348</v>
      </c>
      <c r="D387" s="1523">
        <v>1</v>
      </c>
      <c r="E387" s="1523">
        <v>1</v>
      </c>
      <c r="F387" s="1524">
        <v>2</v>
      </c>
      <c r="G387" s="1537" t="s">
        <v>4348</v>
      </c>
      <c r="H387" s="1521">
        <v>1</v>
      </c>
      <c r="I387" s="1521">
        <v>1</v>
      </c>
      <c r="J387" s="1538">
        <v>2</v>
      </c>
      <c r="K387" s="1525"/>
      <c r="L387" s="1519">
        <v>13015960102</v>
      </c>
      <c r="M387" s="1520">
        <v>1</v>
      </c>
      <c r="N387" s="1520">
        <v>1</v>
      </c>
      <c r="O387" s="1520">
        <v>2</v>
      </c>
      <c r="P387" s="504" t="s">
        <v>753</v>
      </c>
      <c r="Q387" s="287"/>
      <c r="R387" s="168"/>
      <c r="S387" s="380"/>
      <c r="T387" s="473" t="s">
        <v>1599</v>
      </c>
      <c r="U387" s="473" t="s">
        <v>2373</v>
      </c>
      <c r="W387" s="418" t="s">
        <v>1618</v>
      </c>
      <c r="X387" s="418" t="s">
        <v>3139</v>
      </c>
      <c r="AA387" s="27"/>
      <c r="AB387" s="27"/>
      <c r="AC387" s="809"/>
      <c r="AD387" s="481"/>
    </row>
    <row r="388" spans="3:30" ht="10.5" customHeight="1">
      <c r="C388" s="1526" t="s">
        <v>4349</v>
      </c>
      <c r="D388" s="1523">
        <v>0</v>
      </c>
      <c r="E388" s="1523">
        <v>1</v>
      </c>
      <c r="F388" s="1524">
        <v>1</v>
      </c>
      <c r="G388" s="1537" t="s">
        <v>4349</v>
      </c>
      <c r="H388" s="1521">
        <v>1</v>
      </c>
      <c r="I388" s="1521">
        <v>0</v>
      </c>
      <c r="J388" s="1538">
        <v>1</v>
      </c>
      <c r="K388" s="1525"/>
      <c r="L388" s="1519">
        <v>13015960200</v>
      </c>
      <c r="M388" s="1520">
        <v>1</v>
      </c>
      <c r="N388" s="1520">
        <v>1</v>
      </c>
      <c r="O388" s="1520">
        <v>1</v>
      </c>
      <c r="P388" s="504" t="s">
        <v>754</v>
      </c>
      <c r="Q388" s="287"/>
      <c r="R388" s="168"/>
      <c r="S388" s="380"/>
      <c r="T388" s="473" t="s">
        <v>2177</v>
      </c>
      <c r="U388" s="473" t="s">
        <v>627</v>
      </c>
      <c r="W388" s="418" t="s">
        <v>1620</v>
      </c>
      <c r="X388" s="418" t="s">
        <v>3139</v>
      </c>
      <c r="AA388" s="27"/>
      <c r="AB388" s="27"/>
      <c r="AC388" s="809"/>
      <c r="AD388" s="481"/>
    </row>
    <row r="389" spans="3:30" ht="10.5" customHeight="1">
      <c r="C389" s="1526" t="s">
        <v>4350</v>
      </c>
      <c r="D389" s="1523">
        <v>1</v>
      </c>
      <c r="E389" s="1523">
        <v>1</v>
      </c>
      <c r="F389" s="1524">
        <v>2</v>
      </c>
      <c r="G389" s="1537" t="s">
        <v>4350</v>
      </c>
      <c r="H389" s="1521">
        <v>1</v>
      </c>
      <c r="I389" s="1521">
        <v>1</v>
      </c>
      <c r="J389" s="1538">
        <v>2</v>
      </c>
      <c r="K389" s="1525"/>
      <c r="L389" s="1519">
        <v>13015960300</v>
      </c>
      <c r="M389" s="1520">
        <v>1</v>
      </c>
      <c r="N389" s="1520">
        <v>1</v>
      </c>
      <c r="O389" s="1520">
        <v>2</v>
      </c>
      <c r="P389" s="504" t="s">
        <v>756</v>
      </c>
      <c r="Q389" s="287"/>
      <c r="R389" s="168"/>
      <c r="S389" s="380"/>
      <c r="T389" s="473" t="s">
        <v>2179</v>
      </c>
      <c r="U389" s="473" t="s">
        <v>1266</v>
      </c>
      <c r="W389" s="418" t="s">
        <v>1623</v>
      </c>
      <c r="X389" s="418" t="s">
        <v>3139</v>
      </c>
      <c r="AA389" s="27"/>
      <c r="AB389" s="27"/>
      <c r="AC389" s="809"/>
      <c r="AD389" s="481"/>
    </row>
    <row r="390" spans="3:30" ht="10.5" customHeight="1">
      <c r="C390" s="1526" t="s">
        <v>4351</v>
      </c>
      <c r="D390" s="1523">
        <v>1</v>
      </c>
      <c r="E390" s="1523">
        <v>1</v>
      </c>
      <c r="F390" s="1524">
        <v>2</v>
      </c>
      <c r="G390" s="1537" t="s">
        <v>4351</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3139</v>
      </c>
      <c r="AA390" s="27"/>
      <c r="AB390" s="27"/>
      <c r="AC390" s="809"/>
      <c r="AD390" s="481"/>
    </row>
    <row r="391" spans="3:30" ht="10.5" customHeight="1">
      <c r="C391" s="1526" t="s">
        <v>4352</v>
      </c>
      <c r="D391" s="1523">
        <v>0</v>
      </c>
      <c r="E391" s="1523">
        <v>1</v>
      </c>
      <c r="F391" s="1524">
        <v>1</v>
      </c>
      <c r="G391" s="1537" t="s">
        <v>4352</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3139</v>
      </c>
      <c r="AA391" s="27"/>
      <c r="AB391" s="27"/>
      <c r="AC391" s="809"/>
      <c r="AD391" s="481"/>
    </row>
    <row r="392" spans="3:30" ht="10.5" customHeight="1">
      <c r="C392" s="1526" t="s">
        <v>4353</v>
      </c>
      <c r="D392" s="1523">
        <v>0</v>
      </c>
      <c r="E392" s="1523">
        <v>0</v>
      </c>
      <c r="F392" s="1524">
        <v>0</v>
      </c>
      <c r="G392" s="1537" t="s">
        <v>4353</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3139</v>
      </c>
      <c r="AA392" s="27"/>
      <c r="AB392" s="27"/>
      <c r="AC392" s="809"/>
      <c r="AD392" s="481"/>
    </row>
    <row r="393" spans="3:30" ht="10.5" customHeight="1">
      <c r="C393" s="1526" t="s">
        <v>4354</v>
      </c>
      <c r="D393" s="1523">
        <v>0</v>
      </c>
      <c r="E393" s="1523">
        <v>0</v>
      </c>
      <c r="F393" s="1524">
        <v>0</v>
      </c>
      <c r="G393" s="1537" t="s">
        <v>4354</v>
      </c>
      <c r="H393" s="1521">
        <v>1</v>
      </c>
      <c r="I393" s="1521">
        <v>0</v>
      </c>
      <c r="J393" s="1538">
        <v>0</v>
      </c>
      <c r="K393" s="1525"/>
      <c r="L393" s="1519">
        <v>13015960600</v>
      </c>
      <c r="M393" s="1520">
        <v>1</v>
      </c>
      <c r="N393" s="1520">
        <v>0</v>
      </c>
      <c r="O393" s="1520">
        <v>0</v>
      </c>
      <c r="P393" s="504" t="s">
        <v>864</v>
      </c>
      <c r="Q393" s="287"/>
      <c r="R393" s="168"/>
      <c r="S393" s="380"/>
      <c r="T393" s="473" t="s">
        <v>2282</v>
      </c>
      <c r="U393" s="473" t="s">
        <v>149</v>
      </c>
      <c r="W393" s="418" t="s">
        <v>1632</v>
      </c>
      <c r="X393" s="418" t="s">
        <v>3139</v>
      </c>
      <c r="AA393" s="27"/>
      <c r="AB393" s="27"/>
      <c r="AC393" s="809"/>
      <c r="AD393" s="481"/>
    </row>
    <row r="394" spans="3:30" ht="10.5" customHeight="1">
      <c r="C394" s="1526" t="s">
        <v>4355</v>
      </c>
      <c r="D394" s="1523">
        <v>0</v>
      </c>
      <c r="E394" s="1523">
        <v>0</v>
      </c>
      <c r="F394" s="1524">
        <v>0</v>
      </c>
      <c r="G394" s="1537" t="s">
        <v>4355</v>
      </c>
      <c r="H394" s="1521">
        <v>0</v>
      </c>
      <c r="I394" s="1521">
        <v>0</v>
      </c>
      <c r="J394" s="1538">
        <v>0</v>
      </c>
      <c r="K394" s="1525"/>
      <c r="L394" s="1519">
        <v>13015960700</v>
      </c>
      <c r="M394" s="1520">
        <v>0</v>
      </c>
      <c r="N394" s="1520">
        <v>0</v>
      </c>
      <c r="O394" s="1520">
        <v>0</v>
      </c>
      <c r="P394" s="504" t="s">
        <v>2350</v>
      </c>
      <c r="Q394" s="287"/>
      <c r="R394" s="168"/>
      <c r="S394" s="380"/>
      <c r="T394" s="473" t="s">
        <v>211</v>
      </c>
      <c r="U394" s="473" t="s">
        <v>2372</v>
      </c>
      <c r="W394" s="418" t="s">
        <v>1633</v>
      </c>
      <c r="X394" s="418" t="s">
        <v>3139</v>
      </c>
      <c r="AA394" s="27"/>
      <c r="AB394" s="27"/>
      <c r="AC394" s="809"/>
      <c r="AD394" s="481"/>
    </row>
    <row r="395" spans="3:30" ht="10.5" customHeight="1">
      <c r="C395" s="1526" t="s">
        <v>4356</v>
      </c>
      <c r="D395" s="1523">
        <v>0</v>
      </c>
      <c r="E395" s="1523">
        <v>0</v>
      </c>
      <c r="F395" s="1524">
        <v>0</v>
      </c>
      <c r="G395" s="1537" t="s">
        <v>4356</v>
      </c>
      <c r="H395" s="1521">
        <v>0</v>
      </c>
      <c r="I395" s="1521">
        <v>0</v>
      </c>
      <c r="J395" s="1538">
        <v>0</v>
      </c>
      <c r="K395" s="1525"/>
      <c r="L395" s="1519">
        <v>13015960801</v>
      </c>
      <c r="M395" s="1520">
        <v>0</v>
      </c>
      <c r="N395" s="1520">
        <v>0</v>
      </c>
      <c r="O395" s="1520">
        <v>0</v>
      </c>
      <c r="P395" s="504" t="s">
        <v>3355</v>
      </c>
      <c r="Q395" s="287"/>
      <c r="R395" s="168"/>
      <c r="S395" s="380"/>
      <c r="T395" s="473" t="s">
        <v>629</v>
      </c>
      <c r="U395" s="473" t="s">
        <v>1569</v>
      </c>
      <c r="W395" s="418" t="s">
        <v>1634</v>
      </c>
      <c r="X395" s="418" t="s">
        <v>3139</v>
      </c>
      <c r="AA395" s="27"/>
      <c r="AB395" s="27"/>
      <c r="AC395" s="809"/>
      <c r="AD395" s="481"/>
    </row>
    <row r="396" spans="3:30" ht="10.5" customHeight="1">
      <c r="C396" s="1526" t="s">
        <v>4357</v>
      </c>
      <c r="D396" s="1523">
        <v>0</v>
      </c>
      <c r="E396" s="1523">
        <v>0</v>
      </c>
      <c r="F396" s="1524">
        <v>0</v>
      </c>
      <c r="G396" s="1537" t="s">
        <v>4357</v>
      </c>
      <c r="H396" s="1521">
        <v>0</v>
      </c>
      <c r="I396" s="1521">
        <v>0</v>
      </c>
      <c r="J396" s="1538">
        <v>0</v>
      </c>
      <c r="K396" s="1525"/>
      <c r="L396" s="1519">
        <v>13015960802</v>
      </c>
      <c r="M396" s="1520">
        <v>0</v>
      </c>
      <c r="N396" s="1520">
        <v>0</v>
      </c>
      <c r="O396" s="1520">
        <v>0</v>
      </c>
      <c r="P396" s="504" t="s">
        <v>867</v>
      </c>
      <c r="Q396" s="287"/>
      <c r="R396" s="168"/>
      <c r="S396" s="380"/>
      <c r="T396" s="473" t="s">
        <v>2259</v>
      </c>
      <c r="U396" s="473" t="s">
        <v>2370</v>
      </c>
      <c r="W396" s="418" t="s">
        <v>99</v>
      </c>
      <c r="X396" s="418" t="s">
        <v>3139</v>
      </c>
      <c r="AA396" s="27"/>
      <c r="AB396" s="27"/>
      <c r="AC396" s="809"/>
      <c r="AD396" s="481"/>
    </row>
    <row r="397" spans="3:30" ht="10.5" customHeight="1">
      <c r="C397" s="1526" t="s">
        <v>4358</v>
      </c>
      <c r="D397" s="1523">
        <v>0</v>
      </c>
      <c r="E397" s="1523">
        <v>0</v>
      </c>
      <c r="F397" s="1524">
        <v>0</v>
      </c>
      <c r="G397" s="1537" t="s">
        <v>4358</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3139</v>
      </c>
      <c r="AA397" s="27"/>
      <c r="AB397" s="27"/>
      <c r="AC397" s="809"/>
      <c r="AD397" s="481"/>
    </row>
    <row r="398" spans="3:30" ht="10.5" customHeight="1">
      <c r="C398" s="1526" t="s">
        <v>4359</v>
      </c>
      <c r="D398" s="1523">
        <v>0</v>
      </c>
      <c r="E398" s="1523">
        <v>1</v>
      </c>
      <c r="F398" s="1524">
        <v>1</v>
      </c>
      <c r="G398" s="1537" t="s">
        <v>4359</v>
      </c>
      <c r="H398" s="1521">
        <v>1</v>
      </c>
      <c r="I398" s="1521" t="s">
        <v>4099</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3139</v>
      </c>
      <c r="AA398" s="27"/>
      <c r="AB398" s="27"/>
      <c r="AC398" s="809"/>
      <c r="AD398" s="481"/>
    </row>
    <row r="399" spans="3:30" ht="10.5" customHeight="1">
      <c r="C399" s="1526" t="s">
        <v>4360</v>
      </c>
      <c r="D399" s="1523">
        <v>1</v>
      </c>
      <c r="E399" s="1523">
        <v>1</v>
      </c>
      <c r="F399" s="1524">
        <v>2</v>
      </c>
      <c r="G399" s="1537" t="s">
        <v>4360</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3139</v>
      </c>
      <c r="AA399" s="27"/>
      <c r="AB399" s="27"/>
      <c r="AC399" s="809"/>
      <c r="AD399" s="481"/>
    </row>
    <row r="400" spans="3:30" ht="10.5" customHeight="1">
      <c r="C400" s="1526" t="s">
        <v>4361</v>
      </c>
      <c r="D400" s="1523">
        <v>1</v>
      </c>
      <c r="E400" s="1523">
        <v>1</v>
      </c>
      <c r="F400" s="1524">
        <v>2</v>
      </c>
      <c r="G400" s="1537" t="s">
        <v>4361</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3139</v>
      </c>
      <c r="AA400" s="27"/>
      <c r="AB400" s="27"/>
      <c r="AC400" s="809"/>
      <c r="AD400" s="481"/>
    </row>
    <row r="401" spans="3:30" ht="10.5" customHeight="1">
      <c r="C401" s="1526" t="s">
        <v>4362</v>
      </c>
      <c r="D401" s="1523">
        <v>0</v>
      </c>
      <c r="E401" s="1523">
        <v>0</v>
      </c>
      <c r="F401" s="1524">
        <v>0</v>
      </c>
      <c r="G401" s="1537" t="s">
        <v>4362</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3139</v>
      </c>
      <c r="AA401" s="27"/>
      <c r="AB401" s="27"/>
      <c r="AC401" s="809"/>
      <c r="AD401" s="481"/>
    </row>
    <row r="402" spans="3:30" ht="10.5" customHeight="1">
      <c r="C402" s="1526" t="s">
        <v>4363</v>
      </c>
      <c r="D402" s="1523">
        <v>0</v>
      </c>
      <c r="E402" s="1523">
        <v>0</v>
      </c>
      <c r="F402" s="1524">
        <v>0</v>
      </c>
      <c r="G402" s="1537" t="s">
        <v>4363</v>
      </c>
      <c r="H402" s="1521">
        <v>0</v>
      </c>
      <c r="I402" s="1521">
        <v>0</v>
      </c>
      <c r="J402" s="1538">
        <v>0</v>
      </c>
      <c r="K402" s="1525"/>
      <c r="L402" s="1519">
        <v>13017960200</v>
      </c>
      <c r="M402" s="1520">
        <v>0</v>
      </c>
      <c r="N402" s="1520">
        <v>0</v>
      </c>
      <c r="O402" s="1520">
        <v>0</v>
      </c>
      <c r="P402" s="504" t="s">
        <v>49</v>
      </c>
      <c r="Q402" s="287"/>
      <c r="R402" s="168"/>
      <c r="S402" s="380"/>
      <c r="T402" s="473" t="s">
        <v>1173</v>
      </c>
      <c r="U402" s="473" t="s">
        <v>2378</v>
      </c>
      <c r="W402" s="418" t="s">
        <v>1481</v>
      </c>
      <c r="X402" s="418" t="s">
        <v>3139</v>
      </c>
      <c r="AA402" s="27"/>
      <c r="AB402" s="27"/>
      <c r="AC402" s="809"/>
      <c r="AD402" s="481"/>
    </row>
    <row r="403" spans="3:30" ht="10.5" customHeight="1">
      <c r="C403" s="1526" t="s">
        <v>4364</v>
      </c>
      <c r="D403" s="1523">
        <v>0</v>
      </c>
      <c r="E403" s="1523">
        <v>0</v>
      </c>
      <c r="F403" s="1524">
        <v>0</v>
      </c>
      <c r="G403" s="1537" t="s">
        <v>4364</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3139</v>
      </c>
      <c r="AA403" s="27"/>
      <c r="AB403" s="27"/>
      <c r="AC403" s="809"/>
      <c r="AD403" s="481"/>
    </row>
    <row r="404" spans="3:30" ht="10.5" customHeight="1">
      <c r="C404" s="1526" t="s">
        <v>4365</v>
      </c>
      <c r="D404" s="1523">
        <v>0</v>
      </c>
      <c r="E404" s="1523">
        <v>0</v>
      </c>
      <c r="F404" s="1524">
        <v>0</v>
      </c>
      <c r="G404" s="1537" t="s">
        <v>4365</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2278</v>
      </c>
      <c r="X404" s="418" t="s">
        <v>3139</v>
      </c>
      <c r="AA404" s="27"/>
      <c r="AB404" s="27"/>
      <c r="AC404" s="809"/>
      <c r="AD404" s="481"/>
    </row>
    <row r="405" spans="3:30" ht="10.5" customHeight="1">
      <c r="C405" s="1526" t="s">
        <v>4366</v>
      </c>
      <c r="D405" s="1523">
        <v>0</v>
      </c>
      <c r="E405" s="1523">
        <v>0</v>
      </c>
      <c r="F405" s="1524">
        <v>0</v>
      </c>
      <c r="G405" s="1537" t="s">
        <v>4366</v>
      </c>
      <c r="H405" s="1521">
        <v>0</v>
      </c>
      <c r="I405" s="1521">
        <v>1</v>
      </c>
      <c r="J405" s="1538">
        <v>1</v>
      </c>
      <c r="K405" s="1525"/>
      <c r="L405" s="1519">
        <v>13017960500</v>
      </c>
      <c r="M405" s="1520">
        <v>0</v>
      </c>
      <c r="N405" s="1520">
        <v>1</v>
      </c>
      <c r="O405" s="1520">
        <v>1</v>
      </c>
      <c r="P405" s="504" t="s">
        <v>959</v>
      </c>
      <c r="Q405" s="287"/>
      <c r="R405" s="168"/>
      <c r="S405" s="380"/>
      <c r="T405" s="473" t="s">
        <v>865</v>
      </c>
      <c r="U405" s="473" t="s">
        <v>2141</v>
      </c>
      <c r="W405" s="418" t="s">
        <v>801</v>
      </c>
      <c r="X405" s="418" t="s">
        <v>3139</v>
      </c>
      <c r="AA405" s="27"/>
      <c r="AB405" s="27"/>
      <c r="AC405" s="809"/>
      <c r="AD405" s="481"/>
    </row>
    <row r="406" spans="3:30" ht="10.5" customHeight="1">
      <c r="C406" s="1526" t="s">
        <v>4367</v>
      </c>
      <c r="D406" s="1523">
        <v>0</v>
      </c>
      <c r="E406" s="1523">
        <v>0</v>
      </c>
      <c r="F406" s="1524">
        <v>0</v>
      </c>
      <c r="G406" s="1537" t="s">
        <v>4367</v>
      </c>
      <c r="H406" s="1521">
        <v>0</v>
      </c>
      <c r="I406" s="1521" t="s">
        <v>4099</v>
      </c>
      <c r="J406" s="1538">
        <v>0</v>
      </c>
      <c r="K406" s="1525"/>
      <c r="L406" s="1519">
        <v>13019970100</v>
      </c>
      <c r="M406" s="1520">
        <v>0</v>
      </c>
      <c r="N406" s="1520">
        <v>0</v>
      </c>
      <c r="O406" s="1520">
        <v>0</v>
      </c>
      <c r="P406" s="504" t="s">
        <v>960</v>
      </c>
      <c r="Q406" s="287"/>
      <c r="R406" s="168"/>
      <c r="S406" s="380"/>
      <c r="T406" s="473" t="s">
        <v>2351</v>
      </c>
      <c r="U406" s="473" t="s">
        <v>1791</v>
      </c>
      <c r="W406" s="418" t="s">
        <v>803</v>
      </c>
      <c r="X406" s="418" t="s">
        <v>3139</v>
      </c>
      <c r="AA406" s="27"/>
      <c r="AB406" s="27"/>
      <c r="AC406" s="809"/>
      <c r="AD406" s="481"/>
    </row>
    <row r="407" spans="3:30" ht="10.5" customHeight="1">
      <c r="C407" s="1526" t="s">
        <v>4368</v>
      </c>
      <c r="D407" s="1523">
        <v>0</v>
      </c>
      <c r="E407" s="1523">
        <v>0</v>
      </c>
      <c r="F407" s="1524">
        <v>0</v>
      </c>
      <c r="G407" s="1537" t="s">
        <v>4368</v>
      </c>
      <c r="H407" s="1521">
        <v>0</v>
      </c>
      <c r="I407" s="1521">
        <v>0</v>
      </c>
      <c r="J407" s="1538">
        <v>0</v>
      </c>
      <c r="K407" s="1525"/>
      <c r="L407" s="1519">
        <v>13019970200</v>
      </c>
      <c r="M407" s="1520">
        <v>0</v>
      </c>
      <c r="N407" s="1520">
        <v>0</v>
      </c>
      <c r="O407" s="1520">
        <v>0</v>
      </c>
      <c r="P407" s="504" t="s">
        <v>962</v>
      </c>
      <c r="Q407" s="287"/>
      <c r="R407" s="168"/>
      <c r="S407" s="380"/>
      <c r="T407" s="505" t="s">
        <v>868</v>
      </c>
      <c r="U407" s="505" t="s">
        <v>2085</v>
      </c>
      <c r="AA407" s="27"/>
      <c r="AB407" s="27"/>
      <c r="AC407" s="810"/>
      <c r="AD407" s="481"/>
    </row>
    <row r="408" spans="3:30" ht="10.5" customHeight="1">
      <c r="C408" s="1526" t="s">
        <v>4369</v>
      </c>
      <c r="D408" s="1523">
        <v>0</v>
      </c>
      <c r="E408" s="1523">
        <v>0</v>
      </c>
      <c r="F408" s="1524">
        <v>0</v>
      </c>
      <c r="G408" s="1537" t="s">
        <v>4369</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4370</v>
      </c>
      <c r="D409" s="1523">
        <v>0</v>
      </c>
      <c r="E409" s="1523">
        <v>0</v>
      </c>
      <c r="F409" s="1524">
        <v>0</v>
      </c>
      <c r="G409" s="1537" t="s">
        <v>4370</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4371</v>
      </c>
      <c r="D410" s="1523">
        <v>0</v>
      </c>
      <c r="E410" s="1523">
        <v>0</v>
      </c>
      <c r="F410" s="1524">
        <v>0</v>
      </c>
      <c r="G410" s="1537" t="s">
        <v>4371</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4372</v>
      </c>
      <c r="D411" s="1523">
        <v>0</v>
      </c>
      <c r="E411" s="1523">
        <v>0</v>
      </c>
      <c r="F411" s="1524">
        <v>0</v>
      </c>
      <c r="G411" s="1537" t="s">
        <v>4372</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4373</v>
      </c>
      <c r="D412" s="1523">
        <v>0</v>
      </c>
      <c r="E412" s="1523">
        <v>0</v>
      </c>
      <c r="F412" s="1524">
        <v>0</v>
      </c>
      <c r="G412" s="1537" t="s">
        <v>4373</v>
      </c>
      <c r="H412" s="1521">
        <v>0</v>
      </c>
      <c r="I412" s="1521">
        <v>0</v>
      </c>
      <c r="J412" s="1538">
        <v>0</v>
      </c>
      <c r="K412" s="1525"/>
      <c r="L412" s="1519">
        <v>13021010100</v>
      </c>
      <c r="M412" s="1520">
        <v>0</v>
      </c>
      <c r="N412" s="1520">
        <v>0</v>
      </c>
      <c r="O412" s="1520">
        <v>0</v>
      </c>
      <c r="P412" s="504" t="s">
        <v>544</v>
      </c>
      <c r="Q412" s="287"/>
      <c r="R412" s="168"/>
      <c r="S412" s="380"/>
      <c r="T412" s="473" t="s">
        <v>650</v>
      </c>
      <c r="U412" s="473" t="s">
        <v>2089</v>
      </c>
      <c r="AA412" s="27"/>
      <c r="AB412" s="27"/>
      <c r="AC412" s="809"/>
      <c r="AD412" s="481"/>
    </row>
    <row r="413" spans="3:30" ht="10.5" customHeight="1">
      <c r="C413" s="1526" t="s">
        <v>4374</v>
      </c>
      <c r="D413" s="1523">
        <v>0</v>
      </c>
      <c r="E413" s="1523">
        <v>0</v>
      </c>
      <c r="F413" s="1524">
        <v>0</v>
      </c>
      <c r="G413" s="1537" t="s">
        <v>4374</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4375</v>
      </c>
      <c r="D414" s="1523">
        <v>0</v>
      </c>
      <c r="E414" s="1523">
        <v>0</v>
      </c>
      <c r="F414" s="1524">
        <v>0</v>
      </c>
      <c r="G414" s="1537" t="s">
        <v>4375</v>
      </c>
      <c r="H414" s="1521">
        <v>0</v>
      </c>
      <c r="I414" s="1521" t="s">
        <v>4099</v>
      </c>
      <c r="J414" s="1538">
        <v>0</v>
      </c>
      <c r="K414" s="1525"/>
      <c r="L414" s="1519">
        <v>13021010300</v>
      </c>
      <c r="M414" s="1520">
        <v>0</v>
      </c>
      <c r="N414" s="1520">
        <v>0</v>
      </c>
      <c r="O414" s="1520">
        <v>0</v>
      </c>
      <c r="P414" s="504" t="s">
        <v>357</v>
      </c>
      <c r="Q414" s="287"/>
      <c r="R414" s="168"/>
      <c r="S414" s="380"/>
      <c r="T414" s="473" t="s">
        <v>926</v>
      </c>
      <c r="U414" s="473" t="s">
        <v>1919</v>
      </c>
      <c r="AA414" s="27"/>
      <c r="AB414" s="27"/>
      <c r="AC414" s="809"/>
      <c r="AD414" s="481"/>
    </row>
    <row r="415" spans="3:30" ht="10.5" customHeight="1">
      <c r="C415" s="1526" t="s">
        <v>4376</v>
      </c>
      <c r="D415" s="1523">
        <v>0</v>
      </c>
      <c r="E415" s="1523">
        <v>0</v>
      </c>
      <c r="F415" s="1524">
        <v>0</v>
      </c>
      <c r="G415" s="1537" t="s">
        <v>4376</v>
      </c>
      <c r="H415" s="1521">
        <v>0</v>
      </c>
      <c r="I415" s="1521">
        <v>0</v>
      </c>
      <c r="J415" s="1538">
        <v>0</v>
      </c>
      <c r="K415" s="1525"/>
      <c r="L415" s="1519">
        <v>13021010400</v>
      </c>
      <c r="M415" s="1520">
        <v>0</v>
      </c>
      <c r="N415" s="1520">
        <v>0</v>
      </c>
      <c r="O415" s="1520">
        <v>0</v>
      </c>
      <c r="P415" s="504" t="s">
        <v>359</v>
      </c>
      <c r="Q415" s="287"/>
      <c r="R415" s="168"/>
      <c r="S415" s="380"/>
      <c r="T415" s="473" t="s">
        <v>637</v>
      </c>
      <c r="U415" s="473" t="s">
        <v>2290</v>
      </c>
      <c r="AA415" s="27"/>
      <c r="AB415" s="27"/>
      <c r="AC415" s="809"/>
      <c r="AD415" s="481"/>
    </row>
    <row r="416" spans="3:30" ht="10.5" customHeight="1">
      <c r="C416" s="1526" t="s">
        <v>4377</v>
      </c>
      <c r="D416" s="1523">
        <v>0</v>
      </c>
      <c r="E416" s="1523">
        <v>0</v>
      </c>
      <c r="F416" s="1524">
        <v>0</v>
      </c>
      <c r="G416" s="1537" t="s">
        <v>4377</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4378</v>
      </c>
      <c r="D417" s="1523">
        <v>1</v>
      </c>
      <c r="E417" s="1523">
        <v>1</v>
      </c>
      <c r="F417" s="1524">
        <v>2</v>
      </c>
      <c r="G417" s="1537" t="s">
        <v>4378</v>
      </c>
      <c r="H417" s="1521">
        <v>0</v>
      </c>
      <c r="I417" s="1521" t="s">
        <v>4099</v>
      </c>
      <c r="J417" s="1538">
        <v>0</v>
      </c>
      <c r="K417" s="1525"/>
      <c r="L417" s="1519">
        <v>13021010800</v>
      </c>
      <c r="M417" s="1520">
        <v>1</v>
      </c>
      <c r="N417" s="1520">
        <v>1</v>
      </c>
      <c r="O417" s="1520">
        <v>2</v>
      </c>
      <c r="P417" s="504" t="s">
        <v>1365</v>
      </c>
      <c r="Q417" s="287"/>
      <c r="R417" s="168"/>
      <c r="S417" s="380"/>
      <c r="T417" s="505" t="s">
        <v>963</v>
      </c>
      <c r="U417" s="505" t="s">
        <v>2414</v>
      </c>
      <c r="AA417" s="27"/>
      <c r="AB417" s="27"/>
      <c r="AC417" s="810"/>
      <c r="AD417" s="481"/>
    </row>
    <row r="418" spans="3:30" ht="10.5" customHeight="1">
      <c r="C418" s="1526" t="s">
        <v>4379</v>
      </c>
      <c r="D418" s="1523">
        <v>0</v>
      </c>
      <c r="E418" s="1523">
        <v>0</v>
      </c>
      <c r="F418" s="1524">
        <v>0</v>
      </c>
      <c r="G418" s="1537" t="s">
        <v>4379</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4380</v>
      </c>
      <c r="D419" s="1523">
        <v>0</v>
      </c>
      <c r="E419" s="1523">
        <v>0</v>
      </c>
      <c r="F419" s="1524">
        <v>0</v>
      </c>
      <c r="G419" s="1537" t="s">
        <v>4380</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4381</v>
      </c>
      <c r="D420" s="1523">
        <v>0</v>
      </c>
      <c r="E420" s="1523">
        <v>0</v>
      </c>
      <c r="F420" s="1524">
        <v>0</v>
      </c>
      <c r="G420" s="1537" t="s">
        <v>4381</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4382</v>
      </c>
      <c r="D421" s="1523">
        <v>0</v>
      </c>
      <c r="E421" s="1523">
        <v>0</v>
      </c>
      <c r="F421" s="1524">
        <v>0</v>
      </c>
      <c r="G421" s="1537" t="s">
        <v>4382</v>
      </c>
      <c r="H421" s="1521">
        <v>0</v>
      </c>
      <c r="I421" s="1521">
        <v>1</v>
      </c>
      <c r="J421" s="1538">
        <v>1</v>
      </c>
      <c r="K421" s="1525"/>
      <c r="L421" s="1519">
        <v>13021011701</v>
      </c>
      <c r="M421" s="1520">
        <v>0</v>
      </c>
      <c r="N421" s="1520">
        <v>1</v>
      </c>
      <c r="O421" s="1520">
        <v>1</v>
      </c>
      <c r="P421" s="504" t="s">
        <v>973</v>
      </c>
      <c r="Q421" s="287"/>
      <c r="R421" s="168"/>
      <c r="S421" s="380"/>
      <c r="T421" s="473" t="s">
        <v>948</v>
      </c>
      <c r="U421" s="473" t="s">
        <v>1791</v>
      </c>
      <c r="AA421" s="27"/>
      <c r="AB421" s="27"/>
      <c r="AC421" s="809"/>
      <c r="AD421" s="481"/>
    </row>
    <row r="422" spans="3:30" ht="10.5" customHeight="1">
      <c r="C422" s="1526" t="s">
        <v>4383</v>
      </c>
      <c r="D422" s="1523">
        <v>0</v>
      </c>
      <c r="E422" s="1523">
        <v>0</v>
      </c>
      <c r="F422" s="1524">
        <v>0</v>
      </c>
      <c r="G422" s="1537" t="s">
        <v>4383</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4384</v>
      </c>
      <c r="D423" s="1523">
        <v>1</v>
      </c>
      <c r="E423" s="1523">
        <v>0</v>
      </c>
      <c r="F423" s="1524">
        <v>1</v>
      </c>
      <c r="G423" s="1537" t="s">
        <v>4384</v>
      </c>
      <c r="H423" s="1521">
        <v>1</v>
      </c>
      <c r="I423" s="1521">
        <v>1</v>
      </c>
      <c r="J423" s="1538">
        <v>2</v>
      </c>
      <c r="K423" s="1525"/>
      <c r="L423" s="1519">
        <v>13021011800</v>
      </c>
      <c r="M423" s="1520">
        <v>1</v>
      </c>
      <c r="N423" s="1520">
        <v>1</v>
      </c>
      <c r="O423" s="1520">
        <v>2</v>
      </c>
      <c r="P423" s="504" t="s">
        <v>1601</v>
      </c>
      <c r="Q423" s="287"/>
      <c r="R423" s="168"/>
      <c r="S423" s="380"/>
      <c r="T423" s="473" t="s">
        <v>545</v>
      </c>
      <c r="U423" s="473" t="s">
        <v>2078</v>
      </c>
      <c r="AA423" s="27"/>
      <c r="AB423" s="27"/>
      <c r="AC423" s="809"/>
      <c r="AD423" s="481"/>
    </row>
    <row r="424" spans="3:30" ht="10.5" customHeight="1">
      <c r="C424" s="1526" t="s">
        <v>4385</v>
      </c>
      <c r="D424" s="1523">
        <v>0</v>
      </c>
      <c r="E424" s="1523">
        <v>0</v>
      </c>
      <c r="F424" s="1524">
        <v>0</v>
      </c>
      <c r="G424" s="1537" t="s">
        <v>4385</v>
      </c>
      <c r="H424" s="1521">
        <v>0</v>
      </c>
      <c r="I424" s="1521">
        <v>0</v>
      </c>
      <c r="J424" s="1538">
        <v>0</v>
      </c>
      <c r="K424" s="1525"/>
      <c r="L424" s="1519">
        <v>13021011900</v>
      </c>
      <c r="M424" s="1520">
        <v>0</v>
      </c>
      <c r="N424" s="1520">
        <v>0</v>
      </c>
      <c r="O424" s="1520">
        <v>0</v>
      </c>
      <c r="P424" s="504" t="s">
        <v>1602</v>
      </c>
      <c r="Q424" s="287"/>
      <c r="R424" s="168"/>
      <c r="S424" s="380"/>
      <c r="T424" s="473" t="s">
        <v>356</v>
      </c>
      <c r="U424" s="473" t="s">
        <v>2411</v>
      </c>
      <c r="AA424" s="27"/>
      <c r="AB424" s="27"/>
      <c r="AC424" s="809"/>
      <c r="AD424" s="481"/>
    </row>
    <row r="425" spans="3:30" ht="10.5" customHeight="1">
      <c r="C425" s="1526" t="s">
        <v>4386</v>
      </c>
      <c r="D425" s="1523">
        <v>1</v>
      </c>
      <c r="E425" s="1523">
        <v>1</v>
      </c>
      <c r="F425" s="1524">
        <v>2</v>
      </c>
      <c r="G425" s="1537" t="s">
        <v>4386</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4387</v>
      </c>
      <c r="D426" s="1523">
        <v>1</v>
      </c>
      <c r="E426" s="1523">
        <v>1</v>
      </c>
      <c r="F426" s="1524">
        <v>2</v>
      </c>
      <c r="G426" s="1537" t="s">
        <v>4387</v>
      </c>
      <c r="H426" s="1521">
        <v>1</v>
      </c>
      <c r="I426" s="1521">
        <v>1</v>
      </c>
      <c r="J426" s="1538">
        <v>2</v>
      </c>
      <c r="K426" s="1525"/>
      <c r="L426" s="1519">
        <v>13021012101</v>
      </c>
      <c r="M426" s="1520">
        <v>1</v>
      </c>
      <c r="N426" s="1520">
        <v>1</v>
      </c>
      <c r="O426" s="1520">
        <v>2</v>
      </c>
      <c r="P426" s="504" t="s">
        <v>832</v>
      </c>
      <c r="Q426" s="287"/>
      <c r="R426" s="168"/>
      <c r="S426" s="380"/>
      <c r="T426" s="473" t="s">
        <v>1007</v>
      </c>
      <c r="U426" s="473" t="s">
        <v>1823</v>
      </c>
      <c r="AA426" s="27"/>
      <c r="AB426" s="27"/>
      <c r="AC426" s="809"/>
      <c r="AD426" s="481"/>
    </row>
    <row r="427" spans="3:30" ht="10.5" customHeight="1">
      <c r="C427" s="1526" t="s">
        <v>4388</v>
      </c>
      <c r="D427" s="1523">
        <v>0</v>
      </c>
      <c r="E427" s="1523">
        <v>1</v>
      </c>
      <c r="F427" s="1524">
        <v>1</v>
      </c>
      <c r="G427" s="1537" t="s">
        <v>4388</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4389</v>
      </c>
      <c r="D428" s="1523">
        <v>0</v>
      </c>
      <c r="E428" s="1523">
        <v>0</v>
      </c>
      <c r="F428" s="1524">
        <v>0</v>
      </c>
      <c r="G428" s="1537" t="s">
        <v>4389</v>
      </c>
      <c r="H428" s="1521">
        <v>0</v>
      </c>
      <c r="I428" s="1521">
        <v>0</v>
      </c>
      <c r="J428" s="1538">
        <v>0</v>
      </c>
      <c r="K428" s="1525"/>
      <c r="L428" s="1519">
        <v>13021012200</v>
      </c>
      <c r="M428" s="1520">
        <v>0</v>
      </c>
      <c r="N428" s="1520">
        <v>0</v>
      </c>
      <c r="O428" s="1520">
        <v>0</v>
      </c>
      <c r="P428" s="504" t="s">
        <v>412</v>
      </c>
      <c r="Q428" s="287"/>
      <c r="R428" s="168"/>
      <c r="S428" s="380"/>
      <c r="T428" s="473" t="s">
        <v>1366</v>
      </c>
      <c r="U428" s="473" t="s">
        <v>2143</v>
      </c>
      <c r="AA428" s="27"/>
      <c r="AB428" s="27"/>
      <c r="AC428" s="809"/>
      <c r="AD428" s="481"/>
    </row>
    <row r="429" spans="3:30" ht="10.5" customHeight="1">
      <c r="C429" s="1526" t="s">
        <v>4390</v>
      </c>
      <c r="D429" s="1523">
        <v>0</v>
      </c>
      <c r="E429" s="1523">
        <v>0</v>
      </c>
      <c r="F429" s="1524">
        <v>0</v>
      </c>
      <c r="G429" s="1537" t="s">
        <v>4390</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4391</v>
      </c>
      <c r="D430" s="1523">
        <v>0</v>
      </c>
      <c r="E430" s="1523">
        <v>0</v>
      </c>
      <c r="F430" s="1524">
        <v>0</v>
      </c>
      <c r="G430" s="1537" t="s">
        <v>4391</v>
      </c>
      <c r="H430" s="1521">
        <v>0</v>
      </c>
      <c r="I430" s="1521">
        <v>0</v>
      </c>
      <c r="J430" s="1538">
        <v>0</v>
      </c>
      <c r="K430" s="1525"/>
      <c r="L430" s="1519">
        <v>13021012400</v>
      </c>
      <c r="M430" s="1520">
        <v>0</v>
      </c>
      <c r="N430" s="1520">
        <v>0</v>
      </c>
      <c r="O430" s="1520">
        <v>0</v>
      </c>
      <c r="P430" s="504" t="s">
        <v>2185</v>
      </c>
      <c r="Q430" s="287"/>
      <c r="R430" s="168"/>
      <c r="S430" s="380"/>
      <c r="T430" s="505" t="s">
        <v>970</v>
      </c>
      <c r="U430" s="505" t="s">
        <v>304</v>
      </c>
      <c r="AA430" s="27"/>
      <c r="AB430" s="27"/>
      <c r="AC430" s="810"/>
      <c r="AD430" s="481"/>
    </row>
    <row r="431" spans="3:30" ht="10.5" customHeight="1">
      <c r="C431" s="1526" t="s">
        <v>4392</v>
      </c>
      <c r="D431" s="1523">
        <v>0</v>
      </c>
      <c r="E431" s="1523">
        <v>0</v>
      </c>
      <c r="F431" s="1524">
        <v>0</v>
      </c>
      <c r="G431" s="1537" t="s">
        <v>4392</v>
      </c>
      <c r="H431" s="1521">
        <v>0</v>
      </c>
      <c r="I431" s="1521">
        <v>0</v>
      </c>
      <c r="J431" s="1538">
        <v>0</v>
      </c>
      <c r="K431" s="1525"/>
      <c r="L431" s="1519">
        <v>13021012500</v>
      </c>
      <c r="M431" s="1520">
        <v>0</v>
      </c>
      <c r="N431" s="1520">
        <v>0</v>
      </c>
      <c r="O431" s="1520">
        <v>0</v>
      </c>
      <c r="P431" s="504" t="s">
        <v>1914</v>
      </c>
      <c r="Q431" s="287"/>
      <c r="R431" s="168"/>
      <c r="S431" s="380"/>
      <c r="T431" s="473" t="s">
        <v>972</v>
      </c>
      <c r="U431" s="473" t="s">
        <v>308</v>
      </c>
      <c r="AA431" s="27"/>
      <c r="AB431" s="27"/>
      <c r="AC431" s="809"/>
      <c r="AD431" s="481"/>
    </row>
    <row r="432" spans="3:30" ht="10.5" customHeight="1">
      <c r="C432" s="1526" t="s">
        <v>4393</v>
      </c>
      <c r="D432" s="1523">
        <v>0</v>
      </c>
      <c r="E432" s="1523">
        <v>0</v>
      </c>
      <c r="F432" s="1524">
        <v>0</v>
      </c>
      <c r="G432" s="1537" t="s">
        <v>4393</v>
      </c>
      <c r="H432" s="1521">
        <v>0</v>
      </c>
      <c r="I432" s="1521">
        <v>0</v>
      </c>
      <c r="J432" s="1538">
        <v>0</v>
      </c>
      <c r="K432" s="1525"/>
      <c r="L432" s="1519">
        <v>13021012600</v>
      </c>
      <c r="M432" s="1520">
        <v>0</v>
      </c>
      <c r="N432" s="1520">
        <v>0</v>
      </c>
      <c r="O432" s="1520">
        <v>0</v>
      </c>
      <c r="P432" s="504" t="s">
        <v>993</v>
      </c>
      <c r="Q432" s="287"/>
      <c r="R432" s="168"/>
      <c r="S432" s="380"/>
      <c r="T432" s="473" t="s">
        <v>1008</v>
      </c>
      <c r="U432" s="473" t="s">
        <v>1916</v>
      </c>
      <c r="AA432" s="27"/>
      <c r="AB432" s="27"/>
      <c r="AC432" s="809"/>
      <c r="AD432" s="481"/>
    </row>
    <row r="433" spans="3:30" ht="10.5" customHeight="1">
      <c r="C433" s="1526" t="s">
        <v>4394</v>
      </c>
      <c r="D433" s="1523">
        <v>0</v>
      </c>
      <c r="E433" s="1523">
        <v>0</v>
      </c>
      <c r="F433" s="1524">
        <v>0</v>
      </c>
      <c r="G433" s="1537" t="s">
        <v>4394</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4395</v>
      </c>
      <c r="D434" s="1523">
        <v>0</v>
      </c>
      <c r="E434" s="1523">
        <v>0</v>
      </c>
      <c r="F434" s="1524">
        <v>0</v>
      </c>
      <c r="G434" s="1537" t="s">
        <v>4395</v>
      </c>
      <c r="H434" s="1521">
        <v>0</v>
      </c>
      <c r="I434" s="1521">
        <v>0</v>
      </c>
      <c r="J434" s="1538">
        <v>0</v>
      </c>
      <c r="K434" s="1525"/>
      <c r="L434" s="1519">
        <v>13021012800</v>
      </c>
      <c r="M434" s="1520">
        <v>0</v>
      </c>
      <c r="N434" s="1520">
        <v>0</v>
      </c>
      <c r="O434" s="1520">
        <v>0</v>
      </c>
      <c r="P434" s="504" t="s">
        <v>394</v>
      </c>
      <c r="Q434" s="287"/>
      <c r="R434" s="168"/>
      <c r="S434" s="380"/>
      <c r="T434" s="473" t="s">
        <v>303</v>
      </c>
      <c r="U434" s="473" t="s">
        <v>2414</v>
      </c>
      <c r="AA434" s="27"/>
      <c r="AB434" s="27"/>
      <c r="AC434" s="809"/>
      <c r="AD434" s="481"/>
    </row>
    <row r="435" spans="3:30" ht="10.5" customHeight="1">
      <c r="C435" s="1526" t="s">
        <v>4396</v>
      </c>
      <c r="D435" s="1523">
        <v>0</v>
      </c>
      <c r="E435" s="1523">
        <v>0</v>
      </c>
      <c r="F435" s="1524">
        <v>0</v>
      </c>
      <c r="G435" s="1537" t="s">
        <v>4396</v>
      </c>
      <c r="H435" s="1521">
        <v>0</v>
      </c>
      <c r="I435" s="1521">
        <v>0</v>
      </c>
      <c r="J435" s="1538">
        <v>0</v>
      </c>
      <c r="K435" s="1525"/>
      <c r="L435" s="1519">
        <v>13021012900</v>
      </c>
      <c r="M435" s="1520">
        <v>0</v>
      </c>
      <c r="N435" s="1520">
        <v>0</v>
      </c>
      <c r="O435" s="1520">
        <v>0</v>
      </c>
      <c r="P435" s="504" t="s">
        <v>395</v>
      </c>
      <c r="Q435" s="287"/>
      <c r="R435" s="168"/>
      <c r="S435" s="380"/>
      <c r="T435" s="473" t="s">
        <v>2653</v>
      </c>
      <c r="U435" s="473" t="s">
        <v>1703</v>
      </c>
      <c r="AA435" s="27"/>
      <c r="AB435" s="27"/>
      <c r="AC435" s="809"/>
      <c r="AD435" s="481"/>
    </row>
    <row r="436" spans="3:30" ht="10.5" customHeight="1">
      <c r="C436" s="1526" t="s">
        <v>4397</v>
      </c>
      <c r="D436" s="1523">
        <v>0</v>
      </c>
      <c r="E436" s="1523">
        <v>0</v>
      </c>
      <c r="F436" s="1524">
        <v>0</v>
      </c>
      <c r="G436" s="1537" t="s">
        <v>4397</v>
      </c>
      <c r="H436" s="1521">
        <v>0</v>
      </c>
      <c r="I436" s="1521">
        <v>0</v>
      </c>
      <c r="J436" s="1538">
        <v>0</v>
      </c>
      <c r="K436" s="1525"/>
      <c r="L436" s="1519">
        <v>13021013101</v>
      </c>
      <c r="M436" s="1520">
        <v>0</v>
      </c>
      <c r="N436" s="1520">
        <v>0</v>
      </c>
      <c r="O436" s="1520">
        <v>0</v>
      </c>
      <c r="P436" s="504" t="s">
        <v>1855</v>
      </c>
      <c r="Q436" s="287"/>
      <c r="R436" s="168"/>
      <c r="S436" s="380"/>
      <c r="T436" s="473" t="s">
        <v>1603</v>
      </c>
      <c r="U436" s="473" t="s">
        <v>2411</v>
      </c>
      <c r="AA436" s="27"/>
      <c r="AB436" s="27"/>
      <c r="AC436" s="809"/>
      <c r="AD436" s="481"/>
    </row>
    <row r="437" spans="3:30" ht="10.5" customHeight="1">
      <c r="C437" s="1526" t="s">
        <v>4398</v>
      </c>
      <c r="D437" s="1523">
        <v>0</v>
      </c>
      <c r="E437" s="1523">
        <v>0</v>
      </c>
      <c r="F437" s="1524">
        <v>0</v>
      </c>
      <c r="G437" s="1537" t="s">
        <v>4398</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4399</v>
      </c>
      <c r="D438" s="1523">
        <v>0</v>
      </c>
      <c r="E438" s="1523">
        <v>0</v>
      </c>
      <c r="F438" s="1524">
        <v>0</v>
      </c>
      <c r="G438" s="1537" t="s">
        <v>4399</v>
      </c>
      <c r="H438" s="1521">
        <v>0</v>
      </c>
      <c r="I438" s="1521">
        <v>0</v>
      </c>
      <c r="J438" s="1538">
        <v>0</v>
      </c>
      <c r="K438" s="1525"/>
      <c r="L438" s="1519">
        <v>13021013201</v>
      </c>
      <c r="M438" s="1520">
        <v>0</v>
      </c>
      <c r="N438" s="1520">
        <v>0</v>
      </c>
      <c r="O438" s="1520">
        <v>0</v>
      </c>
      <c r="P438" s="504" t="s">
        <v>2068</v>
      </c>
      <c r="Q438" s="287"/>
      <c r="R438" s="168"/>
      <c r="S438" s="380"/>
      <c r="T438" s="473" t="s">
        <v>833</v>
      </c>
      <c r="U438" s="473" t="s">
        <v>305</v>
      </c>
      <c r="AA438" s="27"/>
      <c r="AB438" s="27"/>
      <c r="AC438" s="809"/>
      <c r="AD438" s="481"/>
    </row>
    <row r="439" spans="3:30" ht="10.5" customHeight="1">
      <c r="C439" s="1526" t="s">
        <v>4400</v>
      </c>
      <c r="D439" s="1523">
        <v>0</v>
      </c>
      <c r="E439" s="1523">
        <v>0</v>
      </c>
      <c r="F439" s="1524">
        <v>0</v>
      </c>
      <c r="G439" s="1537" t="s">
        <v>4400</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4401</v>
      </c>
      <c r="D440" s="1523">
        <v>0</v>
      </c>
      <c r="E440" s="1523">
        <v>0</v>
      </c>
      <c r="F440" s="1524">
        <v>0</v>
      </c>
      <c r="G440" s="1537" t="s">
        <v>4401</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4402</v>
      </c>
      <c r="D441" s="1523">
        <v>1</v>
      </c>
      <c r="E441" s="1523">
        <v>1</v>
      </c>
      <c r="F441" s="1524">
        <v>2</v>
      </c>
      <c r="G441" s="1537" t="s">
        <v>4402</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4403</v>
      </c>
      <c r="D442" s="1523">
        <v>1</v>
      </c>
      <c r="E442" s="1523">
        <v>1</v>
      </c>
      <c r="F442" s="1524">
        <v>2</v>
      </c>
      <c r="G442" s="1537" t="s">
        <v>4403</v>
      </c>
      <c r="H442" s="1521">
        <v>1</v>
      </c>
      <c r="I442" s="1521">
        <v>1</v>
      </c>
      <c r="J442" s="1538">
        <v>2</v>
      </c>
      <c r="K442" s="1525"/>
      <c r="L442" s="1519">
        <v>13021013408</v>
      </c>
      <c r="M442" s="1520">
        <v>1</v>
      </c>
      <c r="N442" s="1520">
        <v>1</v>
      </c>
      <c r="O442" s="1520">
        <v>2</v>
      </c>
      <c r="P442" s="504" t="s">
        <v>297</v>
      </c>
      <c r="Q442" s="287"/>
      <c r="R442" s="168"/>
      <c r="S442" s="380"/>
      <c r="T442" s="473" t="s">
        <v>2654</v>
      </c>
      <c r="U442" s="473" t="s">
        <v>151</v>
      </c>
      <c r="AA442" s="27"/>
      <c r="AB442" s="27"/>
      <c r="AC442" s="809"/>
      <c r="AD442" s="481"/>
    </row>
    <row r="443" spans="3:30" ht="10.5" customHeight="1">
      <c r="C443" s="1526" t="s">
        <v>4404</v>
      </c>
      <c r="D443" s="1523">
        <v>1</v>
      </c>
      <c r="E443" s="1523">
        <v>1</v>
      </c>
      <c r="F443" s="1524">
        <v>2</v>
      </c>
      <c r="G443" s="1537" t="s">
        <v>4404</v>
      </c>
      <c r="H443" s="1521">
        <v>1</v>
      </c>
      <c r="I443" s="1521">
        <v>1</v>
      </c>
      <c r="J443" s="1538">
        <v>2</v>
      </c>
      <c r="K443" s="1525"/>
      <c r="L443" s="1519">
        <v>13021013409</v>
      </c>
      <c r="M443" s="1520">
        <v>1</v>
      </c>
      <c r="N443" s="1520">
        <v>1</v>
      </c>
      <c r="O443" s="1520">
        <v>2</v>
      </c>
      <c r="P443" s="504" t="s">
        <v>907</v>
      </c>
      <c r="Q443" s="287"/>
      <c r="R443" s="168"/>
      <c r="S443" s="380"/>
      <c r="T443" s="473" t="s">
        <v>1915</v>
      </c>
      <c r="U443" s="473" t="s">
        <v>1069</v>
      </c>
      <c r="AA443" s="27"/>
      <c r="AB443" s="27"/>
      <c r="AC443" s="809"/>
      <c r="AD443" s="481"/>
    </row>
    <row r="444" spans="3:30" ht="10.5" customHeight="1">
      <c r="C444" s="1526" t="s">
        <v>4405</v>
      </c>
      <c r="D444" s="1523">
        <v>1</v>
      </c>
      <c r="E444" s="1523">
        <v>1</v>
      </c>
      <c r="F444" s="1524">
        <v>2</v>
      </c>
      <c r="G444" s="1537" t="s">
        <v>4405</v>
      </c>
      <c r="H444" s="1521">
        <v>1</v>
      </c>
      <c r="I444" s="1521">
        <v>1</v>
      </c>
      <c r="J444" s="1538">
        <v>2</v>
      </c>
      <c r="K444" s="1525"/>
      <c r="L444" s="1519">
        <v>13021013410</v>
      </c>
      <c r="M444" s="1520">
        <v>1</v>
      </c>
      <c r="N444" s="1520">
        <v>1</v>
      </c>
      <c r="O444" s="1520">
        <v>2</v>
      </c>
      <c r="P444" s="504" t="s">
        <v>2218</v>
      </c>
      <c r="Q444" s="287"/>
      <c r="R444" s="168"/>
      <c r="S444" s="380"/>
      <c r="T444" s="505" t="s">
        <v>2655</v>
      </c>
      <c r="U444" s="505" t="s">
        <v>308</v>
      </c>
      <c r="AA444" s="27"/>
      <c r="AB444" s="27"/>
      <c r="AC444" s="810"/>
      <c r="AD444" s="481"/>
    </row>
    <row r="445" spans="3:30" ht="10.5" customHeight="1">
      <c r="C445" s="1526" t="s">
        <v>4406</v>
      </c>
      <c r="D445" s="1523">
        <v>1</v>
      </c>
      <c r="E445" s="1523">
        <v>1</v>
      </c>
      <c r="F445" s="1524">
        <v>2</v>
      </c>
      <c r="G445" s="1537" t="s">
        <v>4406</v>
      </c>
      <c r="H445" s="1521">
        <v>1</v>
      </c>
      <c r="I445" s="1521" t="s">
        <v>4099</v>
      </c>
      <c r="J445" s="1538">
        <v>1</v>
      </c>
      <c r="K445" s="1525"/>
      <c r="L445" s="1519">
        <v>13021013411</v>
      </c>
      <c r="M445" s="1520">
        <v>1</v>
      </c>
      <c r="N445" s="1520">
        <v>1</v>
      </c>
      <c r="O445" s="1520">
        <v>2</v>
      </c>
      <c r="P445" s="504" t="s">
        <v>2219</v>
      </c>
      <c r="Q445" s="287"/>
      <c r="R445" s="168"/>
      <c r="S445" s="380"/>
      <c r="T445" s="473" t="s">
        <v>994</v>
      </c>
      <c r="U445" s="473" t="s">
        <v>1823</v>
      </c>
      <c r="AA445" s="27"/>
      <c r="AB445" s="27"/>
      <c r="AC445" s="809"/>
      <c r="AD445" s="481"/>
    </row>
    <row r="446" spans="3:30" ht="10.5" customHeight="1">
      <c r="C446" s="1526" t="s">
        <v>4407</v>
      </c>
      <c r="D446" s="1523">
        <v>0</v>
      </c>
      <c r="E446" s="1523">
        <v>0</v>
      </c>
      <c r="F446" s="1524">
        <v>0</v>
      </c>
      <c r="G446" s="1537" t="s">
        <v>4407</v>
      </c>
      <c r="H446" s="1521">
        <v>0</v>
      </c>
      <c r="I446" s="1521">
        <v>0</v>
      </c>
      <c r="J446" s="1538">
        <v>0</v>
      </c>
      <c r="K446" s="1525"/>
      <c r="L446" s="1519">
        <v>13021013502</v>
      </c>
      <c r="M446" s="1520">
        <v>0</v>
      </c>
      <c r="N446" s="1520">
        <v>0</v>
      </c>
      <c r="O446" s="1520">
        <v>0</v>
      </c>
      <c r="P446" s="504" t="s">
        <v>2200</v>
      </c>
      <c r="Q446" s="287"/>
      <c r="R446" s="168"/>
      <c r="S446" s="380"/>
      <c r="T446" s="505" t="s">
        <v>393</v>
      </c>
      <c r="U446" s="505" t="s">
        <v>176</v>
      </c>
      <c r="AA446" s="27"/>
      <c r="AB446" s="27"/>
      <c r="AC446" s="810"/>
      <c r="AD446" s="481"/>
    </row>
    <row r="447" spans="3:30" ht="10.5" customHeight="1">
      <c r="C447" s="1526" t="s">
        <v>4408</v>
      </c>
      <c r="D447" s="1523">
        <v>0</v>
      </c>
      <c r="E447" s="1523">
        <v>0</v>
      </c>
      <c r="F447" s="1524">
        <v>0</v>
      </c>
      <c r="G447" s="1537" t="s">
        <v>4408</v>
      </c>
      <c r="H447" s="1521">
        <v>0</v>
      </c>
      <c r="I447" s="1521">
        <v>0</v>
      </c>
      <c r="J447" s="1538">
        <v>0</v>
      </c>
      <c r="K447" s="1525"/>
      <c r="L447" s="1519">
        <v>13021013503</v>
      </c>
      <c r="M447" s="1520">
        <v>0</v>
      </c>
      <c r="N447" s="1520">
        <v>0</v>
      </c>
      <c r="O447" s="1520">
        <v>0</v>
      </c>
      <c r="P447" s="504" t="s">
        <v>2201</v>
      </c>
      <c r="Q447" s="287"/>
      <c r="R447" s="168"/>
      <c r="S447" s="380"/>
      <c r="T447" s="473" t="s">
        <v>1009</v>
      </c>
      <c r="U447" s="473" t="s">
        <v>1056</v>
      </c>
      <c r="AA447" s="27"/>
      <c r="AB447" s="27"/>
      <c r="AC447" s="809"/>
      <c r="AD447" s="481"/>
    </row>
    <row r="448" spans="3:30" ht="10.5" customHeight="1">
      <c r="C448" s="1526" t="s">
        <v>4409</v>
      </c>
      <c r="D448" s="1523">
        <v>1</v>
      </c>
      <c r="E448" s="1523">
        <v>1</v>
      </c>
      <c r="F448" s="1524">
        <v>2</v>
      </c>
      <c r="G448" s="1537" t="s">
        <v>4409</v>
      </c>
      <c r="H448" s="1521">
        <v>0</v>
      </c>
      <c r="I448" s="1521">
        <v>0</v>
      </c>
      <c r="J448" s="1538">
        <v>0</v>
      </c>
      <c r="K448" s="1525"/>
      <c r="L448" s="1519">
        <v>13021013504</v>
      </c>
      <c r="M448" s="1520">
        <v>1</v>
      </c>
      <c r="N448" s="1520">
        <v>1</v>
      </c>
      <c r="O448" s="1520">
        <v>2</v>
      </c>
      <c r="P448" s="504" t="s">
        <v>2203</v>
      </c>
      <c r="Q448" s="287"/>
      <c r="R448" s="168"/>
      <c r="S448" s="380"/>
      <c r="T448" s="505" t="s">
        <v>396</v>
      </c>
      <c r="U448" s="505" t="s">
        <v>2074</v>
      </c>
      <c r="AA448" s="27"/>
      <c r="AB448" s="27"/>
      <c r="AC448" s="810"/>
      <c r="AD448" s="481"/>
    </row>
    <row r="449" spans="3:30" ht="10.5" customHeight="1">
      <c r="C449" s="1526" t="s">
        <v>4410</v>
      </c>
      <c r="D449" s="1523">
        <v>0</v>
      </c>
      <c r="E449" s="1523">
        <v>1</v>
      </c>
      <c r="F449" s="1524">
        <v>1</v>
      </c>
      <c r="G449" s="1537" t="s">
        <v>4410</v>
      </c>
      <c r="H449" s="1521">
        <v>0</v>
      </c>
      <c r="I449" s="1521">
        <v>1</v>
      </c>
      <c r="J449" s="1538">
        <v>1</v>
      </c>
      <c r="K449" s="1525"/>
      <c r="L449" s="1519">
        <v>13021013603</v>
      </c>
      <c r="M449" s="1520">
        <v>0</v>
      </c>
      <c r="N449" s="1520">
        <v>1</v>
      </c>
      <c r="O449" s="1520">
        <v>1</v>
      </c>
      <c r="P449" s="504" t="s">
        <v>487</v>
      </c>
      <c r="Q449" s="287"/>
      <c r="R449" s="168"/>
      <c r="S449" s="380"/>
      <c r="T449" s="473" t="s">
        <v>1856</v>
      </c>
      <c r="U449" s="473" t="s">
        <v>1400</v>
      </c>
      <c r="AA449" s="27"/>
      <c r="AB449" s="27"/>
      <c r="AC449" s="809"/>
      <c r="AD449" s="481"/>
    </row>
    <row r="450" spans="3:30" ht="10.5" customHeight="1">
      <c r="C450" s="1526" t="s">
        <v>4411</v>
      </c>
      <c r="D450" s="1523">
        <v>1</v>
      </c>
      <c r="E450" s="1523">
        <v>1</v>
      </c>
      <c r="F450" s="1524">
        <v>2</v>
      </c>
      <c r="G450" s="1537" t="s">
        <v>4411</v>
      </c>
      <c r="H450" s="1521">
        <v>0</v>
      </c>
      <c r="I450" s="1521" t="s">
        <v>4099</v>
      </c>
      <c r="J450" s="1538">
        <v>0</v>
      </c>
      <c r="K450" s="1525"/>
      <c r="L450" s="1519">
        <v>13021013604</v>
      </c>
      <c r="M450" s="1520">
        <v>1</v>
      </c>
      <c r="N450" s="1520">
        <v>1</v>
      </c>
      <c r="O450" s="1520">
        <v>2</v>
      </c>
      <c r="P450" s="504" t="s">
        <v>178</v>
      </c>
      <c r="Q450" s="287"/>
      <c r="R450" s="168"/>
      <c r="S450" s="380"/>
      <c r="T450" s="473" t="s">
        <v>471</v>
      </c>
      <c r="U450" s="473" t="s">
        <v>2473</v>
      </c>
      <c r="AA450" s="27"/>
      <c r="AB450" s="27"/>
      <c r="AC450" s="809"/>
      <c r="AD450" s="481"/>
    </row>
    <row r="451" spans="3:30" ht="10.5" customHeight="1">
      <c r="C451" s="1526" t="s">
        <v>4412</v>
      </c>
      <c r="D451" s="1523">
        <v>1</v>
      </c>
      <c r="E451" s="1523">
        <v>1</v>
      </c>
      <c r="F451" s="1524">
        <v>2</v>
      </c>
      <c r="G451" s="1537" t="s">
        <v>4412</v>
      </c>
      <c r="H451" s="1521">
        <v>1</v>
      </c>
      <c r="I451" s="1521" t="s">
        <v>4099</v>
      </c>
      <c r="J451" s="1538">
        <v>1</v>
      </c>
      <c r="K451" s="1525"/>
      <c r="L451" s="1519">
        <v>13021013605</v>
      </c>
      <c r="M451" s="1520">
        <v>1</v>
      </c>
      <c r="N451" s="1520">
        <v>1</v>
      </c>
      <c r="O451" s="1520">
        <v>2</v>
      </c>
      <c r="P451" s="504" t="s">
        <v>2021</v>
      </c>
      <c r="Q451" s="287"/>
      <c r="R451" s="168"/>
      <c r="S451" s="380"/>
      <c r="T451" s="473" t="s">
        <v>2069</v>
      </c>
      <c r="U451" s="473" t="s">
        <v>1274</v>
      </c>
      <c r="AA451" s="27"/>
      <c r="AB451" s="27"/>
      <c r="AC451" s="809"/>
      <c r="AD451" s="481"/>
    </row>
    <row r="452" spans="3:30" ht="10.5" customHeight="1">
      <c r="C452" s="1526" t="s">
        <v>4413</v>
      </c>
      <c r="D452" s="1523">
        <v>1</v>
      </c>
      <c r="E452" s="1523">
        <v>1</v>
      </c>
      <c r="F452" s="1524">
        <v>2</v>
      </c>
      <c r="G452" s="1537" t="s">
        <v>4413</v>
      </c>
      <c r="H452" s="1521">
        <v>1</v>
      </c>
      <c r="I452" s="1521">
        <v>1</v>
      </c>
      <c r="J452" s="1538">
        <v>2</v>
      </c>
      <c r="K452" s="1525"/>
      <c r="L452" s="1519">
        <v>13021013606</v>
      </c>
      <c r="M452" s="1520">
        <v>1</v>
      </c>
      <c r="N452" s="1520">
        <v>1</v>
      </c>
      <c r="O452" s="1520">
        <v>2</v>
      </c>
      <c r="P452" s="504" t="s">
        <v>1887</v>
      </c>
      <c r="Q452" s="287"/>
      <c r="R452" s="168"/>
      <c r="S452" s="380"/>
      <c r="T452" s="473" t="s">
        <v>1575</v>
      </c>
      <c r="U452" s="473" t="s">
        <v>1827</v>
      </c>
      <c r="AA452" s="27"/>
      <c r="AB452" s="27"/>
      <c r="AC452" s="809"/>
      <c r="AD452" s="481"/>
    </row>
    <row r="453" spans="3:30" ht="10.5" customHeight="1">
      <c r="C453" s="1526" t="s">
        <v>4414</v>
      </c>
      <c r="D453" s="1523">
        <v>0</v>
      </c>
      <c r="E453" s="1523">
        <v>0</v>
      </c>
      <c r="F453" s="1524">
        <v>0</v>
      </c>
      <c r="G453" s="1537" t="s">
        <v>4414</v>
      </c>
      <c r="H453" s="1521">
        <v>0</v>
      </c>
      <c r="I453" s="1521">
        <v>1</v>
      </c>
      <c r="J453" s="1538">
        <v>1</v>
      </c>
      <c r="K453" s="1525"/>
      <c r="L453" s="1519">
        <v>13021013700</v>
      </c>
      <c r="M453" s="1520">
        <v>0</v>
      </c>
      <c r="N453" s="1520">
        <v>1</v>
      </c>
      <c r="O453" s="1520">
        <v>1</v>
      </c>
      <c r="P453" s="504" t="s">
        <v>1889</v>
      </c>
      <c r="Q453" s="287"/>
      <c r="R453" s="168"/>
      <c r="S453" s="380"/>
      <c r="T453" s="473" t="s">
        <v>1577</v>
      </c>
      <c r="U453" s="473" t="s">
        <v>156</v>
      </c>
      <c r="AA453" s="27"/>
      <c r="AB453" s="27"/>
      <c r="AC453" s="809"/>
      <c r="AD453" s="481"/>
    </row>
    <row r="454" spans="3:30" ht="10.5" customHeight="1">
      <c r="C454" s="1526" t="s">
        <v>4415</v>
      </c>
      <c r="D454" s="1523">
        <v>0</v>
      </c>
      <c r="E454" s="1523">
        <v>0</v>
      </c>
      <c r="F454" s="1524">
        <v>0</v>
      </c>
      <c r="G454" s="1537" t="s">
        <v>4415</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4416</v>
      </c>
      <c r="D455" s="1523">
        <v>0</v>
      </c>
      <c r="E455" s="1523">
        <v>0</v>
      </c>
      <c r="F455" s="1524">
        <v>0</v>
      </c>
      <c r="G455" s="1537" t="s">
        <v>4416</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4417</v>
      </c>
      <c r="D456" s="1523">
        <v>1</v>
      </c>
      <c r="E456" s="1523">
        <v>0</v>
      </c>
      <c r="F456" s="1524">
        <v>1</v>
      </c>
      <c r="G456" s="1537" t="s">
        <v>4417</v>
      </c>
      <c r="H456" s="1521">
        <v>0</v>
      </c>
      <c r="I456" s="1521">
        <v>0</v>
      </c>
      <c r="J456" s="1538">
        <v>0</v>
      </c>
      <c r="K456" s="1525"/>
      <c r="L456" s="1519">
        <v>13023790100</v>
      </c>
      <c r="M456" s="1520">
        <v>1</v>
      </c>
      <c r="N456" s="1520">
        <v>0</v>
      </c>
      <c r="O456" s="1520">
        <v>1</v>
      </c>
      <c r="P456" s="504" t="s">
        <v>1073</v>
      </c>
      <c r="Q456" s="287"/>
      <c r="R456" s="168"/>
      <c r="S456" s="380"/>
      <c r="T456" s="473" t="s">
        <v>908</v>
      </c>
      <c r="U456" s="473" t="s">
        <v>2373</v>
      </c>
      <c r="AA456" s="27"/>
      <c r="AB456" s="27"/>
      <c r="AC456" s="809"/>
      <c r="AD456" s="481"/>
    </row>
    <row r="457" spans="3:30" ht="10.5" customHeight="1">
      <c r="C457" s="1526" t="s">
        <v>4418</v>
      </c>
      <c r="D457" s="1523">
        <v>0</v>
      </c>
      <c r="E457" s="1523">
        <v>0</v>
      </c>
      <c r="F457" s="1524">
        <v>0</v>
      </c>
      <c r="G457" s="1537" t="s">
        <v>4418</v>
      </c>
      <c r="H457" s="1521">
        <v>0</v>
      </c>
      <c r="I457" s="1521">
        <v>0</v>
      </c>
      <c r="J457" s="1538">
        <v>0</v>
      </c>
      <c r="K457" s="1525"/>
      <c r="L457" s="1519">
        <v>13023790200</v>
      </c>
      <c r="M457" s="1520">
        <v>0</v>
      </c>
      <c r="N457" s="1520">
        <v>0</v>
      </c>
      <c r="O457" s="1520">
        <v>0</v>
      </c>
      <c r="P457" s="504" t="s">
        <v>1074</v>
      </c>
      <c r="Q457" s="287"/>
      <c r="R457" s="168"/>
      <c r="S457" s="380"/>
      <c r="T457" s="473" t="s">
        <v>2220</v>
      </c>
      <c r="U457" s="473" t="s">
        <v>312</v>
      </c>
      <c r="AA457" s="27"/>
      <c r="AB457" s="27"/>
      <c r="AC457" s="809"/>
      <c r="AD457" s="481"/>
    </row>
    <row r="458" spans="3:30" ht="10.5" customHeight="1">
      <c r="C458" s="1526" t="s">
        <v>4419</v>
      </c>
      <c r="D458" s="1523">
        <v>0</v>
      </c>
      <c r="E458" s="1523">
        <v>0</v>
      </c>
      <c r="F458" s="1524">
        <v>0</v>
      </c>
      <c r="G458" s="1537" t="s">
        <v>4419</v>
      </c>
      <c r="H458" s="1521">
        <v>0</v>
      </c>
      <c r="I458" s="1521">
        <v>1</v>
      </c>
      <c r="J458" s="1538">
        <v>1</v>
      </c>
      <c r="K458" s="1525"/>
      <c r="L458" s="1519">
        <v>13023790300</v>
      </c>
      <c r="M458" s="1520">
        <v>0</v>
      </c>
      <c r="N458" s="1520">
        <v>1</v>
      </c>
      <c r="O458" s="1520">
        <v>1</v>
      </c>
      <c r="P458" s="504" t="s">
        <v>67</v>
      </c>
      <c r="Q458" s="287"/>
      <c r="R458" s="168"/>
      <c r="S458" s="380"/>
      <c r="T458" s="473" t="s">
        <v>2656</v>
      </c>
      <c r="U458" s="473" t="s">
        <v>2091</v>
      </c>
      <c r="AA458" s="27"/>
      <c r="AB458" s="27"/>
      <c r="AC458" s="809"/>
      <c r="AD458" s="481"/>
    </row>
    <row r="459" spans="3:30" ht="10.5" customHeight="1">
      <c r="C459" s="1526" t="s">
        <v>4420</v>
      </c>
      <c r="D459" s="1523">
        <v>0</v>
      </c>
      <c r="E459" s="1523">
        <v>0</v>
      </c>
      <c r="F459" s="1524">
        <v>0</v>
      </c>
      <c r="G459" s="1537" t="s">
        <v>4420</v>
      </c>
      <c r="H459" s="1521">
        <v>0</v>
      </c>
      <c r="I459" s="1521">
        <v>0</v>
      </c>
      <c r="J459" s="1538">
        <v>0</v>
      </c>
      <c r="K459" s="1525"/>
      <c r="L459" s="1519">
        <v>13025960100</v>
      </c>
      <c r="M459" s="1520">
        <v>0</v>
      </c>
      <c r="N459" s="1520">
        <v>0</v>
      </c>
      <c r="O459" s="1520">
        <v>0</v>
      </c>
      <c r="P459" s="504" t="s">
        <v>351</v>
      </c>
      <c r="Q459" s="287"/>
      <c r="R459" s="168"/>
      <c r="S459" s="380"/>
      <c r="T459" s="507" t="s">
        <v>2202</v>
      </c>
      <c r="U459" s="473" t="s">
        <v>171</v>
      </c>
      <c r="AA459" s="27"/>
      <c r="AB459" s="27"/>
      <c r="AC459" s="811"/>
      <c r="AD459" s="481"/>
    </row>
    <row r="460" spans="3:30" ht="10.5" customHeight="1">
      <c r="C460" s="1526" t="s">
        <v>4421</v>
      </c>
      <c r="D460" s="1523">
        <v>0</v>
      </c>
      <c r="E460" s="1523">
        <v>0</v>
      </c>
      <c r="F460" s="1524">
        <v>0</v>
      </c>
      <c r="G460" s="1537" t="s">
        <v>4421</v>
      </c>
      <c r="H460" s="1521">
        <v>0</v>
      </c>
      <c r="I460" s="1521">
        <v>0</v>
      </c>
      <c r="J460" s="1538">
        <v>0</v>
      </c>
      <c r="K460" s="1525"/>
      <c r="L460" s="1519">
        <v>13025960200</v>
      </c>
      <c r="M460" s="1520">
        <v>0</v>
      </c>
      <c r="N460" s="1520">
        <v>0</v>
      </c>
      <c r="O460" s="1520">
        <v>0</v>
      </c>
      <c r="P460" s="504" t="s">
        <v>2148</v>
      </c>
      <c r="Q460" s="287"/>
      <c r="R460" s="168"/>
      <c r="S460" s="380"/>
      <c r="T460" s="473" t="s">
        <v>2204</v>
      </c>
      <c r="U460" s="473" t="s">
        <v>1271</v>
      </c>
      <c r="AA460" s="27"/>
      <c r="AB460" s="27"/>
      <c r="AC460" s="809"/>
      <c r="AD460" s="481"/>
    </row>
    <row r="461" spans="3:30" ht="10.5" customHeight="1">
      <c r="C461" s="1526" t="s">
        <v>4422</v>
      </c>
      <c r="D461" s="1523">
        <v>0</v>
      </c>
      <c r="E461" s="1523">
        <v>0</v>
      </c>
      <c r="F461" s="1524">
        <v>0</v>
      </c>
      <c r="G461" s="1537" t="s">
        <v>4422</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4423</v>
      </c>
      <c r="D462" s="1523">
        <v>0</v>
      </c>
      <c r="E462" s="1523">
        <v>0</v>
      </c>
      <c r="F462" s="1524">
        <v>0</v>
      </c>
      <c r="G462" s="1537" t="s">
        <v>4423</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4424</v>
      </c>
      <c r="D463" s="1523">
        <v>0</v>
      </c>
      <c r="E463" s="1523">
        <v>0</v>
      </c>
      <c r="F463" s="1524">
        <v>0</v>
      </c>
      <c r="G463" s="1537" t="s">
        <v>4424</v>
      </c>
      <c r="H463" s="1521">
        <v>0</v>
      </c>
      <c r="I463" s="1521">
        <v>0</v>
      </c>
      <c r="J463" s="1538">
        <v>0</v>
      </c>
      <c r="K463" s="1525"/>
      <c r="L463" s="1519">
        <v>13027960300</v>
      </c>
      <c r="M463" s="1520">
        <v>0</v>
      </c>
      <c r="N463" s="1520">
        <v>0</v>
      </c>
      <c r="O463" s="1520">
        <v>0</v>
      </c>
      <c r="P463" s="504" t="s">
        <v>263</v>
      </c>
      <c r="Q463" s="287"/>
      <c r="R463" s="168"/>
      <c r="S463" s="380"/>
      <c r="T463" s="473" t="s">
        <v>179</v>
      </c>
      <c r="U463" s="473" t="s">
        <v>2076</v>
      </c>
      <c r="AA463" s="27"/>
      <c r="AB463" s="27"/>
      <c r="AC463" s="809"/>
      <c r="AD463" s="481"/>
    </row>
    <row r="464" spans="3:30" ht="10.5" customHeight="1">
      <c r="C464" s="1526" t="s">
        <v>4425</v>
      </c>
      <c r="D464" s="1523">
        <v>0</v>
      </c>
      <c r="E464" s="1523">
        <v>0</v>
      </c>
      <c r="F464" s="1524">
        <v>0</v>
      </c>
      <c r="G464" s="1537" t="s">
        <v>4425</v>
      </c>
      <c r="H464" s="1521">
        <v>0</v>
      </c>
      <c r="I464" s="1521">
        <v>0</v>
      </c>
      <c r="J464" s="1538">
        <v>0</v>
      </c>
      <c r="K464" s="1525"/>
      <c r="L464" s="1519">
        <v>13027960400</v>
      </c>
      <c r="M464" s="1520">
        <v>0</v>
      </c>
      <c r="N464" s="1520">
        <v>0</v>
      </c>
      <c r="O464" s="1520">
        <v>0</v>
      </c>
      <c r="P464" s="504" t="s">
        <v>2250</v>
      </c>
      <c r="Q464" s="287"/>
      <c r="R464" s="168"/>
      <c r="S464" s="380"/>
      <c r="T464" s="505" t="s">
        <v>1011</v>
      </c>
      <c r="U464" s="505" t="s">
        <v>2372</v>
      </c>
      <c r="AA464" s="27"/>
      <c r="AB464" s="27"/>
      <c r="AC464" s="810"/>
      <c r="AD464" s="481"/>
    </row>
    <row r="465" spans="3:30" ht="10.5" customHeight="1">
      <c r="C465" s="1526" t="s">
        <v>4426</v>
      </c>
      <c r="D465" s="1523">
        <v>0</v>
      </c>
      <c r="E465" s="1523">
        <v>0</v>
      </c>
      <c r="F465" s="1524">
        <v>0</v>
      </c>
      <c r="G465" s="1537" t="s">
        <v>4426</v>
      </c>
      <c r="H465" s="1521">
        <v>0</v>
      </c>
      <c r="I465" s="1521">
        <v>0</v>
      </c>
      <c r="J465" s="1538">
        <v>0</v>
      </c>
      <c r="K465" s="1525"/>
      <c r="L465" s="1519">
        <v>13027960500</v>
      </c>
      <c r="M465" s="1520">
        <v>0</v>
      </c>
      <c r="N465" s="1520">
        <v>0</v>
      </c>
      <c r="O465" s="1520">
        <v>0</v>
      </c>
      <c r="P465" s="504" t="s">
        <v>449</v>
      </c>
      <c r="Q465" s="287"/>
      <c r="R465" s="168"/>
      <c r="S465" s="380"/>
      <c r="T465" s="473" t="s">
        <v>1886</v>
      </c>
      <c r="U465" s="473" t="s">
        <v>2290</v>
      </c>
      <c r="AA465" s="27"/>
      <c r="AB465" s="27"/>
      <c r="AC465" s="809"/>
      <c r="AD465" s="481"/>
    </row>
    <row r="466" spans="3:30" ht="10.5" customHeight="1">
      <c r="C466" s="1526" t="s">
        <v>4427</v>
      </c>
      <c r="D466" s="1523">
        <v>0</v>
      </c>
      <c r="E466" s="1523">
        <v>0</v>
      </c>
      <c r="F466" s="1524">
        <v>0</v>
      </c>
      <c r="G466" s="1537" t="s">
        <v>4427</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4428</v>
      </c>
      <c r="D467" s="1523">
        <v>0</v>
      </c>
      <c r="E467" s="1523">
        <v>0</v>
      </c>
      <c r="F467" s="1524">
        <v>0</v>
      </c>
      <c r="G467" s="1537" t="s">
        <v>4428</v>
      </c>
      <c r="H467" s="1521">
        <v>0</v>
      </c>
      <c r="I467" s="1521">
        <v>0</v>
      </c>
      <c r="J467" s="1538">
        <v>0</v>
      </c>
      <c r="K467" s="1525"/>
      <c r="L467" s="1519">
        <v>13029920101</v>
      </c>
      <c r="M467" s="1520">
        <v>0</v>
      </c>
      <c r="N467" s="1520">
        <v>0</v>
      </c>
      <c r="O467" s="1520">
        <v>0</v>
      </c>
      <c r="P467" s="504" t="s">
        <v>452</v>
      </c>
      <c r="Q467" s="287"/>
      <c r="R467" s="168"/>
      <c r="S467" s="380"/>
      <c r="T467" s="473" t="s">
        <v>1888</v>
      </c>
      <c r="U467" s="473" t="s">
        <v>2290</v>
      </c>
      <c r="AA467" s="27"/>
      <c r="AB467" s="27"/>
      <c r="AC467" s="809"/>
      <c r="AD467" s="481"/>
    </row>
    <row r="468" spans="3:30" ht="10.5" customHeight="1">
      <c r="C468" s="1526" t="s">
        <v>4429</v>
      </c>
      <c r="D468" s="1523">
        <v>0</v>
      </c>
      <c r="E468" s="1523">
        <v>0</v>
      </c>
      <c r="F468" s="1524">
        <v>0</v>
      </c>
      <c r="G468" s="1537" t="s">
        <v>4429</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4430</v>
      </c>
      <c r="D469" s="1523">
        <v>1</v>
      </c>
      <c r="E469" s="1523">
        <v>1</v>
      </c>
      <c r="F469" s="1524">
        <v>2</v>
      </c>
      <c r="G469" s="1537" t="s">
        <v>4430</v>
      </c>
      <c r="H469" s="1521">
        <v>1</v>
      </c>
      <c r="I469" s="1521" t="s">
        <v>4099</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4431</v>
      </c>
      <c r="D470" s="1523">
        <v>1</v>
      </c>
      <c r="E470" s="1523">
        <v>1</v>
      </c>
      <c r="F470" s="1524">
        <v>2</v>
      </c>
      <c r="G470" s="1537" t="s">
        <v>4431</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4432</v>
      </c>
      <c r="D471" s="1523">
        <v>1</v>
      </c>
      <c r="E471" s="1523">
        <v>1</v>
      </c>
      <c r="F471" s="1524">
        <v>2</v>
      </c>
      <c r="G471" s="1537" t="s">
        <v>4432</v>
      </c>
      <c r="H471" s="1521">
        <v>1</v>
      </c>
      <c r="I471" s="1521">
        <v>1</v>
      </c>
      <c r="J471" s="1538">
        <v>2</v>
      </c>
      <c r="K471" s="1525"/>
      <c r="L471" s="1519">
        <v>13029920305</v>
      </c>
      <c r="M471" s="1520">
        <v>1</v>
      </c>
      <c r="N471" s="1520">
        <v>1</v>
      </c>
      <c r="O471" s="1520">
        <v>2</v>
      </c>
      <c r="P471" s="504" t="s">
        <v>1904</v>
      </c>
      <c r="Q471" s="287"/>
      <c r="R471" s="168"/>
      <c r="S471" s="380"/>
      <c r="T471" s="473" t="s">
        <v>314</v>
      </c>
      <c r="U471" s="473" t="s">
        <v>1053</v>
      </c>
      <c r="AA471" s="27"/>
      <c r="AB471" s="27"/>
      <c r="AC471" s="809"/>
      <c r="AD471" s="481"/>
    </row>
    <row r="472" spans="3:30" ht="10.5" customHeight="1">
      <c r="C472" s="1526" t="s">
        <v>4433</v>
      </c>
      <c r="D472" s="1523">
        <v>1</v>
      </c>
      <c r="E472" s="1523">
        <v>1</v>
      </c>
      <c r="F472" s="1524">
        <v>2</v>
      </c>
      <c r="G472" s="1537" t="s">
        <v>4433</v>
      </c>
      <c r="H472" s="1521">
        <v>1</v>
      </c>
      <c r="I472" s="1521">
        <v>1</v>
      </c>
      <c r="J472" s="1538">
        <v>2</v>
      </c>
      <c r="K472" s="1525"/>
      <c r="L472" s="1519">
        <v>13029920306</v>
      </c>
      <c r="M472" s="1520">
        <v>1</v>
      </c>
      <c r="N472" s="1520">
        <v>1</v>
      </c>
      <c r="O472" s="1520">
        <v>2</v>
      </c>
      <c r="P472" s="504" t="s">
        <v>1905</v>
      </c>
      <c r="Q472" s="287"/>
      <c r="R472" s="168"/>
      <c r="S472" s="380"/>
      <c r="T472" s="473" t="s">
        <v>317</v>
      </c>
      <c r="U472" s="473" t="s">
        <v>312</v>
      </c>
      <c r="AA472" s="27"/>
      <c r="AB472" s="27"/>
      <c r="AC472" s="809"/>
      <c r="AD472" s="481"/>
    </row>
    <row r="473" spans="3:30" ht="10.5" customHeight="1">
      <c r="C473" s="1526" t="s">
        <v>4434</v>
      </c>
      <c r="D473" s="1523" t="s">
        <v>4099</v>
      </c>
      <c r="E473" s="1523" t="s">
        <v>4099</v>
      </c>
      <c r="F473" s="1524">
        <v>0</v>
      </c>
      <c r="G473" s="1537" t="s">
        <v>4434</v>
      </c>
      <c r="H473" s="1521" t="s">
        <v>4099</v>
      </c>
      <c r="I473" s="1521" t="s">
        <v>4099</v>
      </c>
      <c r="J473" s="1538">
        <v>0</v>
      </c>
      <c r="K473" s="1525"/>
      <c r="L473" s="1519">
        <v>13029980000</v>
      </c>
      <c r="M473" s="1520">
        <v>0</v>
      </c>
      <c r="N473" s="1520">
        <v>0</v>
      </c>
      <c r="O473" s="1520">
        <v>0</v>
      </c>
      <c r="P473" s="504" t="s">
        <v>70</v>
      </c>
      <c r="Q473" s="287"/>
      <c r="R473" s="168"/>
      <c r="S473" s="380"/>
      <c r="T473" s="505" t="s">
        <v>68</v>
      </c>
      <c r="U473" s="505" t="s">
        <v>1831</v>
      </c>
      <c r="AA473" s="27"/>
      <c r="AB473" s="27"/>
      <c r="AC473" s="810"/>
      <c r="AD473" s="481"/>
    </row>
    <row r="474" spans="3:30" ht="10.5" customHeight="1">
      <c r="C474" s="1526" t="s">
        <v>4435</v>
      </c>
      <c r="D474" s="1523">
        <v>0</v>
      </c>
      <c r="E474" s="1523">
        <v>0</v>
      </c>
      <c r="F474" s="1524">
        <v>0</v>
      </c>
      <c r="G474" s="1537" t="s">
        <v>4435</v>
      </c>
      <c r="H474" s="1521">
        <v>0</v>
      </c>
      <c r="I474" s="1521">
        <v>0</v>
      </c>
      <c r="J474" s="1538">
        <v>0</v>
      </c>
      <c r="K474" s="1525"/>
      <c r="L474" s="1519">
        <v>13031110100</v>
      </c>
      <c r="M474" s="1520">
        <v>0</v>
      </c>
      <c r="N474" s="1520">
        <v>0</v>
      </c>
      <c r="O474" s="1520">
        <v>0</v>
      </c>
      <c r="P474" s="504" t="s">
        <v>72</v>
      </c>
      <c r="Q474" s="287"/>
      <c r="R474" s="168"/>
      <c r="S474" s="380"/>
      <c r="T474" s="505" t="s">
        <v>2149</v>
      </c>
      <c r="U474" s="505" t="s">
        <v>1282</v>
      </c>
      <c r="AA474" s="27"/>
      <c r="AB474" s="27"/>
      <c r="AC474" s="810"/>
      <c r="AD474" s="481"/>
    </row>
    <row r="475" spans="3:30" ht="10.5" customHeight="1">
      <c r="C475" s="1526" t="s">
        <v>4436</v>
      </c>
      <c r="D475" s="1523">
        <v>0</v>
      </c>
      <c r="E475" s="1523">
        <v>0</v>
      </c>
      <c r="F475" s="1524">
        <v>0</v>
      </c>
      <c r="G475" s="1537" t="s">
        <v>4436</v>
      </c>
      <c r="H475" s="1521">
        <v>1</v>
      </c>
      <c r="I475" s="1521">
        <v>0</v>
      </c>
      <c r="J475" s="1538">
        <v>1</v>
      </c>
      <c r="K475" s="1525"/>
      <c r="L475" s="1519">
        <v>13031110200</v>
      </c>
      <c r="M475" s="1520">
        <v>1</v>
      </c>
      <c r="N475" s="1520">
        <v>0</v>
      </c>
      <c r="O475" s="1520">
        <v>1</v>
      </c>
      <c r="P475" s="504" t="s">
        <v>2303</v>
      </c>
      <c r="Q475" s="287"/>
      <c r="R475" s="168"/>
      <c r="S475" s="380"/>
      <c r="T475" s="473" t="s">
        <v>1674</v>
      </c>
      <c r="U475" s="473" t="s">
        <v>1919</v>
      </c>
      <c r="AA475" s="27"/>
      <c r="AB475" s="27"/>
      <c r="AC475" s="809"/>
      <c r="AD475" s="481"/>
    </row>
    <row r="476" spans="3:30" ht="10.5" customHeight="1">
      <c r="C476" s="1526" t="s">
        <v>4437</v>
      </c>
      <c r="D476" s="1523">
        <v>1</v>
      </c>
      <c r="E476" s="1523">
        <v>1</v>
      </c>
      <c r="F476" s="1524">
        <v>2</v>
      </c>
      <c r="G476" s="1537" t="s">
        <v>4437</v>
      </c>
      <c r="H476" s="1521">
        <v>1</v>
      </c>
      <c r="I476" s="1521">
        <v>1</v>
      </c>
      <c r="J476" s="1538">
        <v>2</v>
      </c>
      <c r="K476" s="1525"/>
      <c r="L476" s="1519">
        <v>13031110300</v>
      </c>
      <c r="M476" s="1520">
        <v>1</v>
      </c>
      <c r="N476" s="1520">
        <v>1</v>
      </c>
      <c r="O476" s="1520">
        <v>2</v>
      </c>
      <c r="P476" s="504" t="s">
        <v>2105</v>
      </c>
      <c r="Q476" s="287"/>
      <c r="R476" s="168"/>
      <c r="S476" s="380"/>
      <c r="T476" s="473" t="s">
        <v>1676</v>
      </c>
      <c r="U476" s="473" t="s">
        <v>101</v>
      </c>
      <c r="AA476" s="27"/>
      <c r="AB476" s="27"/>
      <c r="AC476" s="809"/>
      <c r="AD476" s="481"/>
    </row>
    <row r="477" spans="3:30" ht="10.5" customHeight="1">
      <c r="C477" s="1526" t="s">
        <v>4438</v>
      </c>
      <c r="D477" s="1523">
        <v>0</v>
      </c>
      <c r="E477" s="1523">
        <v>0</v>
      </c>
      <c r="F477" s="1524">
        <v>0</v>
      </c>
      <c r="G477" s="1537" t="s">
        <v>4438</v>
      </c>
      <c r="H477" s="1521">
        <v>0</v>
      </c>
      <c r="I477" s="1521">
        <v>0</v>
      </c>
      <c r="J477" s="1538">
        <v>0</v>
      </c>
      <c r="K477" s="1525"/>
      <c r="L477" s="1519">
        <v>13031110401</v>
      </c>
      <c r="M477" s="1520">
        <v>0</v>
      </c>
      <c r="N477" s="1520">
        <v>0</v>
      </c>
      <c r="O477" s="1520">
        <v>0</v>
      </c>
      <c r="P477" s="504" t="s">
        <v>2106</v>
      </c>
      <c r="Q477" s="287"/>
      <c r="R477" s="168"/>
      <c r="S477" s="380"/>
      <c r="T477" s="473" t="s">
        <v>661</v>
      </c>
      <c r="U477" s="473" t="s">
        <v>1160</v>
      </c>
      <c r="AA477" s="27"/>
      <c r="AB477" s="27"/>
      <c r="AC477" s="809"/>
      <c r="AD477" s="481"/>
    </row>
    <row r="478" spans="3:30" ht="10.5" customHeight="1">
      <c r="C478" s="1526" t="s">
        <v>4439</v>
      </c>
      <c r="D478" s="1523">
        <v>0</v>
      </c>
      <c r="E478" s="1523">
        <v>1</v>
      </c>
      <c r="F478" s="1524">
        <v>1</v>
      </c>
      <c r="G478" s="1537" t="s">
        <v>4439</v>
      </c>
      <c r="H478" s="1521">
        <v>0</v>
      </c>
      <c r="I478" s="1521" t="s">
        <v>4099</v>
      </c>
      <c r="J478" s="1538">
        <v>0</v>
      </c>
      <c r="K478" s="1525"/>
      <c r="L478" s="1519">
        <v>13031110403</v>
      </c>
      <c r="M478" s="1520">
        <v>0</v>
      </c>
      <c r="N478" s="1520">
        <v>1</v>
      </c>
      <c r="O478" s="1520">
        <v>1</v>
      </c>
      <c r="P478" s="504" t="s">
        <v>927</v>
      </c>
      <c r="Q478" s="287"/>
      <c r="R478" s="168"/>
      <c r="S478" s="380"/>
      <c r="T478" s="473" t="s">
        <v>2249</v>
      </c>
      <c r="U478" s="473" t="s">
        <v>2372</v>
      </c>
      <c r="AA478" s="27"/>
      <c r="AB478" s="27"/>
      <c r="AC478" s="809"/>
      <c r="AD478" s="481"/>
    </row>
    <row r="479" spans="3:30" ht="10.5" customHeight="1">
      <c r="C479" s="1526" t="s">
        <v>4440</v>
      </c>
      <c r="D479" s="1523">
        <v>0</v>
      </c>
      <c r="E479" s="1523">
        <v>1</v>
      </c>
      <c r="F479" s="1524">
        <v>1</v>
      </c>
      <c r="G479" s="1537" t="s">
        <v>4440</v>
      </c>
      <c r="H479" s="1521">
        <v>0</v>
      </c>
      <c r="I479" s="1521" t="s">
        <v>4099</v>
      </c>
      <c r="J479" s="1538">
        <v>0</v>
      </c>
      <c r="K479" s="1525"/>
      <c r="L479" s="1519">
        <v>13031110404</v>
      </c>
      <c r="M479" s="1520">
        <v>0</v>
      </c>
      <c r="N479" s="1520">
        <v>1</v>
      </c>
      <c r="O479" s="1520">
        <v>1</v>
      </c>
      <c r="P479" s="504" t="s">
        <v>929</v>
      </c>
      <c r="Q479" s="287"/>
      <c r="R479" s="168"/>
      <c r="S479" s="380"/>
      <c r="T479" s="473" t="s">
        <v>2251</v>
      </c>
      <c r="U479" s="473" t="s">
        <v>2085</v>
      </c>
      <c r="AA479" s="27"/>
      <c r="AB479" s="27"/>
      <c r="AC479" s="809"/>
      <c r="AD479" s="481"/>
    </row>
    <row r="480" spans="3:30" ht="10.5" customHeight="1">
      <c r="C480" s="1526" t="s">
        <v>4441</v>
      </c>
      <c r="D480" s="1523">
        <v>0</v>
      </c>
      <c r="E480" s="1523">
        <v>0</v>
      </c>
      <c r="F480" s="1524">
        <v>0</v>
      </c>
      <c r="G480" s="1537" t="s">
        <v>4441</v>
      </c>
      <c r="H480" s="1521">
        <v>0</v>
      </c>
      <c r="I480" s="1521" t="s">
        <v>4099</v>
      </c>
      <c r="J480" s="1538">
        <v>0</v>
      </c>
      <c r="K480" s="1525"/>
      <c r="L480" s="1519">
        <v>13031110500</v>
      </c>
      <c r="M480" s="1520">
        <v>0</v>
      </c>
      <c r="N480" s="1520">
        <v>0</v>
      </c>
      <c r="O480" s="1520">
        <v>0</v>
      </c>
      <c r="P480" s="504" t="s">
        <v>1430</v>
      </c>
      <c r="Q480" s="287"/>
      <c r="R480" s="168"/>
      <c r="S480" s="380"/>
      <c r="T480" s="473" t="s">
        <v>451</v>
      </c>
      <c r="U480" s="473" t="s">
        <v>2375</v>
      </c>
      <c r="AA480" s="27"/>
      <c r="AB480" s="27"/>
      <c r="AC480" s="809"/>
      <c r="AD480" s="481"/>
    </row>
    <row r="481" spans="3:30" ht="10.5" customHeight="1">
      <c r="C481" s="1526" t="s">
        <v>4442</v>
      </c>
      <c r="D481" s="1523">
        <v>1</v>
      </c>
      <c r="E481" s="1523">
        <v>0</v>
      </c>
      <c r="F481" s="1524">
        <v>1</v>
      </c>
      <c r="G481" s="1537" t="s">
        <v>4442</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4443</v>
      </c>
      <c r="D482" s="1523">
        <v>0</v>
      </c>
      <c r="E482" s="1523">
        <v>0</v>
      </c>
      <c r="F482" s="1524">
        <v>0</v>
      </c>
      <c r="G482" s="1537" t="s">
        <v>4443</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4444</v>
      </c>
      <c r="D483" s="1523">
        <v>1</v>
      </c>
      <c r="E483" s="1523">
        <v>1</v>
      </c>
      <c r="F483" s="1524">
        <v>2</v>
      </c>
      <c r="G483" s="1537" t="s">
        <v>4444</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4445</v>
      </c>
      <c r="D484" s="1523">
        <v>0</v>
      </c>
      <c r="E484" s="1523">
        <v>0</v>
      </c>
      <c r="F484" s="1524">
        <v>0</v>
      </c>
      <c r="G484" s="1537" t="s">
        <v>4445</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4446</v>
      </c>
      <c r="D485" s="1523">
        <v>0</v>
      </c>
      <c r="E485" s="1523">
        <v>0</v>
      </c>
      <c r="F485" s="1524">
        <v>0</v>
      </c>
      <c r="G485" s="1537" t="s">
        <v>4446</v>
      </c>
      <c r="H485" s="1521">
        <v>0</v>
      </c>
      <c r="I485" s="1521">
        <v>0</v>
      </c>
      <c r="J485" s="1538">
        <v>0</v>
      </c>
      <c r="K485" s="1525"/>
      <c r="L485" s="1519">
        <v>13031110900</v>
      </c>
      <c r="M485" s="1520">
        <v>0</v>
      </c>
      <c r="N485" s="1520">
        <v>0</v>
      </c>
      <c r="O485" s="1520">
        <v>0</v>
      </c>
      <c r="P485" s="504" t="s">
        <v>2235</v>
      </c>
      <c r="Q485" s="287"/>
      <c r="R485" s="168"/>
      <c r="S485" s="380"/>
      <c r="T485" s="473" t="s">
        <v>1197</v>
      </c>
      <c r="U485" s="473" t="s">
        <v>321</v>
      </c>
      <c r="AA485" s="27"/>
      <c r="AB485" s="27"/>
      <c r="AC485" s="809"/>
      <c r="AD485" s="481"/>
    </row>
    <row r="486" spans="3:30" ht="10.5" customHeight="1">
      <c r="C486" s="1526" t="s">
        <v>4447</v>
      </c>
      <c r="D486" s="1523">
        <v>0</v>
      </c>
      <c r="E486" s="1523">
        <v>0</v>
      </c>
      <c r="F486" s="1524">
        <v>0</v>
      </c>
      <c r="G486" s="1537" t="s">
        <v>4447</v>
      </c>
      <c r="H486" s="1521">
        <v>0</v>
      </c>
      <c r="I486" s="1521">
        <v>0</v>
      </c>
      <c r="J486" s="1538">
        <v>0</v>
      </c>
      <c r="K486" s="1525"/>
      <c r="L486" s="1519">
        <v>13033950100</v>
      </c>
      <c r="M486" s="1520">
        <v>0</v>
      </c>
      <c r="N486" s="1520">
        <v>0</v>
      </c>
      <c r="O486" s="1520">
        <v>0</v>
      </c>
      <c r="P486" s="504" t="s">
        <v>2477</v>
      </c>
      <c r="Q486" s="287"/>
      <c r="R486" s="168"/>
      <c r="S486" s="380"/>
      <c r="T486" s="473" t="s">
        <v>2657</v>
      </c>
      <c r="U486" s="473" t="s">
        <v>2415</v>
      </c>
      <c r="AA486" s="27"/>
      <c r="AB486" s="27"/>
      <c r="AC486" s="809"/>
      <c r="AD486" s="481"/>
    </row>
    <row r="487" spans="3:30" ht="10.5" customHeight="1">
      <c r="C487" s="1526" t="s">
        <v>4448</v>
      </c>
      <c r="D487" s="1523">
        <v>0</v>
      </c>
      <c r="E487" s="1523">
        <v>0</v>
      </c>
      <c r="F487" s="1524">
        <v>0</v>
      </c>
      <c r="G487" s="1537" t="s">
        <v>4448</v>
      </c>
      <c r="H487" s="1521">
        <v>0</v>
      </c>
      <c r="I487" s="1521" t="s">
        <v>4099</v>
      </c>
      <c r="J487" s="1538">
        <v>0</v>
      </c>
      <c r="K487" s="1525"/>
      <c r="L487" s="1519">
        <v>13033950200</v>
      </c>
      <c r="M487" s="1520">
        <v>0</v>
      </c>
      <c r="N487" s="1520">
        <v>0</v>
      </c>
      <c r="O487" s="1520">
        <v>0</v>
      </c>
      <c r="P487" s="504" t="s">
        <v>1233</v>
      </c>
      <c r="Q487" s="287"/>
      <c r="R487" s="168"/>
      <c r="S487" s="380"/>
      <c r="T487" s="473" t="s">
        <v>1906</v>
      </c>
      <c r="U487" s="473" t="s">
        <v>1918</v>
      </c>
      <c r="AA487" s="27"/>
      <c r="AB487" s="27"/>
      <c r="AC487" s="809"/>
      <c r="AD487" s="481"/>
    </row>
    <row r="488" spans="3:30" ht="10.5" customHeight="1">
      <c r="C488" s="1526" t="s">
        <v>4449</v>
      </c>
      <c r="D488" s="1523">
        <v>0</v>
      </c>
      <c r="E488" s="1523">
        <v>0</v>
      </c>
      <c r="F488" s="1524">
        <v>0</v>
      </c>
      <c r="G488" s="1537" t="s">
        <v>4449</v>
      </c>
      <c r="H488" s="1521">
        <v>0</v>
      </c>
      <c r="I488" s="1521">
        <v>0</v>
      </c>
      <c r="J488" s="1538">
        <v>0</v>
      </c>
      <c r="K488" s="1525"/>
      <c r="L488" s="1519">
        <v>13033950400</v>
      </c>
      <c r="M488" s="1520">
        <v>0</v>
      </c>
      <c r="N488" s="1520">
        <v>0</v>
      </c>
      <c r="O488" s="1520">
        <v>0</v>
      </c>
      <c r="P488" s="504" t="s">
        <v>1447</v>
      </c>
      <c r="Q488" s="287"/>
      <c r="R488" s="168"/>
      <c r="S488" s="380"/>
      <c r="T488" s="473" t="s">
        <v>71</v>
      </c>
      <c r="U488" s="473" t="s">
        <v>1827</v>
      </c>
      <c r="AA488" s="27"/>
      <c r="AB488" s="27"/>
      <c r="AC488" s="809"/>
      <c r="AD488" s="481"/>
    </row>
    <row r="489" spans="3:30" ht="10.5" customHeight="1">
      <c r="C489" s="1526" t="s">
        <v>4450</v>
      </c>
      <c r="D489" s="1523">
        <v>0</v>
      </c>
      <c r="E489" s="1523">
        <v>0</v>
      </c>
      <c r="F489" s="1524">
        <v>0</v>
      </c>
      <c r="G489" s="1537" t="s">
        <v>4450</v>
      </c>
      <c r="H489" s="1521">
        <v>0</v>
      </c>
      <c r="I489" s="1521">
        <v>0</v>
      </c>
      <c r="J489" s="1538">
        <v>0</v>
      </c>
      <c r="K489" s="1525"/>
      <c r="L489" s="1519">
        <v>13033950500</v>
      </c>
      <c r="M489" s="1520">
        <v>0</v>
      </c>
      <c r="N489" s="1520">
        <v>0</v>
      </c>
      <c r="O489" s="1520">
        <v>0</v>
      </c>
      <c r="P489" s="504" t="s">
        <v>786</v>
      </c>
      <c r="Q489" s="287"/>
      <c r="R489" s="168"/>
      <c r="S489" s="380"/>
      <c r="T489" s="473" t="s">
        <v>602</v>
      </c>
      <c r="U489" s="473" t="s">
        <v>2372</v>
      </c>
      <c r="AA489" s="27"/>
      <c r="AB489" s="27"/>
      <c r="AC489" s="809"/>
      <c r="AD489" s="481"/>
    </row>
    <row r="490" spans="3:30" ht="10.5" customHeight="1">
      <c r="C490" s="1526" t="s">
        <v>4451</v>
      </c>
      <c r="D490" s="1523">
        <v>0</v>
      </c>
      <c r="E490" s="1523">
        <v>0</v>
      </c>
      <c r="F490" s="1524">
        <v>0</v>
      </c>
      <c r="G490" s="1537" t="s">
        <v>4451</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4452</v>
      </c>
      <c r="D491" s="1523">
        <v>0</v>
      </c>
      <c r="E491" s="1523">
        <v>0</v>
      </c>
      <c r="F491" s="1524">
        <v>0</v>
      </c>
      <c r="G491" s="1537" t="s">
        <v>4452</v>
      </c>
      <c r="H491" s="1521">
        <v>0</v>
      </c>
      <c r="I491" s="1521">
        <v>0</v>
      </c>
      <c r="J491" s="1538">
        <v>0</v>
      </c>
      <c r="K491" s="1525"/>
      <c r="L491" s="1519">
        <v>13033950900</v>
      </c>
      <c r="M491" s="1520">
        <v>0</v>
      </c>
      <c r="N491" s="1520">
        <v>0</v>
      </c>
      <c r="O491" s="1520">
        <v>0</v>
      </c>
      <c r="P491" s="504" t="s">
        <v>789</v>
      </c>
      <c r="Q491" s="287"/>
      <c r="R491" s="168"/>
      <c r="S491" s="380"/>
      <c r="T491" s="473" t="s">
        <v>2304</v>
      </c>
      <c r="U491" s="473" t="s">
        <v>1396</v>
      </c>
      <c r="AA491" s="27"/>
      <c r="AB491" s="27"/>
      <c r="AC491" s="809"/>
      <c r="AD491" s="481"/>
    </row>
    <row r="492" spans="3:30" ht="10.5" customHeight="1">
      <c r="C492" s="1526" t="s">
        <v>4453</v>
      </c>
      <c r="D492" s="1523">
        <v>0</v>
      </c>
      <c r="E492" s="1523">
        <v>1</v>
      </c>
      <c r="F492" s="1524">
        <v>1</v>
      </c>
      <c r="G492" s="1537" t="s">
        <v>4453</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4454</v>
      </c>
      <c r="D493" s="1523">
        <v>0</v>
      </c>
      <c r="E493" s="1523">
        <v>0</v>
      </c>
      <c r="F493" s="1524">
        <v>0</v>
      </c>
      <c r="G493" s="1537" t="s">
        <v>4454</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4455</v>
      </c>
      <c r="D494" s="1523">
        <v>0</v>
      </c>
      <c r="E494" s="1523">
        <v>1</v>
      </c>
      <c r="F494" s="1524">
        <v>1</v>
      </c>
      <c r="G494" s="1537" t="s">
        <v>4455</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4456</v>
      </c>
      <c r="D495" s="1523">
        <v>0</v>
      </c>
      <c r="E495" s="1523">
        <v>0</v>
      </c>
      <c r="F495" s="1524">
        <v>0</v>
      </c>
      <c r="G495" s="1537" t="s">
        <v>4456</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4457</v>
      </c>
      <c r="D496" s="1523">
        <v>0</v>
      </c>
      <c r="E496" s="1523">
        <v>0</v>
      </c>
      <c r="F496" s="1524">
        <v>0</v>
      </c>
      <c r="G496" s="1537" t="s">
        <v>4457</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4458</v>
      </c>
      <c r="D497" s="1523">
        <v>0</v>
      </c>
      <c r="E497" s="1523">
        <v>0</v>
      </c>
      <c r="F497" s="1524">
        <v>0</v>
      </c>
      <c r="G497" s="1537" t="s">
        <v>4458</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4459</v>
      </c>
      <c r="D498" s="1523">
        <v>0</v>
      </c>
      <c r="E498" s="1523">
        <v>1</v>
      </c>
      <c r="F498" s="1524">
        <v>1</v>
      </c>
      <c r="G498" s="1537" t="s">
        <v>4459</v>
      </c>
      <c r="H498" s="1521">
        <v>0</v>
      </c>
      <c r="I498" s="1521">
        <v>0</v>
      </c>
      <c r="J498" s="1538">
        <v>0</v>
      </c>
      <c r="K498" s="1525"/>
      <c r="L498" s="1519">
        <v>13039010200</v>
      </c>
      <c r="M498" s="1520">
        <v>0</v>
      </c>
      <c r="N498" s="1520">
        <v>1</v>
      </c>
      <c r="O498" s="1520">
        <v>1</v>
      </c>
      <c r="P498" s="504" t="s">
        <v>1451</v>
      </c>
      <c r="Q498" s="287"/>
      <c r="R498" s="168"/>
      <c r="S498" s="380"/>
      <c r="T498" s="473" t="s">
        <v>1434</v>
      </c>
      <c r="U498" s="473" t="s">
        <v>2412</v>
      </c>
      <c r="AA498" s="27"/>
      <c r="AB498" s="27"/>
      <c r="AC498" s="809"/>
      <c r="AD498" s="481"/>
    </row>
    <row r="499" spans="3:30" ht="10.5" customHeight="1">
      <c r="C499" s="1526" t="s">
        <v>4460</v>
      </c>
      <c r="D499" s="1523">
        <v>0</v>
      </c>
      <c r="E499" s="1523">
        <v>0</v>
      </c>
      <c r="F499" s="1524">
        <v>0</v>
      </c>
      <c r="G499" s="1537" t="s">
        <v>4460</v>
      </c>
      <c r="H499" s="1521">
        <v>0</v>
      </c>
      <c r="I499" s="1521">
        <v>0</v>
      </c>
      <c r="J499" s="1538">
        <v>0</v>
      </c>
      <c r="K499" s="1525"/>
      <c r="L499" s="1519">
        <v>13039010301</v>
      </c>
      <c r="M499" s="1520">
        <v>0</v>
      </c>
      <c r="N499" s="1520">
        <v>0</v>
      </c>
      <c r="O499" s="1520">
        <v>0</v>
      </c>
      <c r="P499" s="504" t="s">
        <v>1343</v>
      </c>
      <c r="Q499" s="287"/>
      <c r="R499" s="168"/>
      <c r="S499" s="380"/>
      <c r="T499" s="473" t="s">
        <v>1436</v>
      </c>
      <c r="U499" s="473" t="s">
        <v>2083</v>
      </c>
      <c r="AA499" s="27"/>
      <c r="AB499" s="27"/>
      <c r="AC499" s="809"/>
      <c r="AD499" s="481"/>
    </row>
    <row r="500" spans="3:30" ht="10.5" customHeight="1">
      <c r="C500" s="1526" t="s">
        <v>4461</v>
      </c>
      <c r="D500" s="1523">
        <v>0</v>
      </c>
      <c r="E500" s="1523">
        <v>0</v>
      </c>
      <c r="F500" s="1524">
        <v>0</v>
      </c>
      <c r="G500" s="1537" t="s">
        <v>4461</v>
      </c>
      <c r="H500" s="1521">
        <v>0</v>
      </c>
      <c r="I500" s="1521">
        <v>0</v>
      </c>
      <c r="J500" s="1538">
        <v>0</v>
      </c>
      <c r="K500" s="1525"/>
      <c r="L500" s="1519">
        <v>13039010302</v>
      </c>
      <c r="M500" s="1520">
        <v>0</v>
      </c>
      <c r="N500" s="1520">
        <v>0</v>
      </c>
      <c r="O500" s="1520">
        <v>0</v>
      </c>
      <c r="P500" s="504" t="s">
        <v>1345</v>
      </c>
      <c r="Q500" s="287"/>
      <c r="R500" s="168"/>
      <c r="S500" s="380"/>
      <c r="T500" s="473" t="s">
        <v>2234</v>
      </c>
      <c r="U500" s="473" t="s">
        <v>2472</v>
      </c>
      <c r="AA500" s="27"/>
      <c r="AB500" s="27"/>
      <c r="AC500" s="809"/>
      <c r="AD500" s="481"/>
    </row>
    <row r="501" spans="3:30" ht="10.5" customHeight="1">
      <c r="C501" s="1526" t="s">
        <v>4462</v>
      </c>
      <c r="D501" s="1523">
        <v>1</v>
      </c>
      <c r="E501" s="1523">
        <v>1</v>
      </c>
      <c r="F501" s="1524">
        <v>2</v>
      </c>
      <c r="G501" s="1537" t="s">
        <v>4462</v>
      </c>
      <c r="H501" s="1521">
        <v>1</v>
      </c>
      <c r="I501" s="1521">
        <v>0</v>
      </c>
      <c r="J501" s="1538">
        <v>1</v>
      </c>
      <c r="K501" s="1525"/>
      <c r="L501" s="1519">
        <v>13039010401</v>
      </c>
      <c r="M501" s="1520">
        <v>1</v>
      </c>
      <c r="N501" s="1520">
        <v>1</v>
      </c>
      <c r="O501" s="1520">
        <v>2</v>
      </c>
      <c r="P501" s="504" t="s">
        <v>1347</v>
      </c>
      <c r="Q501" s="287"/>
      <c r="R501" s="168"/>
      <c r="S501" s="380"/>
      <c r="T501" s="473" t="s">
        <v>2236</v>
      </c>
      <c r="U501" s="473" t="s">
        <v>114</v>
      </c>
      <c r="AA501" s="27"/>
      <c r="AB501" s="27"/>
      <c r="AC501" s="809"/>
      <c r="AD501" s="481"/>
    </row>
    <row r="502" spans="3:30" ht="10.5" customHeight="1">
      <c r="C502" s="1526" t="s">
        <v>4463</v>
      </c>
      <c r="D502" s="1523">
        <v>1</v>
      </c>
      <c r="E502" s="1523">
        <v>1</v>
      </c>
      <c r="F502" s="1524">
        <v>2</v>
      </c>
      <c r="G502" s="1537" t="s">
        <v>4463</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4464</v>
      </c>
      <c r="D503" s="1523">
        <v>1</v>
      </c>
      <c r="E503" s="1523">
        <v>1</v>
      </c>
      <c r="F503" s="1524">
        <v>2</v>
      </c>
      <c r="G503" s="1537" t="s">
        <v>4464</v>
      </c>
      <c r="H503" s="1521">
        <v>1</v>
      </c>
      <c r="I503" s="1521">
        <v>1</v>
      </c>
      <c r="J503" s="1538">
        <v>2</v>
      </c>
      <c r="K503" s="1525"/>
      <c r="L503" s="1519">
        <v>13039010403</v>
      </c>
      <c r="M503" s="1520">
        <v>1</v>
      </c>
      <c r="N503" s="1520">
        <v>1</v>
      </c>
      <c r="O503" s="1520">
        <v>2</v>
      </c>
      <c r="P503" s="504" t="s">
        <v>1350</v>
      </c>
      <c r="Q503" s="287"/>
      <c r="R503" s="168"/>
      <c r="S503" s="380"/>
      <c r="T503" s="473" t="s">
        <v>1016</v>
      </c>
      <c r="U503" s="473" t="s">
        <v>1916</v>
      </c>
      <c r="AA503" s="27"/>
      <c r="AB503" s="27"/>
      <c r="AC503" s="809"/>
      <c r="AD503" s="481"/>
    </row>
    <row r="504" spans="3:30" ht="10.5" customHeight="1">
      <c r="C504" s="1526" t="s">
        <v>4465</v>
      </c>
      <c r="D504" s="1523">
        <v>0</v>
      </c>
      <c r="E504" s="1523">
        <v>1</v>
      </c>
      <c r="F504" s="1524">
        <v>1</v>
      </c>
      <c r="G504" s="1537" t="s">
        <v>4465</v>
      </c>
      <c r="H504" s="1521">
        <v>0</v>
      </c>
      <c r="I504" s="1521" t="s">
        <v>4099</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4466</v>
      </c>
      <c r="D505" s="1523">
        <v>0</v>
      </c>
      <c r="E505" s="1523">
        <v>0</v>
      </c>
      <c r="F505" s="1524">
        <v>0</v>
      </c>
      <c r="G505" s="1537" t="s">
        <v>4466</v>
      </c>
      <c r="H505" s="1521">
        <v>0</v>
      </c>
      <c r="I505" s="1521">
        <v>0</v>
      </c>
      <c r="J505" s="1538">
        <v>0</v>
      </c>
      <c r="K505" s="1525"/>
      <c r="L505" s="1519">
        <v>13039010601</v>
      </c>
      <c r="M505" s="1520">
        <v>0</v>
      </c>
      <c r="N505" s="1520">
        <v>0</v>
      </c>
      <c r="O505" s="1520">
        <v>0</v>
      </c>
      <c r="P505" s="504" t="s">
        <v>1505</v>
      </c>
      <c r="Q505" s="287"/>
      <c r="R505" s="168"/>
      <c r="S505" s="380"/>
      <c r="T505" s="473" t="s">
        <v>794</v>
      </c>
      <c r="U505" s="473" t="s">
        <v>1918</v>
      </c>
      <c r="AA505" s="27"/>
      <c r="AB505" s="27"/>
      <c r="AC505" s="809"/>
      <c r="AD505" s="481"/>
    </row>
    <row r="506" spans="3:30" ht="10.5" customHeight="1">
      <c r="C506" s="1526" t="s">
        <v>4467</v>
      </c>
      <c r="D506" s="1523">
        <v>0</v>
      </c>
      <c r="E506" s="1523">
        <v>0</v>
      </c>
      <c r="F506" s="1524">
        <v>0</v>
      </c>
      <c r="G506" s="1537" t="s">
        <v>4467</v>
      </c>
      <c r="H506" s="1521">
        <v>0</v>
      </c>
      <c r="I506" s="1521" t="s">
        <v>4099</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4468</v>
      </c>
      <c r="D507" s="1523" t="s">
        <v>4099</v>
      </c>
      <c r="E507" s="1523" t="s">
        <v>4099</v>
      </c>
      <c r="F507" s="1524">
        <v>0</v>
      </c>
      <c r="G507" s="1537" t="s">
        <v>4468</v>
      </c>
      <c r="H507" s="1521" t="s">
        <v>4099</v>
      </c>
      <c r="I507" s="1521" t="s">
        <v>4099</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4469</v>
      </c>
      <c r="D508" s="1523">
        <v>0</v>
      </c>
      <c r="E508" s="1523">
        <v>0</v>
      </c>
      <c r="F508" s="1524">
        <v>0</v>
      </c>
      <c r="G508" s="1537" t="s">
        <v>4469</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4470</v>
      </c>
      <c r="D509" s="1523">
        <v>0</v>
      </c>
      <c r="E509" s="1523">
        <v>0</v>
      </c>
      <c r="F509" s="1524">
        <v>0</v>
      </c>
      <c r="G509" s="1537" t="s">
        <v>4470</v>
      </c>
      <c r="H509" s="1521">
        <v>0</v>
      </c>
      <c r="I509" s="1521">
        <v>0</v>
      </c>
      <c r="J509" s="1538">
        <v>0</v>
      </c>
      <c r="K509" s="1525"/>
      <c r="L509" s="1519">
        <v>13043950200</v>
      </c>
      <c r="M509" s="1520">
        <v>0</v>
      </c>
      <c r="N509" s="1520">
        <v>0</v>
      </c>
      <c r="O509" s="1520">
        <v>0</v>
      </c>
      <c r="P509" s="504" t="s">
        <v>1510</v>
      </c>
      <c r="Q509" s="287"/>
      <c r="R509" s="168"/>
      <c r="S509" s="380"/>
      <c r="T509" s="473" t="s">
        <v>113</v>
      </c>
      <c r="U509" s="473" t="s">
        <v>1919</v>
      </c>
      <c r="AA509" s="27"/>
      <c r="AB509" s="27"/>
      <c r="AC509" s="809"/>
      <c r="AD509" s="481"/>
    </row>
    <row r="510" spans="3:30" ht="10.5" customHeight="1">
      <c r="C510" s="1526" t="s">
        <v>4471</v>
      </c>
      <c r="D510" s="1523">
        <v>0</v>
      </c>
      <c r="E510" s="1523">
        <v>0</v>
      </c>
      <c r="F510" s="1524">
        <v>0</v>
      </c>
      <c r="G510" s="1537" t="s">
        <v>4471</v>
      </c>
      <c r="H510" s="1521">
        <v>0</v>
      </c>
      <c r="I510" s="1521">
        <v>0</v>
      </c>
      <c r="J510" s="1538">
        <v>0</v>
      </c>
      <c r="K510" s="1525"/>
      <c r="L510" s="1519">
        <v>13043950300</v>
      </c>
      <c r="M510" s="1520">
        <v>0</v>
      </c>
      <c r="N510" s="1520">
        <v>0</v>
      </c>
      <c r="O510" s="1520">
        <v>0</v>
      </c>
      <c r="P510" s="504" t="s">
        <v>1512</v>
      </c>
      <c r="Q510" s="287"/>
      <c r="R510" s="168"/>
      <c r="S510" s="380"/>
      <c r="T510" s="473" t="s">
        <v>239</v>
      </c>
      <c r="U510" s="473" t="s">
        <v>1791</v>
      </c>
      <c r="AA510" s="27"/>
      <c r="AB510" s="27"/>
      <c r="AC510" s="809"/>
      <c r="AD510" s="481"/>
    </row>
    <row r="511" spans="3:30" ht="10.5" customHeight="1">
      <c r="C511" s="1526" t="s">
        <v>4472</v>
      </c>
      <c r="D511" s="1523">
        <v>0</v>
      </c>
      <c r="E511" s="1523">
        <v>1</v>
      </c>
      <c r="F511" s="1524">
        <v>1</v>
      </c>
      <c r="G511" s="1537" t="s">
        <v>4472</v>
      </c>
      <c r="H511" s="1521">
        <v>0</v>
      </c>
      <c r="I511" s="1521">
        <v>0</v>
      </c>
      <c r="J511" s="1538">
        <v>0</v>
      </c>
      <c r="K511" s="1525"/>
      <c r="L511" s="1519">
        <v>13045910101</v>
      </c>
      <c r="M511" s="1520">
        <v>0</v>
      </c>
      <c r="N511" s="1520">
        <v>1</v>
      </c>
      <c r="O511" s="1520">
        <v>1</v>
      </c>
      <c r="P511" s="504" t="s">
        <v>1513</v>
      </c>
      <c r="Q511" s="287"/>
      <c r="R511" s="168"/>
      <c r="S511" s="380"/>
      <c r="T511" s="505" t="s">
        <v>1445</v>
      </c>
      <c r="U511" s="505" t="s">
        <v>1918</v>
      </c>
      <c r="AA511" s="27"/>
      <c r="AB511" s="27"/>
      <c r="AC511" s="810"/>
      <c r="AD511" s="481"/>
    </row>
    <row r="512" spans="3:30" ht="10.5" customHeight="1">
      <c r="C512" s="1526" t="s">
        <v>4473</v>
      </c>
      <c r="D512" s="1523">
        <v>1</v>
      </c>
      <c r="E512" s="1523">
        <v>1</v>
      </c>
      <c r="F512" s="1524">
        <v>2</v>
      </c>
      <c r="G512" s="1537" t="s">
        <v>4473</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4474</v>
      </c>
      <c r="D513" s="1523">
        <v>0</v>
      </c>
      <c r="E513" s="1523">
        <v>1</v>
      </c>
      <c r="F513" s="1524">
        <v>1</v>
      </c>
      <c r="G513" s="1537" t="s">
        <v>4474</v>
      </c>
      <c r="H513" s="1521">
        <v>0</v>
      </c>
      <c r="I513" s="1521">
        <v>0</v>
      </c>
      <c r="J513" s="1538">
        <v>0</v>
      </c>
      <c r="K513" s="1525"/>
      <c r="L513" s="1519">
        <v>13045910104</v>
      </c>
      <c r="M513" s="1520">
        <v>0</v>
      </c>
      <c r="N513" s="1520">
        <v>1</v>
      </c>
      <c r="O513" s="1520">
        <v>1</v>
      </c>
      <c r="P513" s="504" t="s">
        <v>362</v>
      </c>
      <c r="Q513" s="287"/>
      <c r="R513" s="168"/>
      <c r="S513" s="380"/>
      <c r="T513" s="473" t="s">
        <v>1450</v>
      </c>
      <c r="U513" s="473" t="s">
        <v>2372</v>
      </c>
      <c r="AA513" s="27"/>
      <c r="AB513" s="27"/>
      <c r="AC513" s="809"/>
      <c r="AD513" s="481"/>
    </row>
    <row r="514" spans="3:30" ht="10.5" customHeight="1">
      <c r="C514" s="1526" t="s">
        <v>4475</v>
      </c>
      <c r="D514" s="1523">
        <v>0</v>
      </c>
      <c r="E514" s="1523">
        <v>0</v>
      </c>
      <c r="F514" s="1524">
        <v>0</v>
      </c>
      <c r="G514" s="1537" t="s">
        <v>4475</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4476</v>
      </c>
      <c r="D515" s="1523">
        <v>0</v>
      </c>
      <c r="E515" s="1523">
        <v>1</v>
      </c>
      <c r="F515" s="1524">
        <v>1</v>
      </c>
      <c r="G515" s="1537" t="s">
        <v>4476</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4477</v>
      </c>
      <c r="D516" s="1523">
        <v>0</v>
      </c>
      <c r="E516" s="1523">
        <v>0</v>
      </c>
      <c r="F516" s="1524">
        <v>0</v>
      </c>
      <c r="G516" s="1537" t="s">
        <v>4477</v>
      </c>
      <c r="H516" s="1521">
        <v>0</v>
      </c>
      <c r="I516" s="1521" t="s">
        <v>4099</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4478</v>
      </c>
      <c r="D517" s="1523">
        <v>0</v>
      </c>
      <c r="E517" s="1523">
        <v>1</v>
      </c>
      <c r="F517" s="1524">
        <v>1</v>
      </c>
      <c r="G517" s="1537" t="s">
        <v>4478</v>
      </c>
      <c r="H517" s="1521">
        <v>0</v>
      </c>
      <c r="I517" s="1521">
        <v>0</v>
      </c>
      <c r="J517" s="1538">
        <v>0</v>
      </c>
      <c r="K517" s="1525"/>
      <c r="L517" s="1519">
        <v>13045910501</v>
      </c>
      <c r="M517" s="1520">
        <v>0</v>
      </c>
      <c r="N517" s="1520">
        <v>1</v>
      </c>
      <c r="O517" s="1520">
        <v>1</v>
      </c>
      <c r="P517" s="504" t="s">
        <v>1045</v>
      </c>
      <c r="Q517" s="287"/>
      <c r="R517" s="168"/>
      <c r="S517" s="380"/>
      <c r="T517" s="473" t="s">
        <v>168</v>
      </c>
      <c r="U517" s="473" t="s">
        <v>2081</v>
      </c>
      <c r="AA517" s="27"/>
      <c r="AB517" s="27"/>
      <c r="AC517" s="809"/>
      <c r="AD517" s="481"/>
    </row>
    <row r="518" spans="3:30" ht="10.5" customHeight="1">
      <c r="C518" s="1526" t="s">
        <v>4479</v>
      </c>
      <c r="D518" s="1523">
        <v>0</v>
      </c>
      <c r="E518" s="1523">
        <v>0</v>
      </c>
      <c r="F518" s="1524">
        <v>0</v>
      </c>
      <c r="G518" s="1537" t="s">
        <v>4479</v>
      </c>
      <c r="H518" s="1521">
        <v>0</v>
      </c>
      <c r="I518" s="1521">
        <v>0</v>
      </c>
      <c r="J518" s="1538">
        <v>0</v>
      </c>
      <c r="K518" s="1525"/>
      <c r="L518" s="1519">
        <v>13045910502</v>
      </c>
      <c r="M518" s="1520">
        <v>0</v>
      </c>
      <c r="N518" s="1520">
        <v>0</v>
      </c>
      <c r="O518" s="1520">
        <v>0</v>
      </c>
      <c r="P518" s="504" t="s">
        <v>1047</v>
      </c>
      <c r="Q518" s="287"/>
      <c r="R518" s="168"/>
      <c r="S518" s="380"/>
      <c r="T518" s="473" t="s">
        <v>1349</v>
      </c>
      <c r="U518" s="473" t="s">
        <v>1791</v>
      </c>
      <c r="AA518" s="27"/>
      <c r="AB518" s="27"/>
      <c r="AC518" s="809"/>
      <c r="AD518" s="481"/>
    </row>
    <row r="519" spans="3:30" ht="10.5" customHeight="1">
      <c r="C519" s="1526" t="s">
        <v>4480</v>
      </c>
      <c r="D519" s="1523">
        <v>0</v>
      </c>
      <c r="E519" s="1523">
        <v>0</v>
      </c>
      <c r="F519" s="1524">
        <v>0</v>
      </c>
      <c r="G519" s="1537" t="s">
        <v>4480</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4481</v>
      </c>
      <c r="D520" s="1523">
        <v>0</v>
      </c>
      <c r="E520" s="1523">
        <v>1</v>
      </c>
      <c r="F520" s="1524">
        <v>1</v>
      </c>
      <c r="G520" s="1537" t="s">
        <v>4481</v>
      </c>
      <c r="H520" s="1521">
        <v>0</v>
      </c>
      <c r="I520" s="1521">
        <v>0</v>
      </c>
      <c r="J520" s="1538">
        <v>0</v>
      </c>
      <c r="K520" s="1525"/>
      <c r="L520" s="1519">
        <v>13045910701</v>
      </c>
      <c r="M520" s="1520">
        <v>0</v>
      </c>
      <c r="N520" s="1520">
        <v>1</v>
      </c>
      <c r="O520" s="1520">
        <v>1</v>
      </c>
      <c r="P520" s="504" t="s">
        <v>246</v>
      </c>
      <c r="Q520" s="287"/>
      <c r="R520" s="168"/>
      <c r="S520" s="380"/>
      <c r="T520" s="473" t="s">
        <v>2380</v>
      </c>
      <c r="U520" s="473" t="s">
        <v>1821</v>
      </c>
      <c r="AA520" s="27"/>
      <c r="AB520" s="27"/>
      <c r="AC520" s="809"/>
      <c r="AD520" s="481"/>
    </row>
    <row r="521" spans="3:30" ht="10.5" customHeight="1">
      <c r="C521" s="1526" t="s">
        <v>4482</v>
      </c>
      <c r="D521" s="1523">
        <v>1</v>
      </c>
      <c r="E521" s="1523">
        <v>1</v>
      </c>
      <c r="F521" s="1524">
        <v>2</v>
      </c>
      <c r="G521" s="1537" t="s">
        <v>4482</v>
      </c>
      <c r="H521" s="1521">
        <v>0</v>
      </c>
      <c r="I521" s="1521">
        <v>1</v>
      </c>
      <c r="J521" s="1538">
        <v>1</v>
      </c>
      <c r="K521" s="1525"/>
      <c r="L521" s="1519">
        <v>13045910702</v>
      </c>
      <c r="M521" s="1520">
        <v>1</v>
      </c>
      <c r="N521" s="1520">
        <v>1</v>
      </c>
      <c r="O521" s="1520">
        <v>2</v>
      </c>
      <c r="P521" s="504" t="s">
        <v>248</v>
      </c>
      <c r="Q521" s="287"/>
      <c r="R521" s="168"/>
      <c r="S521" s="380"/>
      <c r="T521" s="473" t="s">
        <v>1017</v>
      </c>
      <c r="U521" s="473" t="s">
        <v>2375</v>
      </c>
      <c r="AA521" s="27"/>
      <c r="AB521" s="27"/>
      <c r="AC521" s="809"/>
      <c r="AD521" s="481"/>
    </row>
    <row r="522" spans="3:30" ht="10.5" customHeight="1">
      <c r="C522" s="1526" t="s">
        <v>4483</v>
      </c>
      <c r="D522" s="1523">
        <v>0</v>
      </c>
      <c r="E522" s="1523">
        <v>1</v>
      </c>
      <c r="F522" s="1524">
        <v>1</v>
      </c>
      <c r="G522" s="1537" t="s">
        <v>4483</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4484</v>
      </c>
      <c r="D523" s="1523">
        <v>0</v>
      </c>
      <c r="E523" s="1523">
        <v>1</v>
      </c>
      <c r="F523" s="1524">
        <v>1</v>
      </c>
      <c r="G523" s="1537" t="s">
        <v>4484</v>
      </c>
      <c r="H523" s="1521">
        <v>0</v>
      </c>
      <c r="I523" s="1521">
        <v>0</v>
      </c>
      <c r="J523" s="1538">
        <v>0</v>
      </c>
      <c r="K523" s="1525"/>
      <c r="L523" s="1519">
        <v>13045910800</v>
      </c>
      <c r="M523" s="1520">
        <v>0</v>
      </c>
      <c r="N523" s="1520">
        <v>1</v>
      </c>
      <c r="O523" s="1520">
        <v>1</v>
      </c>
      <c r="P523" s="504" t="s">
        <v>2221</v>
      </c>
      <c r="Q523" s="287"/>
      <c r="R523" s="168"/>
      <c r="S523" s="380"/>
      <c r="T523" s="473" t="s">
        <v>171</v>
      </c>
      <c r="U523" s="473" t="s">
        <v>2465</v>
      </c>
      <c r="AA523" s="27"/>
      <c r="AB523" s="27"/>
      <c r="AC523" s="809"/>
      <c r="AD523" s="481"/>
    </row>
    <row r="524" spans="3:30" ht="10.5" customHeight="1">
      <c r="C524" s="1526" t="s">
        <v>4485</v>
      </c>
      <c r="D524" s="1523">
        <v>0</v>
      </c>
      <c r="E524" s="1523">
        <v>1</v>
      </c>
      <c r="F524" s="1524">
        <v>1</v>
      </c>
      <c r="G524" s="1537" t="s">
        <v>4485</v>
      </c>
      <c r="H524" s="1521">
        <v>0</v>
      </c>
      <c r="I524" s="1521">
        <v>1</v>
      </c>
      <c r="J524" s="1538">
        <v>1</v>
      </c>
      <c r="K524" s="1525"/>
      <c r="L524" s="1519">
        <v>13045910900</v>
      </c>
      <c r="M524" s="1520">
        <v>0</v>
      </c>
      <c r="N524" s="1520">
        <v>1</v>
      </c>
      <c r="O524" s="1520">
        <v>1</v>
      </c>
      <c r="P524" s="504" t="s">
        <v>461</v>
      </c>
      <c r="Q524" s="287"/>
      <c r="R524" s="168"/>
      <c r="S524" s="380"/>
      <c r="T524" s="473" t="s">
        <v>1509</v>
      </c>
      <c r="U524" s="473" t="s">
        <v>2089</v>
      </c>
      <c r="AA524" s="27"/>
      <c r="AB524" s="27"/>
      <c r="AC524" s="809"/>
      <c r="AD524" s="481"/>
    </row>
    <row r="525" spans="3:30" ht="10.5" customHeight="1">
      <c r="C525" s="1526" t="s">
        <v>4486</v>
      </c>
      <c r="D525" s="1523">
        <v>1</v>
      </c>
      <c r="E525" s="1523">
        <v>1</v>
      </c>
      <c r="F525" s="1524">
        <v>2</v>
      </c>
      <c r="G525" s="1537" t="s">
        <v>4486</v>
      </c>
      <c r="H525" s="1521">
        <v>1</v>
      </c>
      <c r="I525" s="1521">
        <v>1</v>
      </c>
      <c r="J525" s="1538">
        <v>2</v>
      </c>
      <c r="K525" s="1525"/>
      <c r="L525" s="1519">
        <v>13045911000</v>
      </c>
      <c r="M525" s="1520">
        <v>1</v>
      </c>
      <c r="N525" s="1520">
        <v>1</v>
      </c>
      <c r="O525" s="1520">
        <v>2</v>
      </c>
      <c r="P525" s="504" t="s">
        <v>1253</v>
      </c>
      <c r="Q525" s="287"/>
      <c r="R525" s="168"/>
      <c r="S525" s="380"/>
      <c r="T525" s="473" t="s">
        <v>1511</v>
      </c>
      <c r="U525" s="473" t="s">
        <v>1791</v>
      </c>
      <c r="AA525" s="27"/>
      <c r="AB525" s="27"/>
      <c r="AC525" s="809"/>
      <c r="AD525" s="481"/>
    </row>
    <row r="526" spans="3:30" ht="10.5" customHeight="1">
      <c r="C526" s="1526" t="s">
        <v>4487</v>
      </c>
      <c r="D526" s="1523">
        <v>1</v>
      </c>
      <c r="E526" s="1523">
        <v>1</v>
      </c>
      <c r="F526" s="1524">
        <v>2</v>
      </c>
      <c r="G526" s="1537" t="s">
        <v>4487</v>
      </c>
      <c r="H526" s="1521">
        <v>0</v>
      </c>
      <c r="I526" s="1521">
        <v>1</v>
      </c>
      <c r="J526" s="1538">
        <v>1</v>
      </c>
      <c r="K526" s="1525"/>
      <c r="L526" s="1519">
        <v>13045911100</v>
      </c>
      <c r="M526" s="1520">
        <v>1</v>
      </c>
      <c r="N526" s="1520">
        <v>1</v>
      </c>
      <c r="O526" s="1520">
        <v>2</v>
      </c>
      <c r="P526" s="504" t="s">
        <v>617</v>
      </c>
      <c r="Q526" s="287"/>
      <c r="R526" s="168"/>
      <c r="S526" s="380"/>
      <c r="T526" s="473" t="s">
        <v>1514</v>
      </c>
      <c r="U526" s="473" t="s">
        <v>2470</v>
      </c>
      <c r="AA526" s="27"/>
      <c r="AB526" s="27"/>
      <c r="AC526" s="809"/>
      <c r="AD526" s="481"/>
    </row>
    <row r="527" spans="3:30" ht="10.5" customHeight="1">
      <c r="C527" s="1526" t="s">
        <v>4488</v>
      </c>
      <c r="D527" s="1523">
        <v>0</v>
      </c>
      <c r="E527" s="1523">
        <v>0</v>
      </c>
      <c r="F527" s="1524">
        <v>0</v>
      </c>
      <c r="G527" s="1537" t="s">
        <v>4488</v>
      </c>
      <c r="H527" s="1521">
        <v>0</v>
      </c>
      <c r="I527" s="1521">
        <v>0</v>
      </c>
      <c r="J527" s="1538">
        <v>0</v>
      </c>
      <c r="K527" s="1525"/>
      <c r="L527" s="1519">
        <v>13045911200</v>
      </c>
      <c r="M527" s="1520">
        <v>0</v>
      </c>
      <c r="N527" s="1520">
        <v>0</v>
      </c>
      <c r="O527" s="1520">
        <v>0</v>
      </c>
      <c r="P527" s="504" t="s">
        <v>657</v>
      </c>
      <c r="Q527" s="287"/>
      <c r="R527" s="168"/>
      <c r="S527" s="380"/>
      <c r="T527" s="473" t="s">
        <v>361</v>
      </c>
      <c r="U527" s="473" t="s">
        <v>2375</v>
      </c>
      <c r="AA527" s="27"/>
      <c r="AB527" s="27"/>
      <c r="AC527" s="809"/>
      <c r="AD527" s="481"/>
    </row>
    <row r="528" spans="3:30" ht="10.5" customHeight="1">
      <c r="C528" s="1526" t="s">
        <v>4489</v>
      </c>
      <c r="D528" s="1523">
        <v>0</v>
      </c>
      <c r="E528" s="1523">
        <v>0</v>
      </c>
      <c r="F528" s="1524">
        <v>0</v>
      </c>
      <c r="G528" s="1537" t="s">
        <v>4489</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4490</v>
      </c>
      <c r="D529" s="1523">
        <v>1</v>
      </c>
      <c r="E529" s="1523">
        <v>0</v>
      </c>
      <c r="F529" s="1524">
        <v>1</v>
      </c>
      <c r="G529" s="1537" t="s">
        <v>4490</v>
      </c>
      <c r="H529" s="1521">
        <v>0</v>
      </c>
      <c r="I529" s="1521">
        <v>0</v>
      </c>
      <c r="J529" s="1538">
        <v>0</v>
      </c>
      <c r="K529" s="1525"/>
      <c r="L529" s="1519">
        <v>13047030201</v>
      </c>
      <c r="M529" s="1520">
        <v>1</v>
      </c>
      <c r="N529" s="1520">
        <v>0</v>
      </c>
      <c r="O529" s="1520">
        <v>1</v>
      </c>
      <c r="P529" s="504" t="s">
        <v>497</v>
      </c>
      <c r="Q529" s="287"/>
      <c r="R529" s="168"/>
      <c r="S529" s="380"/>
      <c r="T529" s="507" t="s">
        <v>236</v>
      </c>
      <c r="U529" s="473" t="s">
        <v>2079</v>
      </c>
      <c r="AA529" s="27"/>
      <c r="AB529" s="27"/>
      <c r="AC529" s="811"/>
      <c r="AD529" s="481"/>
    </row>
    <row r="530" spans="3:30" ht="10.5" customHeight="1">
      <c r="C530" s="1526" t="s">
        <v>4491</v>
      </c>
      <c r="D530" s="1523">
        <v>1</v>
      </c>
      <c r="E530" s="1523">
        <v>1</v>
      </c>
      <c r="F530" s="1524">
        <v>2</v>
      </c>
      <c r="G530" s="1537" t="s">
        <v>4491</v>
      </c>
      <c r="H530" s="1521">
        <v>1</v>
      </c>
      <c r="I530" s="1521">
        <v>1</v>
      </c>
      <c r="J530" s="1538">
        <v>2</v>
      </c>
      <c r="K530" s="1525"/>
      <c r="L530" s="1519">
        <v>13047030202</v>
      </c>
      <c r="M530" s="1520">
        <v>1</v>
      </c>
      <c r="N530" s="1520">
        <v>1</v>
      </c>
      <c r="O530" s="1520">
        <v>2</v>
      </c>
      <c r="P530" s="504" t="s">
        <v>499</v>
      </c>
      <c r="Q530" s="287"/>
      <c r="R530" s="168"/>
      <c r="S530" s="380"/>
      <c r="T530" s="473" t="s">
        <v>1541</v>
      </c>
      <c r="U530" s="473" t="s">
        <v>2411</v>
      </c>
      <c r="AA530" s="27"/>
      <c r="AB530" s="27"/>
      <c r="AC530" s="809"/>
      <c r="AD530" s="481"/>
    </row>
    <row r="531" spans="3:30" ht="10.5" customHeight="1">
      <c r="C531" s="1526" t="s">
        <v>4492</v>
      </c>
      <c r="D531" s="1523">
        <v>1</v>
      </c>
      <c r="E531" s="1523">
        <v>1</v>
      </c>
      <c r="F531" s="1524">
        <v>2</v>
      </c>
      <c r="G531" s="1537" t="s">
        <v>4492</v>
      </c>
      <c r="H531" s="1521">
        <v>1</v>
      </c>
      <c r="I531" s="1521">
        <v>1</v>
      </c>
      <c r="J531" s="1538">
        <v>2</v>
      </c>
      <c r="K531" s="1525"/>
      <c r="L531" s="1519">
        <v>13047030301</v>
      </c>
      <c r="M531" s="1520">
        <v>1</v>
      </c>
      <c r="N531" s="1520">
        <v>1</v>
      </c>
      <c r="O531" s="1520">
        <v>2</v>
      </c>
      <c r="P531" s="504" t="s">
        <v>501</v>
      </c>
      <c r="Q531" s="287"/>
      <c r="R531" s="168"/>
      <c r="S531" s="380"/>
      <c r="T531" s="473" t="s">
        <v>2658</v>
      </c>
      <c r="U531" s="473" t="s">
        <v>317</v>
      </c>
      <c r="AA531" s="27"/>
      <c r="AB531" s="27"/>
      <c r="AC531" s="809"/>
      <c r="AD531" s="481"/>
    </row>
    <row r="532" spans="3:30" ht="10.5" customHeight="1">
      <c r="C532" s="1526" t="s">
        <v>4493</v>
      </c>
      <c r="D532" s="1523">
        <v>1</v>
      </c>
      <c r="E532" s="1523">
        <v>1</v>
      </c>
      <c r="F532" s="1524">
        <v>2</v>
      </c>
      <c r="G532" s="1537" t="s">
        <v>4493</v>
      </c>
      <c r="H532" s="1521">
        <v>1</v>
      </c>
      <c r="I532" s="1521">
        <v>0</v>
      </c>
      <c r="J532" s="1538">
        <v>1</v>
      </c>
      <c r="K532" s="1525"/>
      <c r="L532" s="1519">
        <v>13047030303</v>
      </c>
      <c r="M532" s="1520">
        <v>1</v>
      </c>
      <c r="N532" s="1520">
        <v>1</v>
      </c>
      <c r="O532" s="1520">
        <v>2</v>
      </c>
      <c r="P532" s="504" t="s">
        <v>503</v>
      </c>
      <c r="Q532" s="287"/>
      <c r="R532" s="168"/>
      <c r="S532" s="380"/>
      <c r="T532" s="473" t="s">
        <v>1046</v>
      </c>
      <c r="U532" s="473" t="s">
        <v>2472</v>
      </c>
      <c r="AA532" s="27"/>
      <c r="AB532" s="27"/>
      <c r="AC532" s="809"/>
      <c r="AD532" s="481"/>
    </row>
    <row r="533" spans="3:30" ht="10.5" customHeight="1">
      <c r="C533" s="1526" t="s">
        <v>4494</v>
      </c>
      <c r="D533" s="1523">
        <v>1</v>
      </c>
      <c r="E533" s="1523">
        <v>1</v>
      </c>
      <c r="F533" s="1524">
        <v>2</v>
      </c>
      <c r="G533" s="1537" t="s">
        <v>4494</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4495</v>
      </c>
      <c r="D534" s="1523">
        <v>1</v>
      </c>
      <c r="E534" s="1523">
        <v>1</v>
      </c>
      <c r="F534" s="1524">
        <v>2</v>
      </c>
      <c r="G534" s="1537" t="s">
        <v>4495</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4496</v>
      </c>
      <c r="D535" s="1523">
        <v>0</v>
      </c>
      <c r="E535" s="1523">
        <v>0</v>
      </c>
      <c r="F535" s="1524">
        <v>0</v>
      </c>
      <c r="G535" s="1537" t="s">
        <v>4496</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4497</v>
      </c>
      <c r="D536" s="1523">
        <v>1</v>
      </c>
      <c r="E536" s="1523">
        <v>0</v>
      </c>
      <c r="F536" s="1524">
        <v>1</v>
      </c>
      <c r="G536" s="1537" t="s">
        <v>4497</v>
      </c>
      <c r="H536" s="1521">
        <v>0</v>
      </c>
      <c r="I536" s="1521">
        <v>0</v>
      </c>
      <c r="J536" s="1538">
        <v>0</v>
      </c>
      <c r="K536" s="1525"/>
      <c r="L536" s="1519">
        <v>13047030500</v>
      </c>
      <c r="M536" s="1520">
        <v>1</v>
      </c>
      <c r="N536" s="1520">
        <v>0</v>
      </c>
      <c r="O536" s="1520">
        <v>1</v>
      </c>
      <c r="P536" s="504" t="s">
        <v>558</v>
      </c>
      <c r="Q536" s="287"/>
      <c r="R536" s="168"/>
      <c r="S536" s="380"/>
      <c r="T536" s="473" t="s">
        <v>249</v>
      </c>
      <c r="U536" s="473" t="s">
        <v>2290</v>
      </c>
      <c r="AA536" s="27"/>
      <c r="AB536" s="27"/>
      <c r="AC536" s="809"/>
      <c r="AD536" s="481"/>
    </row>
    <row r="537" spans="3:30" ht="10.5" customHeight="1">
      <c r="C537" s="1526" t="s">
        <v>4498</v>
      </c>
      <c r="D537" s="1523">
        <v>0</v>
      </c>
      <c r="E537" s="1523">
        <v>0</v>
      </c>
      <c r="F537" s="1524">
        <v>0</v>
      </c>
      <c r="G537" s="1537" t="s">
        <v>4498</v>
      </c>
      <c r="H537" s="1521">
        <v>1</v>
      </c>
      <c r="I537" s="1521">
        <v>0</v>
      </c>
      <c r="J537" s="1538">
        <v>1</v>
      </c>
      <c r="K537" s="1525"/>
      <c r="L537" s="1519">
        <v>13047030600</v>
      </c>
      <c r="M537" s="1520">
        <v>1</v>
      </c>
      <c r="N537" s="1520">
        <v>0</v>
      </c>
      <c r="O537" s="1520">
        <v>1</v>
      </c>
      <c r="P537" s="504" t="s">
        <v>559</v>
      </c>
      <c r="Q537" s="287"/>
      <c r="R537" s="168"/>
      <c r="S537" s="380"/>
      <c r="T537" s="505" t="s">
        <v>3494</v>
      </c>
      <c r="U537" s="505" t="s">
        <v>837</v>
      </c>
      <c r="AA537" s="27"/>
      <c r="AB537" s="27"/>
      <c r="AC537" s="810"/>
      <c r="AD537" s="481"/>
    </row>
    <row r="538" spans="3:30" ht="10.5" customHeight="1">
      <c r="C538" s="1526" t="s">
        <v>4499</v>
      </c>
      <c r="D538" s="1523">
        <v>0</v>
      </c>
      <c r="E538" s="1523">
        <v>0</v>
      </c>
      <c r="F538" s="1524">
        <v>0</v>
      </c>
      <c r="G538" s="1537" t="s">
        <v>4499</v>
      </c>
      <c r="H538" s="1521">
        <v>0</v>
      </c>
      <c r="I538" s="1521">
        <v>0</v>
      </c>
      <c r="J538" s="1538">
        <v>0</v>
      </c>
      <c r="K538" s="1525"/>
      <c r="L538" s="1519">
        <v>13047030700</v>
      </c>
      <c r="M538" s="1520">
        <v>0</v>
      </c>
      <c r="N538" s="1520">
        <v>0</v>
      </c>
      <c r="O538" s="1520">
        <v>0</v>
      </c>
      <c r="P538" s="504" t="s">
        <v>1986</v>
      </c>
      <c r="Q538" s="287"/>
      <c r="R538" s="168"/>
      <c r="S538" s="380"/>
      <c r="T538" s="473" t="s">
        <v>2222</v>
      </c>
      <c r="U538" s="473" t="s">
        <v>1056</v>
      </c>
      <c r="AA538" s="27"/>
      <c r="AB538" s="27"/>
      <c r="AC538" s="809"/>
      <c r="AD538" s="481"/>
    </row>
    <row r="539" spans="3:30" ht="10.5" customHeight="1">
      <c r="C539" s="1526" t="s">
        <v>4500</v>
      </c>
      <c r="D539" s="1523">
        <v>0</v>
      </c>
      <c r="E539" s="1523">
        <v>0</v>
      </c>
      <c r="F539" s="1524">
        <v>0</v>
      </c>
      <c r="G539" s="1537" t="s">
        <v>4500</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4501</v>
      </c>
      <c r="D540" s="1523">
        <v>0</v>
      </c>
      <c r="E540" s="1523">
        <v>0</v>
      </c>
      <c r="F540" s="1524">
        <v>0</v>
      </c>
      <c r="G540" s="1537" t="s">
        <v>4501</v>
      </c>
      <c r="H540" s="1521">
        <v>0</v>
      </c>
      <c r="I540" s="1521">
        <v>0</v>
      </c>
      <c r="J540" s="1538">
        <v>0</v>
      </c>
      <c r="K540" s="1525"/>
      <c r="L540" s="1519">
        <v>13049010200</v>
      </c>
      <c r="M540" s="1520">
        <v>0</v>
      </c>
      <c r="N540" s="1520">
        <v>0</v>
      </c>
      <c r="O540" s="1520">
        <v>0</v>
      </c>
      <c r="P540" s="504" t="s">
        <v>445</v>
      </c>
      <c r="Q540" s="287"/>
      <c r="R540" s="168"/>
      <c r="S540" s="380"/>
      <c r="T540" s="473" t="s">
        <v>2659</v>
      </c>
      <c r="U540" s="473" t="s">
        <v>2089</v>
      </c>
      <c r="AA540" s="27"/>
      <c r="AB540" s="27"/>
      <c r="AC540" s="809"/>
      <c r="AD540" s="481"/>
    </row>
    <row r="541" spans="3:30" ht="10.5" customHeight="1">
      <c r="C541" s="1526" t="s">
        <v>4502</v>
      </c>
      <c r="D541" s="1523">
        <v>0</v>
      </c>
      <c r="E541" s="1523">
        <v>0</v>
      </c>
      <c r="F541" s="1524">
        <v>0</v>
      </c>
      <c r="G541" s="1537" t="s">
        <v>4502</v>
      </c>
      <c r="H541" s="1521">
        <v>0</v>
      </c>
      <c r="I541" s="1521" t="s">
        <v>4099</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4503</v>
      </c>
      <c r="D542" s="1523">
        <v>1</v>
      </c>
      <c r="E542" s="1523">
        <v>1</v>
      </c>
      <c r="F542" s="1524">
        <v>2</v>
      </c>
      <c r="G542" s="1537" t="s">
        <v>4503</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4504</v>
      </c>
      <c r="D543" s="1523">
        <v>0</v>
      </c>
      <c r="E543" s="1523">
        <v>0</v>
      </c>
      <c r="F543" s="1524">
        <v>0</v>
      </c>
      <c r="G543" s="1537" t="s">
        <v>4504</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4505</v>
      </c>
      <c r="D544" s="1523">
        <v>0</v>
      </c>
      <c r="E544" s="1523">
        <v>0</v>
      </c>
      <c r="F544" s="1524">
        <v>0</v>
      </c>
      <c r="G544" s="1537" t="s">
        <v>4505</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4506</v>
      </c>
      <c r="D545" s="1523">
        <v>0</v>
      </c>
      <c r="E545" s="1523">
        <v>0</v>
      </c>
      <c r="F545" s="1524">
        <v>0</v>
      </c>
      <c r="G545" s="1537" t="s">
        <v>4506</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4507</v>
      </c>
      <c r="D546" s="1523">
        <v>0</v>
      </c>
      <c r="E546" s="1523">
        <v>0</v>
      </c>
      <c r="F546" s="1524">
        <v>0</v>
      </c>
      <c r="G546" s="1537" t="s">
        <v>4507</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4508</v>
      </c>
      <c r="D547" s="1523">
        <v>0</v>
      </c>
      <c r="E547" s="1523">
        <v>0</v>
      </c>
      <c r="F547" s="1524">
        <v>0</v>
      </c>
      <c r="G547" s="1537" t="s">
        <v>4508</v>
      </c>
      <c r="H547" s="1521">
        <v>0</v>
      </c>
      <c r="I547" s="1521" t="s">
        <v>4099</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4509</v>
      </c>
      <c r="D548" s="1523">
        <v>0</v>
      </c>
      <c r="E548" s="1523">
        <v>0</v>
      </c>
      <c r="F548" s="1524">
        <v>0</v>
      </c>
      <c r="G548" s="1537" t="s">
        <v>4509</v>
      </c>
      <c r="H548" s="1521">
        <v>0</v>
      </c>
      <c r="I548" s="1521">
        <v>0</v>
      </c>
      <c r="J548" s="1538">
        <v>0</v>
      </c>
      <c r="K548" s="1525"/>
      <c r="L548" s="1519">
        <v>13051002000</v>
      </c>
      <c r="M548" s="1520">
        <v>0</v>
      </c>
      <c r="N548" s="1520">
        <v>0</v>
      </c>
      <c r="O548" s="1520">
        <v>0</v>
      </c>
      <c r="P548" s="504" t="s">
        <v>2475</v>
      </c>
      <c r="Q548" s="287"/>
      <c r="R548" s="168"/>
      <c r="S548" s="380"/>
      <c r="T548" s="473" t="s">
        <v>518</v>
      </c>
      <c r="U548" s="473" t="s">
        <v>410</v>
      </c>
      <c r="AA548" s="27"/>
      <c r="AB548" s="27"/>
      <c r="AC548" s="809"/>
      <c r="AD548" s="481"/>
    </row>
    <row r="549" spans="3:30" ht="10.5" customHeight="1">
      <c r="C549" s="1526" t="s">
        <v>4510</v>
      </c>
      <c r="D549" s="1523">
        <v>0</v>
      </c>
      <c r="E549" s="1523">
        <v>0</v>
      </c>
      <c r="F549" s="1524">
        <v>0</v>
      </c>
      <c r="G549" s="1537" t="s">
        <v>4510</v>
      </c>
      <c r="H549" s="1521">
        <v>0</v>
      </c>
      <c r="I549" s="1521">
        <v>0</v>
      </c>
      <c r="J549" s="1538">
        <v>0</v>
      </c>
      <c r="K549" s="1525"/>
      <c r="L549" s="1519">
        <v>13051002100</v>
      </c>
      <c r="M549" s="1520">
        <v>0</v>
      </c>
      <c r="N549" s="1520">
        <v>0</v>
      </c>
      <c r="O549" s="1520">
        <v>0</v>
      </c>
      <c r="P549" s="504" t="s">
        <v>2003</v>
      </c>
      <c r="Q549" s="287"/>
      <c r="R549" s="168"/>
      <c r="S549" s="380"/>
      <c r="T549" s="505" t="s">
        <v>662</v>
      </c>
      <c r="U549" s="505" t="s">
        <v>1160</v>
      </c>
      <c r="AA549" s="27"/>
      <c r="AB549" s="27"/>
      <c r="AC549" s="810"/>
      <c r="AD549" s="481"/>
    </row>
    <row r="550" spans="3:30" ht="10.5" customHeight="1">
      <c r="C550" s="1526" t="s">
        <v>4511</v>
      </c>
      <c r="D550" s="1523">
        <v>0</v>
      </c>
      <c r="E550" s="1523">
        <v>0</v>
      </c>
      <c r="F550" s="1524">
        <v>0</v>
      </c>
      <c r="G550" s="1537" t="s">
        <v>4511</v>
      </c>
      <c r="H550" s="1521">
        <v>0</v>
      </c>
      <c r="I550" s="1521">
        <v>0</v>
      </c>
      <c r="J550" s="1538">
        <v>0</v>
      </c>
      <c r="K550" s="1525"/>
      <c r="L550" s="1519">
        <v>13051002200</v>
      </c>
      <c r="M550" s="1520">
        <v>0</v>
      </c>
      <c r="N550" s="1520">
        <v>0</v>
      </c>
      <c r="O550" s="1520">
        <v>0</v>
      </c>
      <c r="P550" s="504" t="s">
        <v>2005</v>
      </c>
      <c r="Q550" s="287"/>
      <c r="R550" s="168"/>
      <c r="S550" s="380"/>
      <c r="T550" s="473" t="s">
        <v>796</v>
      </c>
      <c r="U550" s="473" t="s">
        <v>625</v>
      </c>
      <c r="AA550" s="27"/>
      <c r="AB550" s="27"/>
      <c r="AC550" s="809"/>
      <c r="AD550" s="481"/>
    </row>
    <row r="551" spans="3:30" ht="10.5" customHeight="1">
      <c r="C551" s="1526" t="s">
        <v>4512</v>
      </c>
      <c r="D551" s="1523">
        <v>0</v>
      </c>
      <c r="E551" s="1523">
        <v>0</v>
      </c>
      <c r="F551" s="1524">
        <v>0</v>
      </c>
      <c r="G551" s="1537" t="s">
        <v>4512</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4513</v>
      </c>
      <c r="D552" s="1523">
        <v>0</v>
      </c>
      <c r="E552" s="1523">
        <v>0</v>
      </c>
      <c r="F552" s="1524">
        <v>0</v>
      </c>
      <c r="G552" s="1537" t="s">
        <v>4513</v>
      </c>
      <c r="H552" s="1521">
        <v>0</v>
      </c>
      <c r="I552" s="1521" t="s">
        <v>4099</v>
      </c>
      <c r="J552" s="1538">
        <v>0</v>
      </c>
      <c r="K552" s="1525"/>
      <c r="L552" s="1519">
        <v>13051002600</v>
      </c>
      <c r="M552" s="1520">
        <v>0</v>
      </c>
      <c r="N552" s="1520">
        <v>0</v>
      </c>
      <c r="O552" s="1520">
        <v>0</v>
      </c>
      <c r="P552" s="504" t="s">
        <v>2239</v>
      </c>
      <c r="Q552" s="287"/>
      <c r="R552" s="168"/>
      <c r="S552" s="380"/>
      <c r="T552" s="473" t="s">
        <v>1987</v>
      </c>
      <c r="U552" s="473" t="s">
        <v>1056</v>
      </c>
      <c r="AA552" s="27"/>
      <c r="AB552" s="27"/>
      <c r="AC552" s="809"/>
      <c r="AD552" s="481"/>
    </row>
    <row r="553" spans="3:30" ht="10.5" customHeight="1">
      <c r="C553" s="1526" t="s">
        <v>4514</v>
      </c>
      <c r="D553" s="1523">
        <v>0</v>
      </c>
      <c r="E553" s="1523">
        <v>0</v>
      </c>
      <c r="F553" s="1524">
        <v>0</v>
      </c>
      <c r="G553" s="1537" t="s">
        <v>4514</v>
      </c>
      <c r="H553" s="1521">
        <v>0</v>
      </c>
      <c r="I553" s="1521">
        <v>0</v>
      </c>
      <c r="J553" s="1538">
        <v>0</v>
      </c>
      <c r="K553" s="1525"/>
      <c r="L553" s="1519">
        <v>13051002700</v>
      </c>
      <c r="M553" s="1520">
        <v>0</v>
      </c>
      <c r="N553" s="1520">
        <v>0</v>
      </c>
      <c r="O553" s="1520">
        <v>0</v>
      </c>
      <c r="P553" s="504" t="s">
        <v>673</v>
      </c>
      <c r="Q553" s="287"/>
      <c r="R553" s="168"/>
      <c r="S553" s="380"/>
      <c r="T553" s="473" t="s">
        <v>1569</v>
      </c>
      <c r="U553" s="473" t="s">
        <v>1919</v>
      </c>
      <c r="AA553" s="27"/>
      <c r="AB553" s="27"/>
      <c r="AC553" s="809"/>
      <c r="AD553" s="481"/>
    </row>
    <row r="554" spans="3:30" ht="10.5" customHeight="1">
      <c r="C554" s="1526" t="s">
        <v>4515</v>
      </c>
      <c r="D554" s="1523">
        <v>0</v>
      </c>
      <c r="E554" s="1523">
        <v>0</v>
      </c>
      <c r="F554" s="1524">
        <v>0</v>
      </c>
      <c r="G554" s="1537" t="s">
        <v>4515</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4516</v>
      </c>
      <c r="D555" s="1523">
        <v>1</v>
      </c>
      <c r="E555" s="1523">
        <v>1</v>
      </c>
      <c r="F555" s="1524">
        <v>2</v>
      </c>
      <c r="G555" s="1537" t="s">
        <v>4516</v>
      </c>
      <c r="H555" s="1521">
        <v>1</v>
      </c>
      <c r="I555" s="1521">
        <v>1</v>
      </c>
      <c r="J555" s="1538">
        <v>2</v>
      </c>
      <c r="K555" s="1525"/>
      <c r="L555" s="1519">
        <v>13051002900</v>
      </c>
      <c r="M555" s="1520">
        <v>1</v>
      </c>
      <c r="N555" s="1520">
        <v>1</v>
      </c>
      <c r="O555" s="1520">
        <v>2</v>
      </c>
      <c r="P555" s="504" t="s">
        <v>2182</v>
      </c>
      <c r="Q555" s="287"/>
      <c r="R555" s="168"/>
      <c r="S555" s="380"/>
      <c r="T555" s="473" t="s">
        <v>176</v>
      </c>
      <c r="U555" s="473" t="s">
        <v>151</v>
      </c>
      <c r="AA555" s="27"/>
      <c r="AB555" s="27"/>
      <c r="AC555" s="809"/>
      <c r="AD555" s="481"/>
    </row>
    <row r="556" spans="3:30" ht="10.5" customHeight="1">
      <c r="C556" s="1526" t="s">
        <v>4517</v>
      </c>
      <c r="D556" s="1523">
        <v>1</v>
      </c>
      <c r="E556" s="1523">
        <v>1</v>
      </c>
      <c r="F556" s="1524">
        <v>2</v>
      </c>
      <c r="G556" s="1537" t="s">
        <v>4517</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4518</v>
      </c>
      <c r="D557" s="1523">
        <v>0</v>
      </c>
      <c r="E557" s="1523">
        <v>0</v>
      </c>
      <c r="F557" s="1524">
        <v>0</v>
      </c>
      <c r="G557" s="1537" t="s">
        <v>4518</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4519</v>
      </c>
      <c r="D558" s="1523">
        <v>0</v>
      </c>
      <c r="E558" s="1523">
        <v>0</v>
      </c>
      <c r="F558" s="1524">
        <v>0</v>
      </c>
      <c r="G558" s="1537" t="s">
        <v>4519</v>
      </c>
      <c r="H558" s="1521">
        <v>0</v>
      </c>
      <c r="I558" s="1521">
        <v>0</v>
      </c>
      <c r="J558" s="1538">
        <v>0</v>
      </c>
      <c r="K558" s="1525"/>
      <c r="L558" s="1519">
        <v>13051003302</v>
      </c>
      <c r="M558" s="1520">
        <v>0</v>
      </c>
      <c r="N558" s="1520">
        <v>0</v>
      </c>
      <c r="O558" s="1520">
        <v>0</v>
      </c>
      <c r="P558" s="504" t="s">
        <v>2146</v>
      </c>
      <c r="Q558" s="287"/>
      <c r="R558" s="168"/>
      <c r="S558" s="380"/>
      <c r="T558" s="473" t="s">
        <v>1019</v>
      </c>
      <c r="U558" s="473" t="s">
        <v>167</v>
      </c>
      <c r="AA558" s="27"/>
      <c r="AB558" s="27"/>
      <c r="AC558" s="809"/>
      <c r="AD558" s="481"/>
    </row>
    <row r="559" spans="3:30" ht="10.5" customHeight="1">
      <c r="C559" s="1526" t="s">
        <v>4520</v>
      </c>
      <c r="D559" s="1523">
        <v>1</v>
      </c>
      <c r="E559" s="1523">
        <v>0</v>
      </c>
      <c r="F559" s="1524">
        <v>1</v>
      </c>
      <c r="G559" s="1537" t="s">
        <v>4520</v>
      </c>
      <c r="H559" s="1521">
        <v>0</v>
      </c>
      <c r="I559" s="1521">
        <v>0</v>
      </c>
      <c r="J559" s="1538">
        <v>0</v>
      </c>
      <c r="K559" s="1525"/>
      <c r="L559" s="1519">
        <v>13051003400</v>
      </c>
      <c r="M559" s="1520">
        <v>1</v>
      </c>
      <c r="N559" s="1520">
        <v>0</v>
      </c>
      <c r="O559" s="1520">
        <v>1</v>
      </c>
      <c r="P559" s="504" t="s">
        <v>2173</v>
      </c>
      <c r="Q559" s="287"/>
      <c r="R559" s="168"/>
      <c r="S559" s="380"/>
      <c r="T559" s="473" t="s">
        <v>131</v>
      </c>
      <c r="U559" s="473" t="s">
        <v>2414</v>
      </c>
      <c r="AA559" s="27"/>
      <c r="AB559" s="27"/>
      <c r="AC559" s="809"/>
      <c r="AD559" s="481"/>
    </row>
    <row r="560" spans="3:30" ht="10.5" customHeight="1">
      <c r="C560" s="1526" t="s">
        <v>4521</v>
      </c>
      <c r="D560" s="1523">
        <v>0</v>
      </c>
      <c r="E560" s="1523">
        <v>0</v>
      </c>
      <c r="F560" s="1524">
        <v>0</v>
      </c>
      <c r="G560" s="1537" t="s">
        <v>4521</v>
      </c>
      <c r="H560" s="1521">
        <v>0</v>
      </c>
      <c r="I560" s="1521">
        <v>0</v>
      </c>
      <c r="J560" s="1538">
        <v>0</v>
      </c>
      <c r="K560" s="1525"/>
      <c r="L560" s="1519">
        <v>13051003501</v>
      </c>
      <c r="M560" s="1520">
        <v>0</v>
      </c>
      <c r="N560" s="1520">
        <v>0</v>
      </c>
      <c r="O560" s="1520">
        <v>0</v>
      </c>
      <c r="P560" s="504" t="s">
        <v>375</v>
      </c>
      <c r="Q560" s="287"/>
      <c r="R560" s="168"/>
      <c r="S560" s="380"/>
      <c r="T560" s="473" t="s">
        <v>2465</v>
      </c>
      <c r="U560" s="473" t="s">
        <v>1283</v>
      </c>
      <c r="AA560" s="27"/>
      <c r="AB560" s="27"/>
      <c r="AC560" s="809"/>
      <c r="AD560" s="481"/>
    </row>
    <row r="561" spans="3:30" ht="10.5" customHeight="1">
      <c r="C561" s="1526" t="s">
        <v>4522</v>
      </c>
      <c r="D561" s="1523">
        <v>0</v>
      </c>
      <c r="E561" s="1523">
        <v>0</v>
      </c>
      <c r="F561" s="1524">
        <v>0</v>
      </c>
      <c r="G561" s="1537" t="s">
        <v>4522</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4523</v>
      </c>
      <c r="D562" s="1523">
        <v>0</v>
      </c>
      <c r="E562" s="1523">
        <v>0</v>
      </c>
      <c r="F562" s="1524">
        <v>0</v>
      </c>
      <c r="G562" s="1537" t="s">
        <v>4523</v>
      </c>
      <c r="H562" s="1521">
        <v>0</v>
      </c>
      <c r="I562" s="1521" t="s">
        <v>4099</v>
      </c>
      <c r="J562" s="1538">
        <v>0</v>
      </c>
      <c r="K562" s="1525"/>
      <c r="L562" s="1519">
        <v>13051003601</v>
      </c>
      <c r="M562" s="1520">
        <v>0</v>
      </c>
      <c r="N562" s="1520">
        <v>0</v>
      </c>
      <c r="O562" s="1520">
        <v>0</v>
      </c>
      <c r="P562" s="504" t="s">
        <v>379</v>
      </c>
      <c r="Q562" s="287"/>
      <c r="R562" s="168"/>
      <c r="S562" s="380"/>
      <c r="T562" s="505" t="s">
        <v>136</v>
      </c>
      <c r="U562" s="505" t="s">
        <v>2372</v>
      </c>
      <c r="AA562" s="27"/>
      <c r="AB562" s="27"/>
      <c r="AC562" s="810"/>
      <c r="AD562" s="481"/>
    </row>
    <row r="563" spans="3:30" ht="10.5" customHeight="1">
      <c r="C563" s="1526" t="s">
        <v>4524</v>
      </c>
      <c r="D563" s="1523">
        <v>0</v>
      </c>
      <c r="E563" s="1523">
        <v>0</v>
      </c>
      <c r="F563" s="1524">
        <v>0</v>
      </c>
      <c r="G563" s="1537" t="s">
        <v>4524</v>
      </c>
      <c r="H563" s="1521">
        <v>0</v>
      </c>
      <c r="I563" s="1521">
        <v>0</v>
      </c>
      <c r="J563" s="1538">
        <v>0</v>
      </c>
      <c r="K563" s="1525"/>
      <c r="L563" s="1519">
        <v>13051003602</v>
      </c>
      <c r="M563" s="1520">
        <v>0</v>
      </c>
      <c r="N563" s="1520">
        <v>0</v>
      </c>
      <c r="O563" s="1520">
        <v>0</v>
      </c>
      <c r="P563" s="504" t="s">
        <v>381</v>
      </c>
      <c r="Q563" s="287"/>
      <c r="R563" s="168"/>
      <c r="S563" s="380"/>
      <c r="T563" s="505" t="s">
        <v>2476</v>
      </c>
      <c r="U563" s="505" t="s">
        <v>1275</v>
      </c>
      <c r="AA563" s="27"/>
      <c r="AB563" s="27"/>
      <c r="AC563" s="810"/>
      <c r="AD563" s="481"/>
    </row>
    <row r="564" spans="3:30" ht="10.5" customHeight="1">
      <c r="C564" s="1526" t="s">
        <v>4525</v>
      </c>
      <c r="D564" s="1523">
        <v>0</v>
      </c>
      <c r="E564" s="1523">
        <v>0</v>
      </c>
      <c r="F564" s="1524">
        <v>0</v>
      </c>
      <c r="G564" s="1537" t="s">
        <v>4525</v>
      </c>
      <c r="H564" s="1521">
        <v>0</v>
      </c>
      <c r="I564" s="1521">
        <v>0</v>
      </c>
      <c r="J564" s="1538">
        <v>0</v>
      </c>
      <c r="K564" s="1525"/>
      <c r="L564" s="1519">
        <v>13051003700</v>
      </c>
      <c r="M564" s="1520">
        <v>0</v>
      </c>
      <c r="N564" s="1520">
        <v>0</v>
      </c>
      <c r="O564" s="1520">
        <v>0</v>
      </c>
      <c r="P564" s="504" t="s">
        <v>1519</v>
      </c>
      <c r="Q564" s="287"/>
      <c r="R564" s="168"/>
      <c r="S564" s="380"/>
      <c r="T564" s="505" t="s">
        <v>2004</v>
      </c>
      <c r="U564" s="505" t="s">
        <v>2378</v>
      </c>
      <c r="AA564" s="27"/>
      <c r="AB564" s="27"/>
      <c r="AC564" s="810"/>
      <c r="AD564" s="481"/>
    </row>
    <row r="565" spans="3:30" ht="10.5" customHeight="1">
      <c r="C565" s="1526" t="s">
        <v>4526</v>
      </c>
      <c r="D565" s="1523">
        <v>0</v>
      </c>
      <c r="E565" s="1523">
        <v>0</v>
      </c>
      <c r="F565" s="1524">
        <v>0</v>
      </c>
      <c r="G565" s="1537" t="s">
        <v>4526</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4527</v>
      </c>
      <c r="D566" s="1523">
        <v>0</v>
      </c>
      <c r="E566" s="1523">
        <v>0</v>
      </c>
      <c r="F566" s="1524">
        <v>0</v>
      </c>
      <c r="G566" s="1537" t="s">
        <v>4527</v>
      </c>
      <c r="H566" s="1521">
        <v>0</v>
      </c>
      <c r="I566" s="1521" t="s">
        <v>4099</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4528</v>
      </c>
      <c r="D567" s="1523">
        <v>0</v>
      </c>
      <c r="E567" s="1523">
        <v>0</v>
      </c>
      <c r="F567" s="1524">
        <v>0</v>
      </c>
      <c r="G567" s="1537" t="s">
        <v>4528</v>
      </c>
      <c r="H567" s="1521">
        <v>1</v>
      </c>
      <c r="I567" s="1521">
        <v>1</v>
      </c>
      <c r="J567" s="1538">
        <v>2</v>
      </c>
      <c r="K567" s="1525"/>
      <c r="L567" s="1519">
        <v>13051004001</v>
      </c>
      <c r="M567" s="1520">
        <v>1</v>
      </c>
      <c r="N567" s="1520">
        <v>1</v>
      </c>
      <c r="O567" s="1520">
        <v>2</v>
      </c>
      <c r="P567" s="504" t="s">
        <v>2474</v>
      </c>
      <c r="Q567" s="287"/>
      <c r="R567" s="168"/>
      <c r="S567" s="380"/>
      <c r="T567" s="473" t="s">
        <v>674</v>
      </c>
      <c r="U567" s="473" t="s">
        <v>703</v>
      </c>
      <c r="AA567" s="27"/>
      <c r="AB567" s="27"/>
      <c r="AC567" s="809"/>
      <c r="AD567" s="481"/>
    </row>
    <row r="568" spans="3:30" ht="10.5" customHeight="1">
      <c r="C568" s="1526" t="s">
        <v>4529</v>
      </c>
      <c r="D568" s="1523">
        <v>0</v>
      </c>
      <c r="E568" s="1523">
        <v>0</v>
      </c>
      <c r="F568" s="1524">
        <v>0</v>
      </c>
      <c r="G568" s="1537" t="s">
        <v>4529</v>
      </c>
      <c r="H568" s="1521">
        <v>0</v>
      </c>
      <c r="I568" s="1521">
        <v>0</v>
      </c>
      <c r="J568" s="1538">
        <v>0</v>
      </c>
      <c r="K568" s="1525"/>
      <c r="L568" s="1519">
        <v>13051004002</v>
      </c>
      <c r="M568" s="1520">
        <v>0</v>
      </c>
      <c r="N568" s="1520">
        <v>0</v>
      </c>
      <c r="O568" s="1520">
        <v>0</v>
      </c>
      <c r="P568" s="504" t="s">
        <v>2344</v>
      </c>
      <c r="Q568" s="287"/>
      <c r="R568" s="168"/>
      <c r="S568" s="380"/>
      <c r="T568" s="473" t="s">
        <v>676</v>
      </c>
      <c r="U568" s="473" t="s">
        <v>1065</v>
      </c>
      <c r="AA568" s="27"/>
      <c r="AB568" s="27"/>
      <c r="AC568" s="809"/>
      <c r="AD568" s="481"/>
    </row>
    <row r="569" spans="3:30" ht="10.5" customHeight="1">
      <c r="C569" s="1526" t="s">
        <v>4530</v>
      </c>
      <c r="D569" s="1523">
        <v>1</v>
      </c>
      <c r="E569" s="1523">
        <v>0</v>
      </c>
      <c r="F569" s="1524">
        <v>1</v>
      </c>
      <c r="G569" s="1537" t="s">
        <v>4530</v>
      </c>
      <c r="H569" s="1521">
        <v>1</v>
      </c>
      <c r="I569" s="1521">
        <v>0</v>
      </c>
      <c r="J569" s="1538">
        <v>1</v>
      </c>
      <c r="K569" s="1525"/>
      <c r="L569" s="1519">
        <v>13051004100</v>
      </c>
      <c r="M569" s="1520">
        <v>1</v>
      </c>
      <c r="N569" s="1520">
        <v>0</v>
      </c>
      <c r="O569" s="1520">
        <v>1</v>
      </c>
      <c r="P569" s="504" t="s">
        <v>1743</v>
      </c>
      <c r="Q569" s="287"/>
      <c r="R569" s="168"/>
      <c r="S569" s="380"/>
      <c r="T569" s="473" t="s">
        <v>2183</v>
      </c>
      <c r="U569" s="473" t="s">
        <v>1160</v>
      </c>
      <c r="AA569" s="27"/>
      <c r="AB569" s="27"/>
      <c r="AC569" s="809"/>
      <c r="AD569" s="481"/>
    </row>
    <row r="570" spans="3:30" ht="10.5" customHeight="1">
      <c r="C570" s="1526" t="s">
        <v>4531</v>
      </c>
      <c r="D570" s="1523">
        <v>0</v>
      </c>
      <c r="E570" s="1523">
        <v>0</v>
      </c>
      <c r="F570" s="1524">
        <v>0</v>
      </c>
      <c r="G570" s="1537" t="s">
        <v>4531</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4532</v>
      </c>
      <c r="D571" s="1523">
        <v>0</v>
      </c>
      <c r="E571" s="1523">
        <v>0</v>
      </c>
      <c r="F571" s="1524">
        <v>0</v>
      </c>
      <c r="G571" s="1537" t="s">
        <v>4532</v>
      </c>
      <c r="H571" s="1521">
        <v>0</v>
      </c>
      <c r="I571" s="1521">
        <v>0</v>
      </c>
      <c r="J571" s="1538">
        <v>0</v>
      </c>
      <c r="K571" s="1525"/>
      <c r="L571" s="1519">
        <v>13051004208</v>
      </c>
      <c r="M571" s="1520">
        <v>0</v>
      </c>
      <c r="N571" s="1520">
        <v>0</v>
      </c>
      <c r="O571" s="1520">
        <v>0</v>
      </c>
      <c r="P571" s="504" t="s">
        <v>1747</v>
      </c>
      <c r="Q571" s="287"/>
      <c r="R571" s="168"/>
      <c r="S571" s="380"/>
      <c r="T571" s="473" t="s">
        <v>2147</v>
      </c>
      <c r="U571" s="473" t="s">
        <v>1268</v>
      </c>
      <c r="AA571" s="27"/>
      <c r="AB571" s="27"/>
      <c r="AC571" s="809"/>
      <c r="AD571" s="481"/>
    </row>
    <row r="572" spans="3:30" ht="10.5" customHeight="1">
      <c r="C572" s="1526" t="s">
        <v>4533</v>
      </c>
      <c r="D572" s="1523">
        <v>0</v>
      </c>
      <c r="E572" s="1523">
        <v>0</v>
      </c>
      <c r="F572" s="1524">
        <v>0</v>
      </c>
      <c r="G572" s="1537" t="s">
        <v>4533</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4534</v>
      </c>
      <c r="D573" s="1523">
        <v>0</v>
      </c>
      <c r="E573" s="1523">
        <v>0</v>
      </c>
      <c r="F573" s="1524">
        <v>0</v>
      </c>
      <c r="G573" s="1537" t="s">
        <v>4534</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4535</v>
      </c>
      <c r="D574" s="1523">
        <v>0</v>
      </c>
      <c r="E574" s="1523">
        <v>0</v>
      </c>
      <c r="F574" s="1524">
        <v>0</v>
      </c>
      <c r="G574" s="1537" t="s">
        <v>4535</v>
      </c>
      <c r="H574" s="1521">
        <v>0</v>
      </c>
      <c r="I574" s="1521">
        <v>0</v>
      </c>
      <c r="J574" s="1538">
        <v>0</v>
      </c>
      <c r="K574" s="1525"/>
      <c r="L574" s="1519">
        <v>13051004211</v>
      </c>
      <c r="M574" s="1520">
        <v>0</v>
      </c>
      <c r="N574" s="1520">
        <v>0</v>
      </c>
      <c r="O574" s="1520">
        <v>0</v>
      </c>
      <c r="P574" s="504" t="s">
        <v>1752</v>
      </c>
      <c r="Q574" s="287"/>
      <c r="R574" s="168"/>
      <c r="S574" s="380"/>
      <c r="T574" s="473" t="s">
        <v>376</v>
      </c>
      <c r="U574" s="473" t="s">
        <v>2470</v>
      </c>
      <c r="AA574" s="27"/>
      <c r="AB574" s="27"/>
      <c r="AC574" s="809"/>
      <c r="AD574" s="481"/>
    </row>
    <row r="575" spans="3:30" ht="10.5" customHeight="1">
      <c r="C575" s="1526" t="s">
        <v>4536</v>
      </c>
      <c r="D575" s="1523">
        <v>0</v>
      </c>
      <c r="E575" s="1523">
        <v>1</v>
      </c>
      <c r="F575" s="1524">
        <v>1</v>
      </c>
      <c r="G575" s="1537" t="s">
        <v>4536</v>
      </c>
      <c r="H575" s="1521">
        <v>0</v>
      </c>
      <c r="I575" s="1521">
        <v>1</v>
      </c>
      <c r="J575" s="1538">
        <v>1</v>
      </c>
      <c r="K575" s="1525"/>
      <c r="L575" s="1519">
        <v>13051004212</v>
      </c>
      <c r="M575" s="1520">
        <v>0</v>
      </c>
      <c r="N575" s="1520">
        <v>1</v>
      </c>
      <c r="O575" s="1520">
        <v>1</v>
      </c>
      <c r="P575" s="504" t="s">
        <v>1754</v>
      </c>
      <c r="Q575" s="287"/>
      <c r="R575" s="168"/>
      <c r="S575" s="380"/>
      <c r="T575" s="473" t="s">
        <v>378</v>
      </c>
      <c r="U575" s="473" t="s">
        <v>2074</v>
      </c>
      <c r="AA575" s="27"/>
      <c r="AB575" s="27"/>
      <c r="AC575" s="809"/>
      <c r="AD575" s="481"/>
    </row>
    <row r="576" spans="3:30" ht="10.5" customHeight="1">
      <c r="C576" s="1526" t="s">
        <v>4537</v>
      </c>
      <c r="D576" s="1523">
        <v>0</v>
      </c>
      <c r="E576" s="1523">
        <v>1</v>
      </c>
      <c r="F576" s="1524">
        <v>1</v>
      </c>
      <c r="G576" s="1537" t="s">
        <v>4537</v>
      </c>
      <c r="H576" s="1521">
        <v>0</v>
      </c>
      <c r="I576" s="1521" t="s">
        <v>4099</v>
      </c>
      <c r="J576" s="1538">
        <v>0</v>
      </c>
      <c r="K576" s="1525"/>
      <c r="L576" s="1519">
        <v>13051004300</v>
      </c>
      <c r="M576" s="1520">
        <v>0</v>
      </c>
      <c r="N576" s="1520">
        <v>1</v>
      </c>
      <c r="O576" s="1520">
        <v>1</v>
      </c>
      <c r="P576" s="504" t="s">
        <v>1756</v>
      </c>
      <c r="Q576" s="287"/>
      <c r="R576" s="168"/>
      <c r="S576" s="380"/>
      <c r="T576" s="473" t="s">
        <v>380</v>
      </c>
      <c r="U576" s="473" t="s">
        <v>2414</v>
      </c>
      <c r="AA576" s="27"/>
      <c r="AB576" s="27"/>
      <c r="AC576" s="809"/>
      <c r="AD576" s="481"/>
    </row>
    <row r="577" spans="3:30" ht="10.5" customHeight="1">
      <c r="C577" s="1526" t="s">
        <v>4538</v>
      </c>
      <c r="D577" s="1523">
        <v>0</v>
      </c>
      <c r="E577" s="1523">
        <v>0</v>
      </c>
      <c r="F577" s="1524">
        <v>0</v>
      </c>
      <c r="G577" s="1537" t="s">
        <v>4538</v>
      </c>
      <c r="H577" s="1521">
        <v>0</v>
      </c>
      <c r="I577" s="1521">
        <v>0</v>
      </c>
      <c r="J577" s="1538">
        <v>0</v>
      </c>
      <c r="K577" s="1525"/>
      <c r="L577" s="1519">
        <v>13051004400</v>
      </c>
      <c r="M577" s="1520">
        <v>0</v>
      </c>
      <c r="N577" s="1520">
        <v>0</v>
      </c>
      <c r="O577" s="1520">
        <v>0</v>
      </c>
      <c r="P577" s="504" t="s">
        <v>1757</v>
      </c>
      <c r="Q577" s="287"/>
      <c r="R577" s="168"/>
      <c r="S577" s="380"/>
      <c r="T577" s="473" t="s">
        <v>2470</v>
      </c>
      <c r="U577" s="473" t="s">
        <v>1701</v>
      </c>
      <c r="AA577" s="27"/>
      <c r="AB577" s="27"/>
      <c r="AC577" s="809"/>
      <c r="AD577" s="481"/>
    </row>
    <row r="578" spans="3:30" ht="10.5" customHeight="1">
      <c r="C578" s="1526" t="s">
        <v>4539</v>
      </c>
      <c r="D578" s="1523">
        <v>0</v>
      </c>
      <c r="E578" s="1523">
        <v>0</v>
      </c>
      <c r="F578" s="1524">
        <v>0</v>
      </c>
      <c r="G578" s="1537" t="s">
        <v>4539</v>
      </c>
      <c r="H578" s="1521">
        <v>0</v>
      </c>
      <c r="I578" s="1521">
        <v>0</v>
      </c>
      <c r="J578" s="1538">
        <v>0</v>
      </c>
      <c r="K578" s="1525"/>
      <c r="L578" s="1519">
        <v>13051004500</v>
      </c>
      <c r="M578" s="1520">
        <v>0</v>
      </c>
      <c r="N578" s="1520">
        <v>0</v>
      </c>
      <c r="O578" s="1520">
        <v>0</v>
      </c>
      <c r="P578" s="504" t="s">
        <v>1725</v>
      </c>
      <c r="Q578" s="287"/>
      <c r="R578" s="168"/>
      <c r="S578" s="380"/>
      <c r="T578" s="473" t="s">
        <v>1520</v>
      </c>
      <c r="U578" s="473" t="s">
        <v>2376</v>
      </c>
      <c r="AA578" s="27"/>
      <c r="AB578" s="27"/>
      <c r="AC578" s="809"/>
      <c r="AD578" s="481"/>
    </row>
    <row r="579" spans="3:30" ht="10.5" customHeight="1">
      <c r="C579" s="1526" t="s">
        <v>4540</v>
      </c>
      <c r="D579" s="1523">
        <v>0</v>
      </c>
      <c r="E579" s="1523">
        <v>0</v>
      </c>
      <c r="F579" s="1524">
        <v>0</v>
      </c>
      <c r="G579" s="1537" t="s">
        <v>4540</v>
      </c>
      <c r="H579" s="1521" t="s">
        <v>4099</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4541</v>
      </c>
      <c r="D580" s="1523">
        <v>0</v>
      </c>
      <c r="E580" s="1523">
        <v>0</v>
      </c>
      <c r="F580" s="1524">
        <v>0</v>
      </c>
      <c r="G580" s="1537" t="s">
        <v>4541</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4542</v>
      </c>
      <c r="D581" s="1523">
        <v>0</v>
      </c>
      <c r="E581" s="1523">
        <v>0</v>
      </c>
      <c r="F581" s="1524">
        <v>0</v>
      </c>
      <c r="G581" s="1537" t="s">
        <v>4542</v>
      </c>
      <c r="H581" s="1521">
        <v>1</v>
      </c>
      <c r="I581" s="1521">
        <v>0</v>
      </c>
      <c r="J581" s="1538">
        <v>1</v>
      </c>
      <c r="K581" s="1525"/>
      <c r="L581" s="1519">
        <v>13051010200</v>
      </c>
      <c r="M581" s="1520">
        <v>1</v>
      </c>
      <c r="N581" s="1520">
        <v>0</v>
      </c>
      <c r="O581" s="1520">
        <v>1</v>
      </c>
      <c r="P581" s="504" t="s">
        <v>1573</v>
      </c>
      <c r="Q581" s="287"/>
      <c r="R581" s="168"/>
      <c r="S581" s="380"/>
      <c r="T581" s="473" t="s">
        <v>2343</v>
      </c>
      <c r="U581" s="473" t="s">
        <v>2378</v>
      </c>
      <c r="AA581" s="27"/>
      <c r="AB581" s="27"/>
      <c r="AC581" s="809"/>
      <c r="AD581" s="481"/>
    </row>
    <row r="582" spans="3:30" ht="10.5" customHeight="1">
      <c r="C582" s="1526" t="s">
        <v>4543</v>
      </c>
      <c r="D582" s="1523">
        <v>0</v>
      </c>
      <c r="E582" s="1523">
        <v>0</v>
      </c>
      <c r="F582" s="1524">
        <v>0</v>
      </c>
      <c r="G582" s="1537" t="s">
        <v>4543</v>
      </c>
      <c r="H582" s="1521">
        <v>0</v>
      </c>
      <c r="I582" s="1521" t="s">
        <v>4099</v>
      </c>
      <c r="J582" s="1538">
        <v>0</v>
      </c>
      <c r="K582" s="1525"/>
      <c r="L582" s="1519">
        <v>13051010501</v>
      </c>
      <c r="M582" s="1520">
        <v>0</v>
      </c>
      <c r="N582" s="1520">
        <v>0</v>
      </c>
      <c r="O582" s="1520">
        <v>0</v>
      </c>
      <c r="P582" s="504" t="s">
        <v>2171</v>
      </c>
      <c r="Q582" s="287"/>
      <c r="R582" s="168"/>
      <c r="S582" s="380"/>
      <c r="T582" s="505" t="s">
        <v>1735</v>
      </c>
      <c r="U582" s="505" t="s">
        <v>2471</v>
      </c>
      <c r="AA582" s="27"/>
      <c r="AB582" s="27"/>
      <c r="AC582" s="810"/>
      <c r="AD582" s="481"/>
    </row>
    <row r="583" spans="3:30" ht="10.5" customHeight="1">
      <c r="C583" s="1526" t="s">
        <v>4544</v>
      </c>
      <c r="D583" s="1523">
        <v>0</v>
      </c>
      <c r="E583" s="1523">
        <v>0</v>
      </c>
      <c r="F583" s="1524">
        <v>0</v>
      </c>
      <c r="G583" s="1537" t="s">
        <v>4544</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4545</v>
      </c>
      <c r="D584" s="1523">
        <v>0</v>
      </c>
      <c r="E584" s="1523">
        <v>0</v>
      </c>
      <c r="F584" s="1524">
        <v>0</v>
      </c>
      <c r="G584" s="1537" t="s">
        <v>4545</v>
      </c>
      <c r="H584" s="1521">
        <v>0</v>
      </c>
      <c r="I584" s="1521">
        <v>0</v>
      </c>
      <c r="J584" s="1538">
        <v>0</v>
      </c>
      <c r="K584" s="1525"/>
      <c r="L584" s="1519">
        <v>13051010601</v>
      </c>
      <c r="M584" s="1520">
        <v>0</v>
      </c>
      <c r="N584" s="1520">
        <v>0</v>
      </c>
      <c r="O584" s="1520">
        <v>0</v>
      </c>
      <c r="P584" s="504" t="s">
        <v>533</v>
      </c>
      <c r="Q584" s="287"/>
      <c r="R584" s="168"/>
      <c r="S584" s="380"/>
      <c r="T584" s="473" t="s">
        <v>1746</v>
      </c>
      <c r="U584" s="473" t="s">
        <v>2141</v>
      </c>
      <c r="AA584" s="27"/>
      <c r="AB584" s="27"/>
      <c r="AC584" s="809"/>
      <c r="AD584" s="481"/>
    </row>
    <row r="585" spans="3:30" ht="10.5" customHeight="1">
      <c r="C585" s="1526" t="s">
        <v>4546</v>
      </c>
      <c r="D585" s="1523">
        <v>1</v>
      </c>
      <c r="E585" s="1523">
        <v>0</v>
      </c>
      <c r="F585" s="1524">
        <v>1</v>
      </c>
      <c r="G585" s="1537" t="s">
        <v>4546</v>
      </c>
      <c r="H585" s="1521">
        <v>1</v>
      </c>
      <c r="I585" s="1521">
        <v>0</v>
      </c>
      <c r="J585" s="1538">
        <v>1</v>
      </c>
      <c r="K585" s="1525"/>
      <c r="L585" s="1519">
        <v>13051010603</v>
      </c>
      <c r="M585" s="1520">
        <v>1</v>
      </c>
      <c r="N585" s="1520">
        <v>0</v>
      </c>
      <c r="O585" s="1520">
        <v>1</v>
      </c>
      <c r="P585" s="504" t="s">
        <v>535</v>
      </c>
      <c r="Q585" s="287"/>
      <c r="R585" s="168"/>
      <c r="S585" s="380"/>
      <c r="T585" s="473" t="s">
        <v>1749</v>
      </c>
      <c r="U585" s="473" t="s">
        <v>2141</v>
      </c>
      <c r="AA585" s="27"/>
      <c r="AB585" s="27"/>
      <c r="AC585" s="809"/>
      <c r="AD585" s="481"/>
    </row>
    <row r="586" spans="3:30" ht="10.5" customHeight="1">
      <c r="C586" s="1526" t="s">
        <v>4547</v>
      </c>
      <c r="D586" s="1523" t="s">
        <v>4099</v>
      </c>
      <c r="E586" s="1523" t="s">
        <v>4099</v>
      </c>
      <c r="F586" s="1524">
        <v>0</v>
      </c>
      <c r="G586" s="1537" t="s">
        <v>4547</v>
      </c>
      <c r="H586" s="1521" t="s">
        <v>4099</v>
      </c>
      <c r="I586" s="1521" t="s">
        <v>4099</v>
      </c>
      <c r="J586" s="1538">
        <v>0</v>
      </c>
      <c r="K586" s="1525"/>
      <c r="L586" s="1519">
        <v>13051010605</v>
      </c>
      <c r="M586" s="1520">
        <v>0</v>
      </c>
      <c r="N586" s="1520">
        <v>0</v>
      </c>
      <c r="O586" s="1520">
        <v>0</v>
      </c>
      <c r="P586" s="504" t="s">
        <v>1962</v>
      </c>
      <c r="Q586" s="287"/>
      <c r="R586" s="168"/>
      <c r="S586" s="380"/>
      <c r="T586" s="473" t="s">
        <v>1751</v>
      </c>
      <c r="U586" s="473" t="s">
        <v>300</v>
      </c>
      <c r="AA586" s="27"/>
      <c r="AB586" s="27"/>
      <c r="AC586" s="809"/>
      <c r="AD586" s="481"/>
    </row>
    <row r="587" spans="3:30" ht="10.5" customHeight="1">
      <c r="C587" s="1526" t="s">
        <v>4548</v>
      </c>
      <c r="D587" s="1523">
        <v>1</v>
      </c>
      <c r="E587" s="1523">
        <v>1</v>
      </c>
      <c r="F587" s="1524">
        <v>2</v>
      </c>
      <c r="G587" s="1537" t="s">
        <v>4548</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4549</v>
      </c>
      <c r="D588" s="1523">
        <v>1</v>
      </c>
      <c r="E588" s="1523">
        <v>0</v>
      </c>
      <c r="F588" s="1524">
        <v>1</v>
      </c>
      <c r="G588" s="1537" t="s">
        <v>4549</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4550</v>
      </c>
      <c r="D589" s="1523">
        <v>1</v>
      </c>
      <c r="E589" s="1523">
        <v>1</v>
      </c>
      <c r="F589" s="1524">
        <v>2</v>
      </c>
      <c r="G589" s="1537" t="s">
        <v>4550</v>
      </c>
      <c r="H589" s="1521">
        <v>1</v>
      </c>
      <c r="I589" s="1521">
        <v>1</v>
      </c>
      <c r="J589" s="1538">
        <v>2</v>
      </c>
      <c r="K589" s="1525"/>
      <c r="L589" s="1519">
        <v>13051010802</v>
      </c>
      <c r="M589" s="1520">
        <v>1</v>
      </c>
      <c r="N589" s="1520">
        <v>1</v>
      </c>
      <c r="O589" s="1520">
        <v>2</v>
      </c>
      <c r="P589" s="504" t="s">
        <v>1394</v>
      </c>
      <c r="Q589" s="287"/>
      <c r="R589" s="168"/>
      <c r="S589" s="380"/>
      <c r="T589" s="473" t="s">
        <v>2471</v>
      </c>
      <c r="U589" s="473" t="s">
        <v>99</v>
      </c>
      <c r="AA589" s="27"/>
      <c r="AB589" s="27"/>
      <c r="AC589" s="809"/>
      <c r="AD589" s="481"/>
    </row>
    <row r="590" spans="3:30" ht="10.5" customHeight="1">
      <c r="C590" s="1526" t="s">
        <v>4551</v>
      </c>
      <c r="D590" s="1523">
        <v>1</v>
      </c>
      <c r="E590" s="1523">
        <v>1</v>
      </c>
      <c r="F590" s="1524">
        <v>2</v>
      </c>
      <c r="G590" s="1537" t="s">
        <v>4551</v>
      </c>
      <c r="H590" s="1521">
        <v>0</v>
      </c>
      <c r="I590" s="1521">
        <v>1</v>
      </c>
      <c r="J590" s="1538">
        <v>1</v>
      </c>
      <c r="K590" s="1525"/>
      <c r="L590" s="1519">
        <v>13051010803</v>
      </c>
      <c r="M590" s="1520">
        <v>1</v>
      </c>
      <c r="N590" s="1520">
        <v>1</v>
      </c>
      <c r="O590" s="1520">
        <v>2</v>
      </c>
      <c r="P590" s="504" t="s">
        <v>1517</v>
      </c>
      <c r="Q590" s="287"/>
      <c r="R590" s="168"/>
      <c r="S590" s="380"/>
      <c r="T590" s="473" t="s">
        <v>1858</v>
      </c>
      <c r="U590" s="473" t="s">
        <v>101</v>
      </c>
      <c r="AA590" s="27"/>
      <c r="AB590" s="27"/>
      <c r="AC590" s="809"/>
      <c r="AD590" s="481"/>
    </row>
    <row r="591" spans="3:30" ht="10.5" customHeight="1">
      <c r="C591" s="1526" t="s">
        <v>4552</v>
      </c>
      <c r="D591" s="1523">
        <v>1</v>
      </c>
      <c r="E591" s="1523">
        <v>1</v>
      </c>
      <c r="F591" s="1524">
        <v>2</v>
      </c>
      <c r="G591" s="1537" t="s">
        <v>4552</v>
      </c>
      <c r="H591" s="1521">
        <v>0</v>
      </c>
      <c r="I591" s="1521" t="s">
        <v>4099</v>
      </c>
      <c r="J591" s="1538">
        <v>0</v>
      </c>
      <c r="K591" s="1525"/>
      <c r="L591" s="1519">
        <v>13051010806</v>
      </c>
      <c r="M591" s="1520">
        <v>1</v>
      </c>
      <c r="N591" s="1520">
        <v>1</v>
      </c>
      <c r="O591" s="1520">
        <v>2</v>
      </c>
      <c r="P591" s="504" t="s">
        <v>2026</v>
      </c>
      <c r="Q591" s="287"/>
      <c r="R591" s="168"/>
      <c r="S591" s="380"/>
      <c r="T591" s="473" t="s">
        <v>1726</v>
      </c>
      <c r="U591" s="473" t="s">
        <v>1054</v>
      </c>
      <c r="AA591" s="27"/>
      <c r="AB591" s="27"/>
      <c r="AC591" s="809"/>
      <c r="AD591" s="481"/>
    </row>
    <row r="592" spans="3:30" ht="10.5" customHeight="1">
      <c r="C592" s="1526" t="s">
        <v>4553</v>
      </c>
      <c r="D592" s="1523">
        <v>1</v>
      </c>
      <c r="E592" s="1523">
        <v>1</v>
      </c>
      <c r="F592" s="1524">
        <v>2</v>
      </c>
      <c r="G592" s="1537" t="s">
        <v>4553</v>
      </c>
      <c r="H592" s="1521">
        <v>1</v>
      </c>
      <c r="I592" s="1521">
        <v>1</v>
      </c>
      <c r="J592" s="1538">
        <v>2</v>
      </c>
      <c r="K592" s="1525"/>
      <c r="L592" s="1519">
        <v>13051010807</v>
      </c>
      <c r="M592" s="1520">
        <v>1</v>
      </c>
      <c r="N592" s="1520">
        <v>1</v>
      </c>
      <c r="O592" s="1520">
        <v>2</v>
      </c>
      <c r="P592" s="504" t="s">
        <v>2028</v>
      </c>
      <c r="Q592" s="287"/>
      <c r="R592" s="168"/>
      <c r="S592" s="380"/>
      <c r="T592" s="473" t="s">
        <v>2472</v>
      </c>
      <c r="U592" s="473" t="s">
        <v>1271</v>
      </c>
      <c r="AA592" s="27"/>
      <c r="AB592" s="27"/>
      <c r="AC592" s="809"/>
      <c r="AD592" s="481"/>
    </row>
    <row r="593" spans="3:30" ht="10.5" customHeight="1">
      <c r="C593" s="1526" t="s">
        <v>4554</v>
      </c>
      <c r="D593" s="1523">
        <v>1</v>
      </c>
      <c r="E593" s="1523">
        <v>0</v>
      </c>
      <c r="F593" s="1524">
        <v>1</v>
      </c>
      <c r="G593" s="1537" t="s">
        <v>4554</v>
      </c>
      <c r="H593" s="1521">
        <v>1</v>
      </c>
      <c r="I593" s="1521">
        <v>0</v>
      </c>
      <c r="J593" s="1538">
        <v>1</v>
      </c>
      <c r="K593" s="1525"/>
      <c r="L593" s="1519">
        <v>13051010808</v>
      </c>
      <c r="M593" s="1520">
        <v>1</v>
      </c>
      <c r="N593" s="1520">
        <v>0</v>
      </c>
      <c r="O593" s="1520">
        <v>1</v>
      </c>
      <c r="P593" s="504" t="s">
        <v>2030</v>
      </c>
      <c r="Q593" s="287"/>
      <c r="R593" s="168"/>
      <c r="S593" s="380"/>
      <c r="T593" s="505" t="s">
        <v>1572</v>
      </c>
      <c r="U593" s="505" t="s">
        <v>2074</v>
      </c>
      <c r="AA593" s="27"/>
      <c r="AB593" s="27"/>
      <c r="AC593" s="810"/>
      <c r="AD593" s="481"/>
    </row>
    <row r="594" spans="3:30" ht="10.5" customHeight="1">
      <c r="C594" s="1526" t="s">
        <v>4555</v>
      </c>
      <c r="D594" s="1523">
        <v>1</v>
      </c>
      <c r="E594" s="1523">
        <v>1</v>
      </c>
      <c r="F594" s="1524">
        <v>2</v>
      </c>
      <c r="G594" s="1537" t="s">
        <v>4555</v>
      </c>
      <c r="H594" s="1521">
        <v>1</v>
      </c>
      <c r="I594" s="1521">
        <v>1</v>
      </c>
      <c r="J594" s="1538">
        <v>2</v>
      </c>
      <c r="K594" s="1525"/>
      <c r="L594" s="1519">
        <v>13051010809</v>
      </c>
      <c r="M594" s="1520">
        <v>1</v>
      </c>
      <c r="N594" s="1520">
        <v>1</v>
      </c>
      <c r="O594" s="1520">
        <v>2</v>
      </c>
      <c r="P594" s="504" t="s">
        <v>1385</v>
      </c>
      <c r="Q594" s="287"/>
      <c r="R594" s="168"/>
      <c r="S594" s="380"/>
      <c r="T594" s="473" t="s">
        <v>798</v>
      </c>
      <c r="U594" s="473" t="s">
        <v>2081</v>
      </c>
      <c r="AA594" s="27"/>
      <c r="AB594" s="27"/>
      <c r="AC594" s="809"/>
      <c r="AD594" s="481"/>
    </row>
    <row r="595" spans="3:30" ht="10.5" customHeight="1">
      <c r="C595" s="1526" t="s">
        <v>4556</v>
      </c>
      <c r="D595" s="1523">
        <v>0</v>
      </c>
      <c r="E595" s="1523">
        <v>0</v>
      </c>
      <c r="F595" s="1524">
        <v>0</v>
      </c>
      <c r="G595" s="1537" t="s">
        <v>4556</v>
      </c>
      <c r="H595" s="1521">
        <v>0</v>
      </c>
      <c r="I595" s="1521">
        <v>0</v>
      </c>
      <c r="J595" s="1538">
        <v>0</v>
      </c>
      <c r="K595" s="1525"/>
      <c r="L595" s="1519">
        <v>13051010901</v>
      </c>
      <c r="M595" s="1520">
        <v>0</v>
      </c>
      <c r="N595" s="1520">
        <v>0</v>
      </c>
      <c r="O595" s="1520">
        <v>0</v>
      </c>
      <c r="P595" s="504" t="s">
        <v>1387</v>
      </c>
      <c r="Q595" s="287"/>
      <c r="R595" s="168"/>
      <c r="S595" s="380"/>
      <c r="T595" s="473" t="s">
        <v>2170</v>
      </c>
      <c r="U595" s="473" t="s">
        <v>1595</v>
      </c>
      <c r="AA595" s="27"/>
      <c r="AB595" s="27"/>
      <c r="AC595" s="809"/>
      <c r="AD595" s="481"/>
    </row>
    <row r="596" spans="3:30" ht="10.5" customHeight="1">
      <c r="C596" s="1526" t="s">
        <v>4557</v>
      </c>
      <c r="D596" s="1523">
        <v>1</v>
      </c>
      <c r="E596" s="1523">
        <v>1</v>
      </c>
      <c r="F596" s="1524">
        <v>2</v>
      </c>
      <c r="G596" s="1537" t="s">
        <v>4557</v>
      </c>
      <c r="H596" s="1521">
        <v>1</v>
      </c>
      <c r="I596" s="1521">
        <v>0</v>
      </c>
      <c r="J596" s="1538">
        <v>1</v>
      </c>
      <c r="K596" s="1525"/>
      <c r="L596" s="1519">
        <v>13051011003</v>
      </c>
      <c r="M596" s="1520">
        <v>1</v>
      </c>
      <c r="N596" s="1520">
        <v>1</v>
      </c>
      <c r="O596" s="1520">
        <v>2</v>
      </c>
      <c r="P596" s="504" t="s">
        <v>1491</v>
      </c>
      <c r="Q596" s="287"/>
      <c r="R596" s="168"/>
      <c r="S596" s="380"/>
      <c r="T596" s="473" t="s">
        <v>2172</v>
      </c>
      <c r="U596" s="473" t="s">
        <v>2078</v>
      </c>
      <c r="AA596" s="27"/>
      <c r="AB596" s="27"/>
      <c r="AC596" s="809"/>
      <c r="AD596" s="481"/>
    </row>
    <row r="597" spans="3:30" ht="10.5" customHeight="1">
      <c r="C597" s="1526" t="s">
        <v>4558</v>
      </c>
      <c r="D597" s="1523">
        <v>1</v>
      </c>
      <c r="E597" s="1523">
        <v>1</v>
      </c>
      <c r="F597" s="1524">
        <v>2</v>
      </c>
      <c r="G597" s="1537" t="s">
        <v>4558</v>
      </c>
      <c r="H597" s="1521">
        <v>1</v>
      </c>
      <c r="I597" s="1521">
        <v>1</v>
      </c>
      <c r="J597" s="1538">
        <v>2</v>
      </c>
      <c r="K597" s="1525"/>
      <c r="L597" s="1519">
        <v>13051011004</v>
      </c>
      <c r="M597" s="1520">
        <v>1</v>
      </c>
      <c r="N597" s="1520">
        <v>1</v>
      </c>
      <c r="O597" s="1520">
        <v>2</v>
      </c>
      <c r="P597" s="504" t="s">
        <v>1493</v>
      </c>
      <c r="Q597" s="287"/>
      <c r="R597" s="168"/>
      <c r="S597" s="380"/>
      <c r="T597" s="473" t="s">
        <v>532</v>
      </c>
      <c r="U597" s="473" t="s">
        <v>2470</v>
      </c>
      <c r="AA597" s="27"/>
      <c r="AB597" s="27"/>
      <c r="AC597" s="809"/>
      <c r="AD597" s="481"/>
    </row>
    <row r="598" spans="3:30" ht="10.5" customHeight="1">
      <c r="C598" s="1526" t="s">
        <v>4559</v>
      </c>
      <c r="D598" s="1523">
        <v>1</v>
      </c>
      <c r="E598" s="1523">
        <v>1</v>
      </c>
      <c r="F598" s="1524">
        <v>2</v>
      </c>
      <c r="G598" s="1537" t="s">
        <v>4559</v>
      </c>
      <c r="H598" s="1521">
        <v>0</v>
      </c>
      <c r="I598" s="1521">
        <v>1</v>
      </c>
      <c r="J598" s="1538">
        <v>1</v>
      </c>
      <c r="K598" s="1525"/>
      <c r="L598" s="1519">
        <v>13051011005</v>
      </c>
      <c r="M598" s="1520">
        <v>1</v>
      </c>
      <c r="N598" s="1520">
        <v>1</v>
      </c>
      <c r="O598" s="1520">
        <v>2</v>
      </c>
      <c r="P598" s="504" t="s">
        <v>1960</v>
      </c>
      <c r="Q598" s="287"/>
      <c r="R598" s="168"/>
      <c r="S598" s="380"/>
      <c r="T598" s="473" t="s">
        <v>534</v>
      </c>
      <c r="U598" s="473" t="s">
        <v>1160</v>
      </c>
      <c r="AA598" s="27"/>
      <c r="AB598" s="27"/>
      <c r="AC598" s="809"/>
      <c r="AD598" s="481"/>
    </row>
    <row r="599" spans="3:30" ht="10.5" customHeight="1">
      <c r="C599" s="1526" t="s">
        <v>4560</v>
      </c>
      <c r="D599" s="1523">
        <v>1</v>
      </c>
      <c r="E599" s="1523">
        <v>1</v>
      </c>
      <c r="F599" s="1524">
        <v>2</v>
      </c>
      <c r="G599" s="1537" t="s">
        <v>4560</v>
      </c>
      <c r="H599" s="1521">
        <v>1</v>
      </c>
      <c r="I599" s="1521">
        <v>1</v>
      </c>
      <c r="J599" s="1538">
        <v>2</v>
      </c>
      <c r="K599" s="1525"/>
      <c r="L599" s="1519">
        <v>13051011006</v>
      </c>
      <c r="M599" s="1520">
        <v>1</v>
      </c>
      <c r="N599" s="1520">
        <v>1</v>
      </c>
      <c r="O599" s="1520">
        <v>2</v>
      </c>
      <c r="P599" s="504" t="s">
        <v>1786</v>
      </c>
      <c r="Q599" s="287"/>
      <c r="R599" s="168"/>
      <c r="S599" s="380"/>
      <c r="T599" s="473" t="s">
        <v>1023</v>
      </c>
      <c r="U599" s="473" t="s">
        <v>598</v>
      </c>
      <c r="AA599" s="27"/>
      <c r="AB599" s="27"/>
      <c r="AC599" s="809"/>
      <c r="AD599" s="481"/>
    </row>
    <row r="600" spans="3:30" ht="10.5" customHeight="1">
      <c r="C600" s="1526" t="s">
        <v>4561</v>
      </c>
      <c r="D600" s="1523">
        <v>1</v>
      </c>
      <c r="E600" s="1523">
        <v>1</v>
      </c>
      <c r="F600" s="1524">
        <v>2</v>
      </c>
      <c r="G600" s="1537" t="s">
        <v>4561</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4562</v>
      </c>
      <c r="D601" s="1523">
        <v>1</v>
      </c>
      <c r="E601" s="1523">
        <v>1</v>
      </c>
      <c r="F601" s="1524">
        <v>2</v>
      </c>
      <c r="G601" s="1537" t="s">
        <v>4562</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4563</v>
      </c>
      <c r="D602" s="1523">
        <v>1</v>
      </c>
      <c r="E602" s="1523">
        <v>1</v>
      </c>
      <c r="F602" s="1524">
        <v>2</v>
      </c>
      <c r="G602" s="1537" t="s">
        <v>4563</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4564</v>
      </c>
      <c r="D603" s="1523">
        <v>1</v>
      </c>
      <c r="E603" s="1523">
        <v>1</v>
      </c>
      <c r="F603" s="1524">
        <v>2</v>
      </c>
      <c r="G603" s="1537" t="s">
        <v>4564</v>
      </c>
      <c r="H603" s="1521">
        <v>1</v>
      </c>
      <c r="I603" s="1521">
        <v>0</v>
      </c>
      <c r="J603" s="1538">
        <v>1</v>
      </c>
      <c r="K603" s="1525"/>
      <c r="L603" s="1519">
        <v>13051011107</v>
      </c>
      <c r="M603" s="1520">
        <v>1</v>
      </c>
      <c r="N603" s="1520">
        <v>1</v>
      </c>
      <c r="O603" s="1520">
        <v>2</v>
      </c>
      <c r="P603" s="504" t="s">
        <v>264</v>
      </c>
      <c r="Q603" s="287"/>
      <c r="R603" s="168"/>
      <c r="S603" s="380"/>
      <c r="T603" s="473" t="s">
        <v>2660</v>
      </c>
      <c r="U603" s="473" t="s">
        <v>1270</v>
      </c>
      <c r="AA603" s="27"/>
      <c r="AB603" s="27"/>
      <c r="AC603" s="809"/>
      <c r="AD603" s="481"/>
    </row>
    <row r="604" spans="3:30" ht="10.5" customHeight="1">
      <c r="C604" s="1526" t="s">
        <v>4565</v>
      </c>
      <c r="D604" s="1523">
        <v>1</v>
      </c>
      <c r="E604" s="1523">
        <v>1</v>
      </c>
      <c r="F604" s="1524">
        <v>2</v>
      </c>
      <c r="G604" s="1537" t="s">
        <v>4565</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4566</v>
      </c>
      <c r="D605" s="1523">
        <v>1</v>
      </c>
      <c r="E605" s="1523">
        <v>1</v>
      </c>
      <c r="F605" s="1524">
        <v>2</v>
      </c>
      <c r="G605" s="1537" t="s">
        <v>4566</v>
      </c>
      <c r="H605" s="1521">
        <v>1</v>
      </c>
      <c r="I605" s="1521">
        <v>1</v>
      </c>
      <c r="J605" s="1538">
        <v>2</v>
      </c>
      <c r="K605" s="1525"/>
      <c r="L605" s="1519">
        <v>13051011109</v>
      </c>
      <c r="M605" s="1520">
        <v>1</v>
      </c>
      <c r="N605" s="1520">
        <v>1</v>
      </c>
      <c r="O605" s="1520">
        <v>2</v>
      </c>
      <c r="P605" s="504" t="s">
        <v>713</v>
      </c>
      <c r="Q605" s="287"/>
      <c r="R605" s="168"/>
      <c r="S605" s="380"/>
      <c r="T605" s="473" t="s">
        <v>2661</v>
      </c>
      <c r="U605" s="473" t="s">
        <v>114</v>
      </c>
      <c r="AA605" s="27"/>
      <c r="AB605" s="27"/>
      <c r="AC605" s="809"/>
      <c r="AD605" s="481"/>
    </row>
    <row r="606" spans="3:30" ht="10.5" customHeight="1">
      <c r="C606" s="1526" t="s">
        <v>4567</v>
      </c>
      <c r="D606" s="1523">
        <v>0</v>
      </c>
      <c r="E606" s="1523">
        <v>1</v>
      </c>
      <c r="F606" s="1524">
        <v>1</v>
      </c>
      <c r="G606" s="1537" t="s">
        <v>4567</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4568</v>
      </c>
      <c r="D607" s="1523">
        <v>0</v>
      </c>
      <c r="E607" s="1523">
        <v>0</v>
      </c>
      <c r="F607" s="1524">
        <v>0</v>
      </c>
      <c r="G607" s="1537" t="s">
        <v>4568</v>
      </c>
      <c r="H607" s="1521">
        <v>0</v>
      </c>
      <c r="I607" s="1521">
        <v>0</v>
      </c>
      <c r="J607" s="1538">
        <v>0</v>
      </c>
      <c r="K607" s="1525"/>
      <c r="L607" s="1519">
        <v>13051011300</v>
      </c>
      <c r="M607" s="1520">
        <v>0</v>
      </c>
      <c r="N607" s="1520">
        <v>0</v>
      </c>
      <c r="O607" s="1520">
        <v>0</v>
      </c>
      <c r="P607" s="504" t="s">
        <v>988</v>
      </c>
      <c r="Q607" s="287"/>
      <c r="R607" s="168"/>
      <c r="S607" s="380"/>
      <c r="T607" s="473" t="s">
        <v>2027</v>
      </c>
      <c r="U607" s="473" t="s">
        <v>1567</v>
      </c>
      <c r="AA607" s="27"/>
      <c r="AB607" s="27"/>
      <c r="AC607" s="809"/>
      <c r="AD607" s="481"/>
    </row>
    <row r="608" spans="3:30" ht="10.5" customHeight="1">
      <c r="C608" s="1526" t="s">
        <v>4569</v>
      </c>
      <c r="D608" s="1523">
        <v>0</v>
      </c>
      <c r="E608" s="1523">
        <v>0</v>
      </c>
      <c r="F608" s="1524">
        <v>0</v>
      </c>
      <c r="G608" s="1537" t="s">
        <v>4569</v>
      </c>
      <c r="H608" s="1521">
        <v>0</v>
      </c>
      <c r="I608" s="1521" t="s">
        <v>4099</v>
      </c>
      <c r="J608" s="1538">
        <v>0</v>
      </c>
      <c r="K608" s="1525"/>
      <c r="L608" s="1519">
        <v>13051011400</v>
      </c>
      <c r="M608" s="1520">
        <v>0</v>
      </c>
      <c r="N608" s="1520">
        <v>0</v>
      </c>
      <c r="O608" s="1520">
        <v>0</v>
      </c>
      <c r="P608" s="504" t="s">
        <v>990</v>
      </c>
      <c r="Q608" s="287"/>
      <c r="R608" s="168"/>
      <c r="S608" s="380"/>
      <c r="T608" s="473" t="s">
        <v>2029</v>
      </c>
      <c r="U608" s="473" t="s">
        <v>1276</v>
      </c>
      <c r="AA608" s="27"/>
      <c r="AB608" s="27"/>
      <c r="AC608" s="809"/>
      <c r="AD608" s="481"/>
    </row>
    <row r="609" spans="3:30" ht="10.5" customHeight="1">
      <c r="C609" s="1526" t="s">
        <v>4570</v>
      </c>
      <c r="D609" s="1523">
        <v>1</v>
      </c>
      <c r="E609" s="1523">
        <v>1</v>
      </c>
      <c r="F609" s="1524">
        <v>2</v>
      </c>
      <c r="G609" s="1537" t="s">
        <v>4570</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4571</v>
      </c>
      <c r="D610" s="1523">
        <v>0</v>
      </c>
      <c r="E610" s="1523">
        <v>0</v>
      </c>
      <c r="F610" s="1524">
        <v>0</v>
      </c>
      <c r="G610" s="1537" t="s">
        <v>4571</v>
      </c>
      <c r="H610" s="1521">
        <v>0</v>
      </c>
      <c r="I610" s="1521">
        <v>0</v>
      </c>
      <c r="J610" s="1538">
        <v>0</v>
      </c>
      <c r="K610" s="1525"/>
      <c r="L610" s="1519">
        <v>13051011600</v>
      </c>
      <c r="M610" s="1520">
        <v>0</v>
      </c>
      <c r="N610" s="1520">
        <v>0</v>
      </c>
      <c r="O610" s="1520">
        <v>0</v>
      </c>
      <c r="P610" s="504" t="s">
        <v>1732</v>
      </c>
      <c r="Q610" s="287"/>
      <c r="R610" s="168"/>
      <c r="S610" s="380"/>
      <c r="T610" s="473" t="s">
        <v>2662</v>
      </c>
      <c r="U610" s="473" t="s">
        <v>319</v>
      </c>
      <c r="AA610" s="27"/>
      <c r="AB610" s="27"/>
      <c r="AC610" s="809"/>
      <c r="AD610" s="481"/>
    </row>
    <row r="611" spans="3:30" ht="10.5" customHeight="1">
      <c r="C611" s="1526" t="s">
        <v>4572</v>
      </c>
      <c r="D611" s="1523" t="s">
        <v>4099</v>
      </c>
      <c r="E611" s="1523" t="s">
        <v>4099</v>
      </c>
      <c r="F611" s="1524">
        <v>0</v>
      </c>
      <c r="G611" s="1537" t="s">
        <v>4572</v>
      </c>
      <c r="H611" s="1521" t="s">
        <v>4099</v>
      </c>
      <c r="I611" s="1521" t="s">
        <v>4099</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4573</v>
      </c>
      <c r="D612" s="1523" t="s">
        <v>4099</v>
      </c>
      <c r="E612" s="1523" t="s">
        <v>4099</v>
      </c>
      <c r="F612" s="1524">
        <v>0</v>
      </c>
      <c r="G612" s="1537" t="s">
        <v>4573</v>
      </c>
      <c r="H612" s="1521" t="s">
        <v>4099</v>
      </c>
      <c r="I612" s="1521" t="s">
        <v>4099</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4574</v>
      </c>
      <c r="D613" s="1523">
        <v>0</v>
      </c>
      <c r="E613" s="1523">
        <v>0</v>
      </c>
      <c r="F613" s="1524">
        <v>0</v>
      </c>
      <c r="G613" s="1537" t="s">
        <v>4574</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4575</v>
      </c>
      <c r="D614" s="1523">
        <v>0</v>
      </c>
      <c r="E614" s="1523">
        <v>1</v>
      </c>
      <c r="F614" s="1524">
        <v>1</v>
      </c>
      <c r="G614" s="1537" t="s">
        <v>4575</v>
      </c>
      <c r="H614" s="1521">
        <v>0</v>
      </c>
      <c r="I614" s="1521" t="s">
        <v>4099</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4576</v>
      </c>
      <c r="D615" s="1523">
        <v>0</v>
      </c>
      <c r="E615" s="1523">
        <v>1</v>
      </c>
      <c r="F615" s="1524">
        <v>1</v>
      </c>
      <c r="G615" s="1537" t="s">
        <v>4576</v>
      </c>
      <c r="H615" s="1521">
        <v>0</v>
      </c>
      <c r="I615" s="1521" t="s">
        <v>4099</v>
      </c>
      <c r="J615" s="1538">
        <v>0</v>
      </c>
      <c r="K615" s="1525"/>
      <c r="L615" s="1519">
        <v>13053020203</v>
      </c>
      <c r="M615" s="1520">
        <v>0</v>
      </c>
      <c r="N615" s="1520">
        <v>1</v>
      </c>
      <c r="O615" s="1520">
        <v>1</v>
      </c>
      <c r="P615" s="504" t="s">
        <v>2</v>
      </c>
      <c r="Q615" s="287"/>
      <c r="R615" s="168"/>
      <c r="S615" s="380"/>
      <c r="T615" s="473" t="s">
        <v>1961</v>
      </c>
      <c r="U615" s="473" t="s">
        <v>917</v>
      </c>
      <c r="AA615" s="27"/>
      <c r="AB615" s="27"/>
      <c r="AC615" s="809"/>
      <c r="AD615" s="481"/>
    </row>
    <row r="616" spans="3:30" ht="10.5" customHeight="1">
      <c r="C616" s="1526" t="s">
        <v>4577</v>
      </c>
      <c r="D616" s="1523">
        <v>0</v>
      </c>
      <c r="E616" s="1523">
        <v>1</v>
      </c>
      <c r="F616" s="1524">
        <v>1</v>
      </c>
      <c r="G616" s="1537" t="s">
        <v>4577</v>
      </c>
      <c r="H616" s="1521">
        <v>0</v>
      </c>
      <c r="I616" s="1521" t="s">
        <v>4099</v>
      </c>
      <c r="J616" s="1538">
        <v>0</v>
      </c>
      <c r="K616" s="1525"/>
      <c r="L616" s="1519">
        <v>13053020205</v>
      </c>
      <c r="M616" s="1520">
        <v>0</v>
      </c>
      <c r="N616" s="1520">
        <v>1</v>
      </c>
      <c r="O616" s="1520">
        <v>1</v>
      </c>
      <c r="P616" s="504" t="s">
        <v>4</v>
      </c>
      <c r="Q616" s="287"/>
      <c r="R616" s="168"/>
      <c r="S616" s="380"/>
      <c r="T616" s="505" t="s">
        <v>1787</v>
      </c>
      <c r="U616" s="505" t="s">
        <v>1863</v>
      </c>
      <c r="AA616" s="27"/>
      <c r="AB616" s="27"/>
      <c r="AC616" s="810"/>
      <c r="AD616" s="481"/>
    </row>
    <row r="617" spans="3:30" ht="10.5" customHeight="1">
      <c r="C617" s="1526" t="s">
        <v>4578</v>
      </c>
      <c r="D617" s="1523" t="s">
        <v>4099</v>
      </c>
      <c r="E617" s="1523" t="s">
        <v>4099</v>
      </c>
      <c r="F617" s="1524">
        <v>0</v>
      </c>
      <c r="G617" s="1537" t="s">
        <v>4578</v>
      </c>
      <c r="H617" s="1521" t="s">
        <v>4099</v>
      </c>
      <c r="I617" s="1521" t="s">
        <v>4099</v>
      </c>
      <c r="J617" s="1538">
        <v>0</v>
      </c>
      <c r="K617" s="1525"/>
      <c r="L617" s="1519">
        <v>13053020206</v>
      </c>
      <c r="M617" s="1520">
        <v>0</v>
      </c>
      <c r="N617" s="1520">
        <v>0</v>
      </c>
      <c r="O617" s="1520">
        <v>0</v>
      </c>
      <c r="P617" s="504" t="s">
        <v>6</v>
      </c>
      <c r="Q617" s="287"/>
      <c r="R617" s="168"/>
      <c r="S617" s="380"/>
      <c r="T617" s="505" t="s">
        <v>267</v>
      </c>
      <c r="U617" s="505" t="s">
        <v>1863</v>
      </c>
      <c r="AA617" s="27"/>
      <c r="AB617" s="27"/>
      <c r="AC617" s="810"/>
      <c r="AD617" s="481"/>
    </row>
    <row r="618" spans="3:30" ht="10.5" customHeight="1">
      <c r="C618" s="1526" t="s">
        <v>4579</v>
      </c>
      <c r="D618" s="1523">
        <v>0</v>
      </c>
      <c r="E618" s="1523">
        <v>0</v>
      </c>
      <c r="F618" s="1524">
        <v>0</v>
      </c>
      <c r="G618" s="1537" t="s">
        <v>4579</v>
      </c>
      <c r="H618" s="1521">
        <v>0</v>
      </c>
      <c r="I618" s="1521">
        <v>0</v>
      </c>
      <c r="J618" s="1538">
        <v>0</v>
      </c>
      <c r="K618" s="1525"/>
      <c r="L618" s="1519">
        <v>13055010100</v>
      </c>
      <c r="M618" s="1520">
        <v>0</v>
      </c>
      <c r="N618" s="1520">
        <v>0</v>
      </c>
      <c r="O618" s="1520">
        <v>0</v>
      </c>
      <c r="P618" s="504" t="s">
        <v>2050</v>
      </c>
      <c r="Q618" s="287"/>
      <c r="R618" s="168"/>
      <c r="S618" s="380"/>
      <c r="T618" s="473" t="s">
        <v>1609</v>
      </c>
      <c r="U618" s="473" t="s">
        <v>2083</v>
      </c>
      <c r="AA618" s="27"/>
      <c r="AB618" s="27"/>
      <c r="AC618" s="809"/>
      <c r="AD618" s="481"/>
    </row>
    <row r="619" spans="3:30" ht="10.5" customHeight="1">
      <c r="C619" s="1526" t="s">
        <v>4580</v>
      </c>
      <c r="D619" s="1523">
        <v>0</v>
      </c>
      <c r="E619" s="1523">
        <v>0</v>
      </c>
      <c r="F619" s="1524">
        <v>0</v>
      </c>
      <c r="G619" s="1537" t="s">
        <v>4580</v>
      </c>
      <c r="H619" s="1521">
        <v>0</v>
      </c>
      <c r="I619" s="1521">
        <v>0</v>
      </c>
      <c r="J619" s="1538">
        <v>0</v>
      </c>
      <c r="K619" s="1525"/>
      <c r="L619" s="1519">
        <v>13055010200</v>
      </c>
      <c r="M619" s="1520">
        <v>0</v>
      </c>
      <c r="N619" s="1520">
        <v>0</v>
      </c>
      <c r="O619" s="1520">
        <v>0</v>
      </c>
      <c r="P619" s="504" t="s">
        <v>2052</v>
      </c>
      <c r="Q619" s="287"/>
      <c r="R619" s="168"/>
      <c r="S619" s="380"/>
      <c r="T619" s="473" t="s">
        <v>251</v>
      </c>
      <c r="U619" s="473" t="s">
        <v>637</v>
      </c>
      <c r="AA619" s="27"/>
      <c r="AB619" s="27"/>
      <c r="AC619" s="809"/>
      <c r="AD619" s="481"/>
    </row>
    <row r="620" spans="3:30" ht="10.5" customHeight="1">
      <c r="C620" s="1526" t="s">
        <v>4581</v>
      </c>
      <c r="D620" s="1523">
        <v>0</v>
      </c>
      <c r="E620" s="1523">
        <v>0</v>
      </c>
      <c r="F620" s="1524">
        <v>0</v>
      </c>
      <c r="G620" s="1537" t="s">
        <v>4581</v>
      </c>
      <c r="H620" s="1521">
        <v>0</v>
      </c>
      <c r="I620" s="1521" t="s">
        <v>4099</v>
      </c>
      <c r="J620" s="1538">
        <v>0</v>
      </c>
      <c r="K620" s="1525"/>
      <c r="L620" s="1519">
        <v>13055010300</v>
      </c>
      <c r="M620" s="1520">
        <v>0</v>
      </c>
      <c r="N620" s="1520">
        <v>0</v>
      </c>
      <c r="O620" s="1520">
        <v>0</v>
      </c>
      <c r="P620" s="504" t="s">
        <v>2054</v>
      </c>
      <c r="Q620" s="287"/>
      <c r="R620" s="168"/>
      <c r="S620" s="380"/>
      <c r="T620" s="473" t="s">
        <v>1139</v>
      </c>
      <c r="U620" s="473" t="s">
        <v>151</v>
      </c>
      <c r="AA620" s="27"/>
      <c r="AB620" s="27"/>
      <c r="AC620" s="809"/>
      <c r="AD620" s="481"/>
    </row>
    <row r="621" spans="3:30" ht="10.5" customHeight="1">
      <c r="C621" s="1526" t="s">
        <v>4582</v>
      </c>
      <c r="D621" s="1523">
        <v>0</v>
      </c>
      <c r="E621" s="1523">
        <v>0</v>
      </c>
      <c r="F621" s="1524">
        <v>0</v>
      </c>
      <c r="G621" s="1537" t="s">
        <v>4582</v>
      </c>
      <c r="H621" s="1521">
        <v>0</v>
      </c>
      <c r="I621" s="1521">
        <v>0</v>
      </c>
      <c r="J621" s="1538">
        <v>0</v>
      </c>
      <c r="K621" s="1525"/>
      <c r="L621" s="1519">
        <v>13055010400</v>
      </c>
      <c r="M621" s="1520">
        <v>0</v>
      </c>
      <c r="N621" s="1520">
        <v>0</v>
      </c>
      <c r="O621" s="1520">
        <v>0</v>
      </c>
      <c r="P621" s="504" t="s">
        <v>2056</v>
      </c>
      <c r="Q621" s="287"/>
      <c r="R621" s="168"/>
      <c r="S621" s="380"/>
      <c r="T621" s="473" t="s">
        <v>1141</v>
      </c>
      <c r="U621" s="473" t="s">
        <v>151</v>
      </c>
      <c r="AA621" s="27"/>
      <c r="AB621" s="27"/>
      <c r="AC621" s="809"/>
      <c r="AD621" s="481"/>
    </row>
    <row r="622" spans="3:30" ht="10.5" customHeight="1">
      <c r="C622" s="1526" t="s">
        <v>4583</v>
      </c>
      <c r="D622" s="1523">
        <v>0</v>
      </c>
      <c r="E622" s="1523">
        <v>0</v>
      </c>
      <c r="F622" s="1524">
        <v>0</v>
      </c>
      <c r="G622" s="1537" t="s">
        <v>4583</v>
      </c>
      <c r="H622" s="1521">
        <v>0</v>
      </c>
      <c r="I622" s="1521">
        <v>0</v>
      </c>
      <c r="J622" s="1538">
        <v>0</v>
      </c>
      <c r="K622" s="1525"/>
      <c r="L622" s="1519">
        <v>13055010500</v>
      </c>
      <c r="M622" s="1520">
        <v>0</v>
      </c>
      <c r="N622" s="1520">
        <v>0</v>
      </c>
      <c r="O622" s="1520">
        <v>0</v>
      </c>
      <c r="P622" s="504" t="s">
        <v>2058</v>
      </c>
      <c r="Q622" s="287"/>
      <c r="R622" s="168"/>
      <c r="S622" s="380"/>
      <c r="T622" s="473" t="s">
        <v>714</v>
      </c>
      <c r="U622" s="473" t="s">
        <v>1278</v>
      </c>
      <c r="AA622" s="27"/>
      <c r="AB622" s="27"/>
      <c r="AC622" s="809"/>
      <c r="AD622" s="481"/>
    </row>
    <row r="623" spans="3:30" ht="10.5" customHeight="1">
      <c r="C623" s="1526" t="s">
        <v>4584</v>
      </c>
      <c r="D623" s="1523">
        <v>0</v>
      </c>
      <c r="E623" s="1523">
        <v>0</v>
      </c>
      <c r="F623" s="1524">
        <v>0</v>
      </c>
      <c r="G623" s="1537" t="s">
        <v>4584</v>
      </c>
      <c r="H623" s="1521">
        <v>0</v>
      </c>
      <c r="I623" s="1521">
        <v>0</v>
      </c>
      <c r="J623" s="1538">
        <v>0</v>
      </c>
      <c r="K623" s="1525"/>
      <c r="L623" s="1519">
        <v>13055010600</v>
      </c>
      <c r="M623" s="1520">
        <v>0</v>
      </c>
      <c r="N623" s="1520">
        <v>0</v>
      </c>
      <c r="O623" s="1520">
        <v>0</v>
      </c>
      <c r="P623" s="504" t="s">
        <v>83</v>
      </c>
      <c r="Q623" s="287"/>
      <c r="R623" s="168"/>
      <c r="S623" s="380"/>
      <c r="T623" s="473" t="s">
        <v>234</v>
      </c>
      <c r="U623" s="473" t="s">
        <v>2470</v>
      </c>
      <c r="AA623" s="27"/>
      <c r="AB623" s="27"/>
      <c r="AC623" s="809"/>
      <c r="AD623" s="481"/>
    </row>
    <row r="624" spans="3:30" ht="10.5" customHeight="1">
      <c r="C624" s="1526" t="s">
        <v>4585</v>
      </c>
      <c r="D624" s="1523">
        <v>1</v>
      </c>
      <c r="E624" s="1523">
        <v>1</v>
      </c>
      <c r="F624" s="1524">
        <v>2</v>
      </c>
      <c r="G624" s="1537" t="s">
        <v>4585</v>
      </c>
      <c r="H624" s="1521">
        <v>1</v>
      </c>
      <c r="I624" s="1521">
        <v>1</v>
      </c>
      <c r="J624" s="1538">
        <v>2</v>
      </c>
      <c r="K624" s="1525"/>
      <c r="L624" s="1519">
        <v>13057090100</v>
      </c>
      <c r="M624" s="1520">
        <v>1</v>
      </c>
      <c r="N624" s="1520">
        <v>1</v>
      </c>
      <c r="O624" s="1520">
        <v>2</v>
      </c>
      <c r="P624" s="504" t="s">
        <v>1927</v>
      </c>
      <c r="Q624" s="287"/>
      <c r="R624" s="168"/>
      <c r="S624" s="380"/>
      <c r="T624" s="473" t="s">
        <v>989</v>
      </c>
      <c r="U624" s="473" t="s">
        <v>2292</v>
      </c>
      <c r="AA624" s="27"/>
      <c r="AB624" s="27"/>
      <c r="AC624" s="809"/>
      <c r="AD624" s="481"/>
    </row>
    <row r="625" spans="3:30" ht="10.5" customHeight="1">
      <c r="C625" s="1526" t="s">
        <v>4586</v>
      </c>
      <c r="D625" s="1523">
        <v>1</v>
      </c>
      <c r="E625" s="1523">
        <v>1</v>
      </c>
      <c r="F625" s="1524">
        <v>2</v>
      </c>
      <c r="G625" s="1537" t="s">
        <v>4586</v>
      </c>
      <c r="H625" s="1521">
        <v>1</v>
      </c>
      <c r="I625" s="1521">
        <v>1</v>
      </c>
      <c r="J625" s="1538">
        <v>2</v>
      </c>
      <c r="K625" s="1525"/>
      <c r="L625" s="1519">
        <v>13057090200</v>
      </c>
      <c r="M625" s="1520">
        <v>1</v>
      </c>
      <c r="N625" s="1520">
        <v>1</v>
      </c>
      <c r="O625" s="1520">
        <v>2</v>
      </c>
      <c r="P625" s="504" t="s">
        <v>1453</v>
      </c>
      <c r="Q625" s="287"/>
      <c r="R625" s="168"/>
      <c r="S625" s="380"/>
      <c r="T625" s="473" t="s">
        <v>1671</v>
      </c>
      <c r="U625" s="473" t="s">
        <v>2375</v>
      </c>
      <c r="AA625" s="27"/>
      <c r="AB625" s="27"/>
      <c r="AC625" s="809"/>
      <c r="AD625" s="481"/>
    </row>
    <row r="626" spans="3:30" ht="10.5" customHeight="1">
      <c r="C626" s="1526" t="s">
        <v>4587</v>
      </c>
      <c r="D626" s="1523">
        <v>1</v>
      </c>
      <c r="E626" s="1523">
        <v>1</v>
      </c>
      <c r="F626" s="1524">
        <v>2</v>
      </c>
      <c r="G626" s="1537" t="s">
        <v>4587</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4588</v>
      </c>
      <c r="D627" s="1523">
        <v>0</v>
      </c>
      <c r="E627" s="1523">
        <v>0</v>
      </c>
      <c r="F627" s="1524">
        <v>0</v>
      </c>
      <c r="G627" s="1537" t="s">
        <v>4588</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4589</v>
      </c>
      <c r="D628" s="1523">
        <v>1</v>
      </c>
      <c r="E628" s="1523">
        <v>1</v>
      </c>
      <c r="F628" s="1524">
        <v>2</v>
      </c>
      <c r="G628" s="1537" t="s">
        <v>4589</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4590</v>
      </c>
      <c r="D629" s="1523">
        <v>1</v>
      </c>
      <c r="E629" s="1523">
        <v>1</v>
      </c>
      <c r="F629" s="1524">
        <v>2</v>
      </c>
      <c r="G629" s="1537" t="s">
        <v>4590</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4591</v>
      </c>
      <c r="D630" s="1523">
        <v>0</v>
      </c>
      <c r="E630" s="1523">
        <v>0</v>
      </c>
      <c r="F630" s="1524">
        <v>0</v>
      </c>
      <c r="G630" s="1537" t="s">
        <v>4591</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4592</v>
      </c>
      <c r="D631" s="1523">
        <v>1</v>
      </c>
      <c r="E631" s="1523">
        <v>1</v>
      </c>
      <c r="F631" s="1524">
        <v>2</v>
      </c>
      <c r="G631" s="1537" t="s">
        <v>4592</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4593</v>
      </c>
      <c r="D632" s="1523">
        <v>1</v>
      </c>
      <c r="E632" s="1523">
        <v>1</v>
      </c>
      <c r="F632" s="1524">
        <v>2</v>
      </c>
      <c r="G632" s="1537" t="s">
        <v>4593</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4594</v>
      </c>
      <c r="D633" s="1523">
        <v>1</v>
      </c>
      <c r="E633" s="1523">
        <v>1</v>
      </c>
      <c r="F633" s="1524">
        <v>2</v>
      </c>
      <c r="G633" s="1537" t="s">
        <v>4594</v>
      </c>
      <c r="H633" s="1521">
        <v>1</v>
      </c>
      <c r="I633" s="1521">
        <v>0</v>
      </c>
      <c r="J633" s="1538">
        <v>1</v>
      </c>
      <c r="K633" s="1525"/>
      <c r="L633" s="1519">
        <v>13057090702</v>
      </c>
      <c r="M633" s="1520">
        <v>1</v>
      </c>
      <c r="N633" s="1520">
        <v>1</v>
      </c>
      <c r="O633" s="1520">
        <v>2</v>
      </c>
      <c r="P633" s="504" t="s">
        <v>744</v>
      </c>
      <c r="Q633" s="287"/>
      <c r="R633" s="168"/>
      <c r="S633" s="380"/>
      <c r="T633" s="473" t="s">
        <v>3</v>
      </c>
      <c r="U633" s="473" t="s">
        <v>2288</v>
      </c>
      <c r="AA633" s="27"/>
      <c r="AB633" s="27"/>
      <c r="AC633" s="809"/>
      <c r="AD633" s="481"/>
    </row>
    <row r="634" spans="3:30" ht="10.5" customHeight="1">
      <c r="C634" s="1526" t="s">
        <v>4595</v>
      </c>
      <c r="D634" s="1523">
        <v>1</v>
      </c>
      <c r="E634" s="1523">
        <v>1</v>
      </c>
      <c r="F634" s="1524">
        <v>2</v>
      </c>
      <c r="G634" s="1537" t="s">
        <v>4595</v>
      </c>
      <c r="H634" s="1521">
        <v>1</v>
      </c>
      <c r="I634" s="1521">
        <v>1</v>
      </c>
      <c r="J634" s="1538">
        <v>2</v>
      </c>
      <c r="K634" s="1525"/>
      <c r="L634" s="1519">
        <v>13057090802</v>
      </c>
      <c r="M634" s="1520">
        <v>1</v>
      </c>
      <c r="N634" s="1520">
        <v>1</v>
      </c>
      <c r="O634" s="1520">
        <v>2</v>
      </c>
      <c r="P634" s="504" t="s">
        <v>697</v>
      </c>
      <c r="Q634" s="287"/>
      <c r="R634" s="168"/>
      <c r="S634" s="380"/>
      <c r="T634" s="473" t="s">
        <v>5</v>
      </c>
      <c r="U634" s="473" t="s">
        <v>1829</v>
      </c>
      <c r="AA634" s="27"/>
      <c r="AB634" s="27"/>
      <c r="AC634" s="809"/>
      <c r="AD634" s="481"/>
    </row>
    <row r="635" spans="3:30" ht="10.5" customHeight="1">
      <c r="C635" s="1526" t="s">
        <v>4596</v>
      </c>
      <c r="D635" s="1523">
        <v>1</v>
      </c>
      <c r="E635" s="1523">
        <v>1</v>
      </c>
      <c r="F635" s="1524">
        <v>2</v>
      </c>
      <c r="G635" s="1537" t="s">
        <v>4596</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4597</v>
      </c>
      <c r="D636" s="1523">
        <v>1</v>
      </c>
      <c r="E636" s="1523">
        <v>1</v>
      </c>
      <c r="F636" s="1524">
        <v>2</v>
      </c>
      <c r="G636" s="1537" t="s">
        <v>4597</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4598</v>
      </c>
      <c r="D637" s="1523">
        <v>1</v>
      </c>
      <c r="E637" s="1523">
        <v>1</v>
      </c>
      <c r="F637" s="1524">
        <v>2</v>
      </c>
      <c r="G637" s="1537" t="s">
        <v>4598</v>
      </c>
      <c r="H637" s="1521">
        <v>1</v>
      </c>
      <c r="I637" s="1521">
        <v>1</v>
      </c>
      <c r="J637" s="1538">
        <v>2</v>
      </c>
      <c r="K637" s="1525"/>
      <c r="L637" s="1519">
        <v>13057090901</v>
      </c>
      <c r="M637" s="1520">
        <v>1</v>
      </c>
      <c r="N637" s="1520">
        <v>1</v>
      </c>
      <c r="O637" s="1520">
        <v>2</v>
      </c>
      <c r="P637" s="504" t="s">
        <v>1001</v>
      </c>
      <c r="Q637" s="287"/>
      <c r="R637" s="168"/>
      <c r="S637" s="380"/>
      <c r="T637" s="473" t="s">
        <v>2049</v>
      </c>
      <c r="U637" s="473" t="s">
        <v>1278</v>
      </c>
      <c r="AA637" s="27"/>
      <c r="AB637" s="27"/>
      <c r="AC637" s="809"/>
      <c r="AD637" s="481"/>
    </row>
    <row r="638" spans="3:30" ht="10.5" customHeight="1">
      <c r="C638" s="1526" t="s">
        <v>4599</v>
      </c>
      <c r="D638" s="1523">
        <v>1</v>
      </c>
      <c r="E638" s="1523">
        <v>1</v>
      </c>
      <c r="F638" s="1524">
        <v>2</v>
      </c>
      <c r="G638" s="1537" t="s">
        <v>4599</v>
      </c>
      <c r="H638" s="1521">
        <v>1</v>
      </c>
      <c r="I638" s="1521">
        <v>1</v>
      </c>
      <c r="J638" s="1538">
        <v>2</v>
      </c>
      <c r="K638" s="1525"/>
      <c r="L638" s="1519">
        <v>13057090902</v>
      </c>
      <c r="M638" s="1520">
        <v>1</v>
      </c>
      <c r="N638" s="1520">
        <v>1</v>
      </c>
      <c r="O638" s="1520">
        <v>2</v>
      </c>
      <c r="P638" s="504" t="s">
        <v>1002</v>
      </c>
      <c r="Q638" s="287"/>
      <c r="R638" s="168"/>
      <c r="S638" s="380"/>
      <c r="T638" s="473" t="s">
        <v>2051</v>
      </c>
      <c r="U638" s="473" t="s">
        <v>2089</v>
      </c>
      <c r="AA638" s="27"/>
      <c r="AB638" s="27"/>
      <c r="AC638" s="809"/>
      <c r="AD638" s="481"/>
    </row>
    <row r="639" spans="3:30" ht="10.5" customHeight="1">
      <c r="C639" s="1526" t="s">
        <v>4600</v>
      </c>
      <c r="D639" s="1523">
        <v>1</v>
      </c>
      <c r="E639" s="1523">
        <v>1</v>
      </c>
      <c r="F639" s="1524">
        <v>2</v>
      </c>
      <c r="G639" s="1537" t="s">
        <v>4600</v>
      </c>
      <c r="H639" s="1521">
        <v>1</v>
      </c>
      <c r="I639" s="1521">
        <v>0</v>
      </c>
      <c r="J639" s="1538">
        <v>1</v>
      </c>
      <c r="K639" s="1525"/>
      <c r="L639" s="1519">
        <v>13057090904</v>
      </c>
      <c r="M639" s="1520">
        <v>1</v>
      </c>
      <c r="N639" s="1520">
        <v>1</v>
      </c>
      <c r="O639" s="1520">
        <v>2</v>
      </c>
      <c r="P639" s="504" t="s">
        <v>1004</v>
      </c>
      <c r="Q639" s="287"/>
      <c r="R639" s="168"/>
      <c r="S639" s="380"/>
      <c r="T639" s="473" t="s">
        <v>2053</v>
      </c>
      <c r="U639" s="473" t="s">
        <v>167</v>
      </c>
      <c r="AA639" s="27"/>
      <c r="AB639" s="27"/>
      <c r="AC639" s="809"/>
      <c r="AD639" s="481"/>
    </row>
    <row r="640" spans="3:30" ht="10.5" customHeight="1">
      <c r="C640" s="1526" t="s">
        <v>4601</v>
      </c>
      <c r="D640" s="1523">
        <v>1</v>
      </c>
      <c r="E640" s="1523">
        <v>1</v>
      </c>
      <c r="F640" s="1524">
        <v>2</v>
      </c>
      <c r="G640" s="1537" t="s">
        <v>4601</v>
      </c>
      <c r="H640" s="1521">
        <v>1</v>
      </c>
      <c r="I640" s="1521">
        <v>1</v>
      </c>
      <c r="J640" s="1538">
        <v>2</v>
      </c>
      <c r="K640" s="1525"/>
      <c r="L640" s="1519">
        <v>13057090905</v>
      </c>
      <c r="M640" s="1520">
        <v>1</v>
      </c>
      <c r="N640" s="1520">
        <v>1</v>
      </c>
      <c r="O640" s="1520">
        <v>2</v>
      </c>
      <c r="P640" s="504" t="s">
        <v>2163</v>
      </c>
      <c r="Q640" s="287"/>
      <c r="R640" s="168"/>
      <c r="S640" s="380"/>
      <c r="T640" s="473" t="s">
        <v>2055</v>
      </c>
      <c r="U640" s="473" t="s">
        <v>1397</v>
      </c>
      <c r="AA640" s="27"/>
      <c r="AB640" s="27"/>
      <c r="AC640" s="809"/>
      <c r="AD640" s="481"/>
    </row>
    <row r="641" spans="3:30" ht="10.5" customHeight="1">
      <c r="C641" s="1526" t="s">
        <v>4602</v>
      </c>
      <c r="D641" s="1523">
        <v>0</v>
      </c>
      <c r="E641" s="1523">
        <v>1</v>
      </c>
      <c r="F641" s="1524">
        <v>1</v>
      </c>
      <c r="G641" s="1537" t="s">
        <v>4602</v>
      </c>
      <c r="H641" s="1521">
        <v>1</v>
      </c>
      <c r="I641" s="1521">
        <v>1</v>
      </c>
      <c r="J641" s="1538">
        <v>2</v>
      </c>
      <c r="K641" s="1525"/>
      <c r="L641" s="1519">
        <v>13057091001</v>
      </c>
      <c r="M641" s="1520">
        <v>1</v>
      </c>
      <c r="N641" s="1520">
        <v>1</v>
      </c>
      <c r="O641" s="1520">
        <v>2</v>
      </c>
      <c r="P641" s="504" t="s">
        <v>2165</v>
      </c>
      <c r="Q641" s="287"/>
      <c r="R641" s="168"/>
      <c r="S641" s="380"/>
      <c r="T641" s="473" t="s">
        <v>2057</v>
      </c>
      <c r="U641" s="473" t="s">
        <v>637</v>
      </c>
      <c r="AA641" s="27"/>
      <c r="AB641" s="27"/>
      <c r="AC641" s="809"/>
      <c r="AD641" s="481"/>
    </row>
    <row r="642" spans="3:30" ht="10.5" customHeight="1">
      <c r="C642" s="1526" t="s">
        <v>4603</v>
      </c>
      <c r="D642" s="1523">
        <v>0</v>
      </c>
      <c r="E642" s="1523">
        <v>0</v>
      </c>
      <c r="F642" s="1524">
        <v>0</v>
      </c>
      <c r="G642" s="1537" t="s">
        <v>4603</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4604</v>
      </c>
      <c r="D643" s="1523">
        <v>1</v>
      </c>
      <c r="E643" s="1523">
        <v>1</v>
      </c>
      <c r="F643" s="1524">
        <v>2</v>
      </c>
      <c r="G643" s="1537" t="s">
        <v>4604</v>
      </c>
      <c r="H643" s="1521">
        <v>1</v>
      </c>
      <c r="I643" s="1521">
        <v>1</v>
      </c>
      <c r="J643" s="1538">
        <v>2</v>
      </c>
      <c r="K643" s="1525"/>
      <c r="L643" s="1519">
        <v>13057091005</v>
      </c>
      <c r="M643" s="1520">
        <v>1</v>
      </c>
      <c r="N643" s="1520">
        <v>1</v>
      </c>
      <c r="O643" s="1520">
        <v>2</v>
      </c>
      <c r="P643" s="504" t="s">
        <v>2403</v>
      </c>
      <c r="Q643" s="287"/>
      <c r="R643" s="168"/>
      <c r="S643" s="380"/>
      <c r="T643" s="473" t="s">
        <v>1452</v>
      </c>
      <c r="U643" s="473" t="s">
        <v>2091</v>
      </c>
      <c r="AA643" s="27"/>
      <c r="AB643" s="27"/>
      <c r="AC643" s="809"/>
      <c r="AD643" s="481"/>
    </row>
    <row r="644" spans="3:30" ht="10.5" customHeight="1">
      <c r="C644" s="1526" t="s">
        <v>4605</v>
      </c>
      <c r="D644" s="1523">
        <v>1</v>
      </c>
      <c r="E644" s="1523">
        <v>1</v>
      </c>
      <c r="F644" s="1524">
        <v>2</v>
      </c>
      <c r="G644" s="1537" t="s">
        <v>4605</v>
      </c>
      <c r="H644" s="1521">
        <v>1</v>
      </c>
      <c r="I644" s="1521">
        <v>1</v>
      </c>
      <c r="J644" s="1538">
        <v>2</v>
      </c>
      <c r="K644" s="1525"/>
      <c r="L644" s="1519">
        <v>13057091006</v>
      </c>
      <c r="M644" s="1520">
        <v>1</v>
      </c>
      <c r="N644" s="1520">
        <v>1</v>
      </c>
      <c r="O644" s="1520">
        <v>2</v>
      </c>
      <c r="P644" s="504" t="s">
        <v>2070</v>
      </c>
      <c r="Q644" s="287"/>
      <c r="R644" s="168"/>
      <c r="S644" s="380"/>
      <c r="T644" s="473" t="s">
        <v>1454</v>
      </c>
      <c r="U644" s="473" t="s">
        <v>191</v>
      </c>
      <c r="AA644" s="27"/>
      <c r="AB644" s="27"/>
      <c r="AC644" s="809"/>
      <c r="AD644" s="481"/>
    </row>
    <row r="645" spans="3:30" ht="10.5" customHeight="1">
      <c r="C645" s="1526" t="s">
        <v>4606</v>
      </c>
      <c r="D645" s="1523">
        <v>1</v>
      </c>
      <c r="E645" s="1523">
        <v>1</v>
      </c>
      <c r="F645" s="1524">
        <v>2</v>
      </c>
      <c r="G645" s="1537" t="s">
        <v>4606</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4607</v>
      </c>
      <c r="D646" s="1523">
        <v>1</v>
      </c>
      <c r="E646" s="1523">
        <v>1</v>
      </c>
      <c r="F646" s="1524">
        <v>2</v>
      </c>
      <c r="G646" s="1537" t="s">
        <v>4607</v>
      </c>
      <c r="H646" s="1521">
        <v>1</v>
      </c>
      <c r="I646" s="1521" t="s">
        <v>4099</v>
      </c>
      <c r="J646" s="1538">
        <v>1</v>
      </c>
      <c r="K646" s="1525"/>
      <c r="L646" s="1519">
        <v>13057091008</v>
      </c>
      <c r="M646" s="1520">
        <v>1</v>
      </c>
      <c r="N646" s="1520">
        <v>1</v>
      </c>
      <c r="O646" s="1520">
        <v>2</v>
      </c>
      <c r="P646" s="504" t="s">
        <v>1547</v>
      </c>
      <c r="Q646" s="287"/>
      <c r="R646" s="168"/>
      <c r="S646" s="380"/>
      <c r="T646" s="473" t="s">
        <v>1458</v>
      </c>
      <c r="U646" s="473" t="s">
        <v>2081</v>
      </c>
      <c r="AA646" s="27"/>
      <c r="AB646" s="27"/>
      <c r="AC646" s="809"/>
      <c r="AD646" s="481"/>
    </row>
    <row r="647" spans="3:30" ht="10.5" customHeight="1">
      <c r="C647" s="1526" t="s">
        <v>4608</v>
      </c>
      <c r="D647" s="1523">
        <v>1</v>
      </c>
      <c r="E647" s="1523">
        <v>1</v>
      </c>
      <c r="F647" s="1524">
        <v>2</v>
      </c>
      <c r="G647" s="1537" t="s">
        <v>4608</v>
      </c>
      <c r="H647" s="1521">
        <v>1</v>
      </c>
      <c r="I647" s="1521" t="s">
        <v>4099</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4609</v>
      </c>
      <c r="D648" s="1523">
        <v>1</v>
      </c>
      <c r="E648" s="1523">
        <v>0</v>
      </c>
      <c r="F648" s="1524">
        <v>1</v>
      </c>
      <c r="G648" s="1537" t="s">
        <v>4609</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4610</v>
      </c>
      <c r="D649" s="1523">
        <v>1</v>
      </c>
      <c r="E649" s="1523">
        <v>1</v>
      </c>
      <c r="F649" s="1524">
        <v>2</v>
      </c>
      <c r="G649" s="1537" t="s">
        <v>4610</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4611</v>
      </c>
      <c r="D650" s="1523">
        <v>0</v>
      </c>
      <c r="E650" s="1523">
        <v>1</v>
      </c>
      <c r="F650" s="1524">
        <v>1</v>
      </c>
      <c r="G650" s="1537" t="s">
        <v>4611</v>
      </c>
      <c r="H650" s="1521">
        <v>0</v>
      </c>
      <c r="I650" s="1521" t="s">
        <v>4099</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4612</v>
      </c>
      <c r="D651" s="1523">
        <v>0</v>
      </c>
      <c r="E651" s="1523">
        <v>0</v>
      </c>
      <c r="F651" s="1524">
        <v>0</v>
      </c>
      <c r="G651" s="1537" t="s">
        <v>4612</v>
      </c>
      <c r="H651" s="1521">
        <v>0</v>
      </c>
      <c r="I651" s="1521" t="s">
        <v>4099</v>
      </c>
      <c r="J651" s="1538">
        <v>0</v>
      </c>
      <c r="K651" s="1525"/>
      <c r="L651" s="1519">
        <v>13059000401</v>
      </c>
      <c r="M651" s="1520">
        <v>0</v>
      </c>
      <c r="N651" s="1520">
        <v>0</v>
      </c>
      <c r="O651" s="1520">
        <v>0</v>
      </c>
      <c r="P651" s="504" t="s">
        <v>1555</v>
      </c>
      <c r="Q651" s="287"/>
      <c r="R651" s="168"/>
      <c r="S651" s="380"/>
      <c r="T651" s="473" t="s">
        <v>745</v>
      </c>
      <c r="U651" s="473" t="s">
        <v>2372</v>
      </c>
      <c r="AA651" s="27"/>
      <c r="AB651" s="27"/>
      <c r="AC651" s="809"/>
      <c r="AD651" s="481"/>
    </row>
    <row r="652" spans="3:30" ht="10.5" customHeight="1">
      <c r="C652" s="1526" t="s">
        <v>4613</v>
      </c>
      <c r="D652" s="1523">
        <v>0</v>
      </c>
      <c r="E652" s="1523">
        <v>1</v>
      </c>
      <c r="F652" s="1524">
        <v>1</v>
      </c>
      <c r="G652" s="1537" t="s">
        <v>4613</v>
      </c>
      <c r="H652" s="1521">
        <v>0</v>
      </c>
      <c r="I652" s="1521" t="s">
        <v>4099</v>
      </c>
      <c r="J652" s="1538">
        <v>0</v>
      </c>
      <c r="K652" s="1525"/>
      <c r="L652" s="1519">
        <v>13059000402</v>
      </c>
      <c r="M652" s="1520">
        <v>0</v>
      </c>
      <c r="N652" s="1520">
        <v>1</v>
      </c>
      <c r="O652" s="1520">
        <v>1</v>
      </c>
      <c r="P652" s="504" t="s">
        <v>2308</v>
      </c>
      <c r="Q652" s="287"/>
      <c r="R652" s="168"/>
      <c r="S652" s="380"/>
      <c r="T652" s="473" t="s">
        <v>698</v>
      </c>
      <c r="U652" s="473" t="s">
        <v>2378</v>
      </c>
      <c r="AA652" s="27"/>
      <c r="AB652" s="27"/>
      <c r="AC652" s="809"/>
      <c r="AD652" s="481"/>
    </row>
    <row r="653" spans="3:30" ht="10.5" customHeight="1">
      <c r="C653" s="1526" t="s">
        <v>4614</v>
      </c>
      <c r="D653" s="1523">
        <v>0</v>
      </c>
      <c r="E653" s="1523">
        <v>0</v>
      </c>
      <c r="F653" s="1524">
        <v>0</v>
      </c>
      <c r="G653" s="1537" t="s">
        <v>4614</v>
      </c>
      <c r="H653" s="1521">
        <v>0</v>
      </c>
      <c r="I653" s="1521">
        <v>1</v>
      </c>
      <c r="J653" s="1538">
        <v>1</v>
      </c>
      <c r="K653" s="1525"/>
      <c r="L653" s="1519">
        <v>13059000600</v>
      </c>
      <c r="M653" s="1520">
        <v>0</v>
      </c>
      <c r="N653" s="1520">
        <v>1</v>
      </c>
      <c r="O653" s="1520">
        <v>1</v>
      </c>
      <c r="P653" s="504" t="s">
        <v>159</v>
      </c>
      <c r="Q653" s="287"/>
      <c r="R653" s="168"/>
      <c r="S653" s="380"/>
      <c r="T653" s="473" t="s">
        <v>906</v>
      </c>
      <c r="U653" s="473" t="s">
        <v>2415</v>
      </c>
      <c r="AA653" s="27"/>
      <c r="AB653" s="27"/>
      <c r="AC653" s="809"/>
      <c r="AD653" s="481"/>
    </row>
    <row r="654" spans="3:30" ht="10.5" customHeight="1">
      <c r="C654" s="1526" t="s">
        <v>4615</v>
      </c>
      <c r="D654" s="1523">
        <v>0</v>
      </c>
      <c r="E654" s="1523">
        <v>0</v>
      </c>
      <c r="F654" s="1524">
        <v>0</v>
      </c>
      <c r="G654" s="1537" t="s">
        <v>4615</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4616</v>
      </c>
      <c r="D655" s="1523">
        <v>1</v>
      </c>
      <c r="E655" s="1523">
        <v>0</v>
      </c>
      <c r="F655" s="1524">
        <v>1</v>
      </c>
      <c r="G655" s="1537" t="s">
        <v>4616</v>
      </c>
      <c r="H655" s="1521">
        <v>1</v>
      </c>
      <c r="I655" s="1521">
        <v>1</v>
      </c>
      <c r="J655" s="1538">
        <v>2</v>
      </c>
      <c r="K655" s="1525"/>
      <c r="L655" s="1519">
        <v>13059001200</v>
      </c>
      <c r="M655" s="1520">
        <v>1</v>
      </c>
      <c r="N655" s="1520">
        <v>1</v>
      </c>
      <c r="O655" s="1520">
        <v>2</v>
      </c>
      <c r="P655" s="504" t="s">
        <v>950</v>
      </c>
      <c r="Q655" s="287"/>
      <c r="R655" s="168"/>
      <c r="S655" s="380"/>
      <c r="T655" s="473" t="s">
        <v>1138</v>
      </c>
      <c r="U655" s="473" t="s">
        <v>1863</v>
      </c>
      <c r="AA655" s="27"/>
      <c r="AB655" s="27"/>
      <c r="AC655" s="809"/>
      <c r="AD655" s="481"/>
    </row>
    <row r="656" spans="3:30" ht="10.5" customHeight="1">
      <c r="C656" s="1526" t="s">
        <v>4617</v>
      </c>
      <c r="D656" s="1523">
        <v>1</v>
      </c>
      <c r="E656" s="1523">
        <v>1</v>
      </c>
      <c r="F656" s="1524">
        <v>2</v>
      </c>
      <c r="G656" s="1537" t="s">
        <v>4617</v>
      </c>
      <c r="H656" s="1521">
        <v>1</v>
      </c>
      <c r="I656" s="1521">
        <v>1</v>
      </c>
      <c r="J656" s="1538">
        <v>2</v>
      </c>
      <c r="K656" s="1525"/>
      <c r="L656" s="1519">
        <v>13059001700</v>
      </c>
      <c r="M656" s="1520">
        <v>1</v>
      </c>
      <c r="N656" s="1520">
        <v>1</v>
      </c>
      <c r="O656" s="1520">
        <v>2</v>
      </c>
      <c r="P656" s="504" t="s">
        <v>952</v>
      </c>
      <c r="Q656" s="287"/>
      <c r="R656" s="168"/>
      <c r="S656" s="380"/>
      <c r="T656" s="505" t="s">
        <v>2663</v>
      </c>
      <c r="U656" s="505" t="s">
        <v>1699</v>
      </c>
      <c r="AA656" s="27"/>
      <c r="AB656" s="27"/>
      <c r="AC656" s="810"/>
      <c r="AD656" s="481"/>
    </row>
    <row r="657" spans="3:30" ht="10.5" customHeight="1">
      <c r="C657" s="1526" t="s">
        <v>4618</v>
      </c>
      <c r="D657" s="1523">
        <v>0</v>
      </c>
      <c r="E657" s="1523">
        <v>1</v>
      </c>
      <c r="F657" s="1524">
        <v>1</v>
      </c>
      <c r="G657" s="1537" t="s">
        <v>4618</v>
      </c>
      <c r="H657" s="1521">
        <v>0</v>
      </c>
      <c r="I657" s="1521">
        <v>0</v>
      </c>
      <c r="J657" s="1538">
        <v>0</v>
      </c>
      <c r="K657" s="1525"/>
      <c r="L657" s="1519">
        <v>13059001800</v>
      </c>
      <c r="M657" s="1520">
        <v>0</v>
      </c>
      <c r="N657" s="1520">
        <v>1</v>
      </c>
      <c r="O657" s="1520">
        <v>1</v>
      </c>
      <c r="P657" s="504" t="s">
        <v>2275</v>
      </c>
      <c r="Q657" s="287"/>
      <c r="R657" s="168"/>
      <c r="S657" s="380"/>
      <c r="T657" s="473" t="s">
        <v>1003</v>
      </c>
      <c r="U657" s="473" t="s">
        <v>1057</v>
      </c>
      <c r="AA657" s="27"/>
      <c r="AB657" s="27"/>
      <c r="AC657" s="809"/>
      <c r="AD657" s="481"/>
    </row>
    <row r="658" spans="3:30" ht="10.5" customHeight="1">
      <c r="C658" s="1526" t="s">
        <v>4619</v>
      </c>
      <c r="D658" s="1523">
        <v>0</v>
      </c>
      <c r="E658" s="1523">
        <v>0</v>
      </c>
      <c r="F658" s="1524">
        <v>0</v>
      </c>
      <c r="G658" s="1537" t="s">
        <v>4619</v>
      </c>
      <c r="H658" s="1521">
        <v>0</v>
      </c>
      <c r="I658" s="1521">
        <v>0</v>
      </c>
      <c r="J658" s="1538">
        <v>0</v>
      </c>
      <c r="K658" s="1525"/>
      <c r="L658" s="1519">
        <v>13059001900</v>
      </c>
      <c r="M658" s="1520">
        <v>0</v>
      </c>
      <c r="N658" s="1520">
        <v>0</v>
      </c>
      <c r="O658" s="1520">
        <v>0</v>
      </c>
      <c r="P658" s="504" t="s">
        <v>2408</v>
      </c>
      <c r="Q658" s="287"/>
      <c r="R658" s="168"/>
      <c r="S658" s="380"/>
      <c r="T658" s="473" t="s">
        <v>2164</v>
      </c>
      <c r="U658" s="473" t="s">
        <v>2074</v>
      </c>
      <c r="AA658" s="27"/>
      <c r="AB658" s="27"/>
      <c r="AC658" s="809"/>
      <c r="AD658" s="481"/>
    </row>
    <row r="659" spans="3:30" ht="10.5" customHeight="1">
      <c r="C659" s="1526" t="s">
        <v>4620</v>
      </c>
      <c r="D659" s="1523">
        <v>1</v>
      </c>
      <c r="E659" s="1523">
        <v>1</v>
      </c>
      <c r="F659" s="1524">
        <v>2</v>
      </c>
      <c r="G659" s="1537" t="s">
        <v>4620</v>
      </c>
      <c r="H659" s="1521">
        <v>1</v>
      </c>
      <c r="I659" s="1521">
        <v>1</v>
      </c>
      <c r="J659" s="1538">
        <v>2</v>
      </c>
      <c r="K659" s="1525"/>
      <c r="L659" s="1519">
        <v>13059002000</v>
      </c>
      <c r="M659" s="1520">
        <v>1</v>
      </c>
      <c r="N659" s="1520">
        <v>1</v>
      </c>
      <c r="O659" s="1520">
        <v>2</v>
      </c>
      <c r="P659" s="504" t="s">
        <v>1912</v>
      </c>
      <c r="Q659" s="287"/>
      <c r="R659" s="168"/>
      <c r="S659" s="380"/>
      <c r="T659" s="473" t="s">
        <v>2166</v>
      </c>
      <c r="U659" s="473" t="s">
        <v>628</v>
      </c>
      <c r="AA659" s="27"/>
      <c r="AB659" s="27"/>
      <c r="AC659" s="809"/>
      <c r="AD659" s="481"/>
    </row>
    <row r="660" spans="3:30" ht="10.5" customHeight="1">
      <c r="C660" s="1526" t="s">
        <v>4621</v>
      </c>
      <c r="D660" s="1523">
        <v>0</v>
      </c>
      <c r="E660" s="1523">
        <v>1</v>
      </c>
      <c r="F660" s="1524">
        <v>1</v>
      </c>
      <c r="G660" s="1537" t="s">
        <v>4621</v>
      </c>
      <c r="H660" s="1521">
        <v>0</v>
      </c>
      <c r="I660" s="1521" t="s">
        <v>4099</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4622</v>
      </c>
      <c r="D661" s="1523">
        <v>1</v>
      </c>
      <c r="E661" s="1523">
        <v>1</v>
      </c>
      <c r="F661" s="1524">
        <v>2</v>
      </c>
      <c r="G661" s="1537" t="s">
        <v>4622</v>
      </c>
      <c r="H661" s="1521">
        <v>1</v>
      </c>
      <c r="I661" s="1521" t="s">
        <v>4099</v>
      </c>
      <c r="J661" s="1538">
        <v>1</v>
      </c>
      <c r="K661" s="1525"/>
      <c r="L661" s="1519">
        <v>13059002200</v>
      </c>
      <c r="M661" s="1520">
        <v>1</v>
      </c>
      <c r="N661" s="1520">
        <v>1</v>
      </c>
      <c r="O661" s="1520">
        <v>2</v>
      </c>
      <c r="P661" s="504" t="s">
        <v>741</v>
      </c>
      <c r="Q661" s="287"/>
      <c r="R661" s="168"/>
      <c r="S661" s="380"/>
      <c r="T661" s="505" t="s">
        <v>2404</v>
      </c>
      <c r="U661" s="505" t="s">
        <v>1918</v>
      </c>
      <c r="AA661" s="27"/>
      <c r="AB661" s="27"/>
      <c r="AC661" s="810"/>
      <c r="AD661" s="481"/>
    </row>
    <row r="662" spans="3:30" ht="10.5" customHeight="1">
      <c r="C662" s="1526" t="s">
        <v>4623</v>
      </c>
      <c r="D662" s="1523">
        <v>0</v>
      </c>
      <c r="E662" s="1523">
        <v>0</v>
      </c>
      <c r="F662" s="1524">
        <v>0</v>
      </c>
      <c r="G662" s="1537" t="s">
        <v>4623</v>
      </c>
      <c r="H662" s="1521">
        <v>0</v>
      </c>
      <c r="I662" s="1521">
        <v>0</v>
      </c>
      <c r="J662" s="1538">
        <v>0</v>
      </c>
      <c r="K662" s="1525"/>
      <c r="L662" s="1519">
        <v>13059030100</v>
      </c>
      <c r="M662" s="1520">
        <v>0</v>
      </c>
      <c r="N662" s="1520">
        <v>0</v>
      </c>
      <c r="O662" s="1520">
        <v>0</v>
      </c>
      <c r="P662" s="504" t="s">
        <v>1410</v>
      </c>
      <c r="Q662" s="287"/>
      <c r="R662" s="168"/>
      <c r="S662" s="380"/>
      <c r="T662" s="473" t="s">
        <v>2071</v>
      </c>
      <c r="U662" s="473" t="s">
        <v>1160</v>
      </c>
      <c r="AA662" s="27"/>
      <c r="AB662" s="27"/>
      <c r="AC662" s="809"/>
      <c r="AD662" s="481"/>
    </row>
    <row r="663" spans="3:30" ht="10.5" customHeight="1">
      <c r="C663" s="1526" t="s">
        <v>4624</v>
      </c>
      <c r="D663" s="1523">
        <v>0</v>
      </c>
      <c r="E663" s="1523">
        <v>0</v>
      </c>
      <c r="F663" s="1524">
        <v>0</v>
      </c>
      <c r="G663" s="1537" t="s">
        <v>4624</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4625</v>
      </c>
      <c r="D664" s="1523">
        <v>0</v>
      </c>
      <c r="E664" s="1523">
        <v>0</v>
      </c>
      <c r="F664" s="1524">
        <v>0</v>
      </c>
      <c r="G664" s="1537" t="s">
        <v>4625</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4626</v>
      </c>
      <c r="D665" s="1523">
        <v>1</v>
      </c>
      <c r="E665" s="1523">
        <v>0</v>
      </c>
      <c r="F665" s="1524">
        <v>1</v>
      </c>
      <c r="G665" s="1537" t="s">
        <v>4626</v>
      </c>
      <c r="H665" s="1521">
        <v>1</v>
      </c>
      <c r="I665" s="1521">
        <v>1</v>
      </c>
      <c r="J665" s="1538">
        <v>2</v>
      </c>
      <c r="K665" s="1525"/>
      <c r="L665" s="1519">
        <v>13059130400</v>
      </c>
      <c r="M665" s="1520">
        <v>1</v>
      </c>
      <c r="N665" s="1520">
        <v>1</v>
      </c>
      <c r="O665" s="1520">
        <v>2</v>
      </c>
      <c r="P665" s="504" t="s">
        <v>1256</v>
      </c>
      <c r="Q665" s="287"/>
      <c r="R665" s="168"/>
      <c r="S665" s="380"/>
      <c r="T665" s="473" t="s">
        <v>1551</v>
      </c>
      <c r="U665" s="473" t="s">
        <v>2465</v>
      </c>
      <c r="AA665" s="27"/>
      <c r="AB665" s="27"/>
      <c r="AC665" s="809"/>
      <c r="AD665" s="481"/>
    </row>
    <row r="666" spans="3:30" ht="10.5" customHeight="1">
      <c r="C666" s="1526" t="s">
        <v>4627</v>
      </c>
      <c r="D666" s="1523">
        <v>0</v>
      </c>
      <c r="E666" s="1523">
        <v>0</v>
      </c>
      <c r="F666" s="1524">
        <v>0</v>
      </c>
      <c r="G666" s="1537" t="s">
        <v>4627</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4628</v>
      </c>
      <c r="D667" s="1523">
        <v>0</v>
      </c>
      <c r="E667" s="1523">
        <v>0</v>
      </c>
      <c r="F667" s="1524">
        <v>0</v>
      </c>
      <c r="G667" s="1537" t="s">
        <v>4628</v>
      </c>
      <c r="H667" s="1521">
        <v>0</v>
      </c>
      <c r="I667" s="1521">
        <v>0</v>
      </c>
      <c r="J667" s="1538">
        <v>0</v>
      </c>
      <c r="K667" s="1525"/>
      <c r="L667" s="1519">
        <v>13059130600</v>
      </c>
      <c r="M667" s="1520">
        <v>0</v>
      </c>
      <c r="N667" s="1520">
        <v>0</v>
      </c>
      <c r="O667" s="1520">
        <v>0</v>
      </c>
      <c r="P667" s="504" t="s">
        <v>1902</v>
      </c>
      <c r="Q667" s="287"/>
      <c r="R667" s="168"/>
      <c r="S667" s="380"/>
      <c r="T667" s="505" t="s">
        <v>1031</v>
      </c>
      <c r="U667" s="505" t="s">
        <v>1459</v>
      </c>
      <c r="AA667" s="27"/>
      <c r="AB667" s="27"/>
      <c r="AC667" s="810"/>
      <c r="AD667" s="481"/>
    </row>
    <row r="668" spans="3:30" ht="10.5" customHeight="1">
      <c r="C668" s="1526" t="s">
        <v>4629</v>
      </c>
      <c r="D668" s="1523">
        <v>1</v>
      </c>
      <c r="E668" s="1523">
        <v>1</v>
      </c>
      <c r="F668" s="1524">
        <v>2</v>
      </c>
      <c r="G668" s="1537" t="s">
        <v>4629</v>
      </c>
      <c r="H668" s="1521">
        <v>1</v>
      </c>
      <c r="I668" s="1521">
        <v>1</v>
      </c>
      <c r="J668" s="1538">
        <v>2</v>
      </c>
      <c r="K668" s="1525"/>
      <c r="L668" s="1519">
        <v>13059130700</v>
      </c>
      <c r="M668" s="1520">
        <v>1</v>
      </c>
      <c r="N668" s="1520">
        <v>1</v>
      </c>
      <c r="O668" s="1520">
        <v>2</v>
      </c>
      <c r="P668" s="504" t="s">
        <v>704</v>
      </c>
      <c r="Q668" s="287"/>
      <c r="R668" s="168"/>
      <c r="S668" s="380"/>
      <c r="T668" s="473" t="s">
        <v>2307</v>
      </c>
      <c r="U668" s="473" t="s">
        <v>99</v>
      </c>
      <c r="AA668" s="27"/>
      <c r="AB668" s="27"/>
      <c r="AC668" s="809"/>
      <c r="AD668" s="481"/>
    </row>
    <row r="669" spans="3:30" ht="10.5" customHeight="1">
      <c r="C669" s="1526" t="s">
        <v>4630</v>
      </c>
      <c r="D669" s="1523">
        <v>0</v>
      </c>
      <c r="E669" s="1523">
        <v>0</v>
      </c>
      <c r="F669" s="1524">
        <v>0</v>
      </c>
      <c r="G669" s="1537" t="s">
        <v>4630</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4631</v>
      </c>
      <c r="D670" s="1523">
        <v>0</v>
      </c>
      <c r="E670" s="1523">
        <v>0</v>
      </c>
      <c r="F670" s="1524">
        <v>0</v>
      </c>
      <c r="G670" s="1537" t="s">
        <v>4631</v>
      </c>
      <c r="H670" s="1521">
        <v>0</v>
      </c>
      <c r="I670" s="1521">
        <v>0</v>
      </c>
      <c r="J670" s="1538">
        <v>0</v>
      </c>
      <c r="K670" s="1525"/>
      <c r="L670" s="1519">
        <v>13059140400</v>
      </c>
      <c r="M670" s="1520">
        <v>0</v>
      </c>
      <c r="N670" s="1520">
        <v>0</v>
      </c>
      <c r="O670" s="1520">
        <v>0</v>
      </c>
      <c r="P670" s="504" t="s">
        <v>1794</v>
      </c>
      <c r="Q670" s="287"/>
      <c r="R670" s="168"/>
      <c r="S670" s="380"/>
      <c r="T670" s="473" t="s">
        <v>1255</v>
      </c>
      <c r="U670" s="473" t="s">
        <v>1821</v>
      </c>
      <c r="AA670" s="27"/>
      <c r="AB670" s="27"/>
      <c r="AC670" s="809"/>
      <c r="AD670" s="481"/>
    </row>
    <row r="671" spans="3:30" ht="10.5" customHeight="1">
      <c r="C671" s="1526" t="s">
        <v>4632</v>
      </c>
      <c r="D671" s="1523">
        <v>0</v>
      </c>
      <c r="E671" s="1523">
        <v>0</v>
      </c>
      <c r="F671" s="1524">
        <v>0</v>
      </c>
      <c r="G671" s="1537" t="s">
        <v>4632</v>
      </c>
      <c r="H671" s="1521">
        <v>0</v>
      </c>
      <c r="I671" s="1521">
        <v>0</v>
      </c>
      <c r="J671" s="1538">
        <v>0</v>
      </c>
      <c r="K671" s="1525"/>
      <c r="L671" s="1519">
        <v>13059140500</v>
      </c>
      <c r="M671" s="1520">
        <v>0</v>
      </c>
      <c r="N671" s="1520">
        <v>0</v>
      </c>
      <c r="O671" s="1520">
        <v>0</v>
      </c>
      <c r="P671" s="504" t="s">
        <v>1795</v>
      </c>
      <c r="Q671" s="287"/>
      <c r="R671" s="168"/>
      <c r="S671" s="380"/>
      <c r="T671" s="473" t="s">
        <v>160</v>
      </c>
      <c r="U671" s="473" t="s">
        <v>1280</v>
      </c>
      <c r="AA671" s="27"/>
      <c r="AB671" s="27"/>
      <c r="AC671" s="809"/>
      <c r="AD671" s="481"/>
    </row>
    <row r="672" spans="3:30" ht="10.5" customHeight="1">
      <c r="C672" s="1526" t="s">
        <v>4633</v>
      </c>
      <c r="D672" s="1523">
        <v>0</v>
      </c>
      <c r="E672" s="1523">
        <v>0</v>
      </c>
      <c r="F672" s="1524">
        <v>0</v>
      </c>
      <c r="G672" s="1537" t="s">
        <v>4633</v>
      </c>
      <c r="H672" s="1521">
        <v>0</v>
      </c>
      <c r="I672" s="1521">
        <v>0</v>
      </c>
      <c r="J672" s="1538">
        <v>0</v>
      </c>
      <c r="K672" s="1525"/>
      <c r="L672" s="1519">
        <v>13059140600</v>
      </c>
      <c r="M672" s="1520">
        <v>0</v>
      </c>
      <c r="N672" s="1520">
        <v>0</v>
      </c>
      <c r="O672" s="1520">
        <v>0</v>
      </c>
      <c r="P672" s="504" t="s">
        <v>1797</v>
      </c>
      <c r="Q672" s="287"/>
      <c r="R672" s="168"/>
      <c r="S672" s="380"/>
      <c r="T672" s="473" t="s">
        <v>951</v>
      </c>
      <c r="U672" s="473" t="s">
        <v>1592</v>
      </c>
      <c r="AA672" s="27"/>
      <c r="AB672" s="27"/>
      <c r="AC672" s="809"/>
      <c r="AD672" s="481"/>
    </row>
    <row r="673" spans="3:30" ht="10.5" customHeight="1">
      <c r="C673" s="1526" t="s">
        <v>4634</v>
      </c>
      <c r="D673" s="1523">
        <v>1</v>
      </c>
      <c r="E673" s="1523">
        <v>0</v>
      </c>
      <c r="F673" s="1524">
        <v>1</v>
      </c>
      <c r="G673" s="1537" t="s">
        <v>4634</v>
      </c>
      <c r="H673" s="1521">
        <v>1</v>
      </c>
      <c r="I673" s="1521">
        <v>1</v>
      </c>
      <c r="J673" s="1538">
        <v>2</v>
      </c>
      <c r="K673" s="1525"/>
      <c r="L673" s="1519">
        <v>13059150300</v>
      </c>
      <c r="M673" s="1520">
        <v>1</v>
      </c>
      <c r="N673" s="1520">
        <v>1</v>
      </c>
      <c r="O673" s="1520">
        <v>2</v>
      </c>
      <c r="P673" s="504" t="s">
        <v>1799</v>
      </c>
      <c r="Q673" s="287"/>
      <c r="R673" s="168"/>
      <c r="S673" s="380"/>
      <c r="T673" s="473" t="s">
        <v>2664</v>
      </c>
      <c r="U673" s="473" t="s">
        <v>315</v>
      </c>
      <c r="AA673" s="27"/>
      <c r="AB673" s="27"/>
      <c r="AC673" s="809"/>
      <c r="AD673" s="481"/>
    </row>
    <row r="674" spans="3:30" ht="10.5" customHeight="1">
      <c r="C674" s="1526" t="s">
        <v>4635</v>
      </c>
      <c r="D674" s="1523">
        <v>0</v>
      </c>
      <c r="E674" s="1523">
        <v>1</v>
      </c>
      <c r="F674" s="1524">
        <v>1</v>
      </c>
      <c r="G674" s="1537" t="s">
        <v>4635</v>
      </c>
      <c r="H674" s="1521">
        <v>0</v>
      </c>
      <c r="I674" s="1521" t="s">
        <v>4099</v>
      </c>
      <c r="J674" s="1538">
        <v>0</v>
      </c>
      <c r="K674" s="1525"/>
      <c r="L674" s="1519">
        <v>13059150400</v>
      </c>
      <c r="M674" s="1520">
        <v>0</v>
      </c>
      <c r="N674" s="1520">
        <v>1</v>
      </c>
      <c r="O674" s="1520">
        <v>1</v>
      </c>
      <c r="P674" s="504" t="s">
        <v>1801</v>
      </c>
      <c r="Q674" s="287"/>
      <c r="R674" s="168"/>
      <c r="S674" s="380"/>
      <c r="T674" s="473" t="s">
        <v>2665</v>
      </c>
      <c r="U674" s="473" t="s">
        <v>107</v>
      </c>
      <c r="AA674" s="27"/>
      <c r="AB674" s="27"/>
      <c r="AC674" s="809"/>
      <c r="AD674" s="481"/>
    </row>
    <row r="675" spans="3:30" ht="10.5" customHeight="1">
      <c r="C675" s="1526" t="s">
        <v>4636</v>
      </c>
      <c r="D675" s="1523">
        <v>0</v>
      </c>
      <c r="E675" s="1523">
        <v>1</v>
      </c>
      <c r="F675" s="1524">
        <v>1</v>
      </c>
      <c r="G675" s="1537" t="s">
        <v>4636</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4637</v>
      </c>
      <c r="D676" s="1523">
        <v>0</v>
      </c>
      <c r="E676" s="1523">
        <v>0</v>
      </c>
      <c r="F676" s="1524">
        <v>0</v>
      </c>
      <c r="G676" s="1537" t="s">
        <v>4637</v>
      </c>
      <c r="H676" s="1521">
        <v>0</v>
      </c>
      <c r="I676" s="1521">
        <v>1</v>
      </c>
      <c r="J676" s="1538">
        <v>1</v>
      </c>
      <c r="K676" s="1525"/>
      <c r="L676" s="1519">
        <v>13059150600</v>
      </c>
      <c r="M676" s="1520">
        <v>0</v>
      </c>
      <c r="N676" s="1520">
        <v>1</v>
      </c>
      <c r="O676" s="1520">
        <v>1</v>
      </c>
      <c r="P676" s="504" t="s">
        <v>2418</v>
      </c>
      <c r="Q676" s="287"/>
      <c r="R676" s="168"/>
      <c r="S676" s="380"/>
      <c r="T676" s="473" t="s">
        <v>2409</v>
      </c>
      <c r="U676" s="473" t="s">
        <v>837</v>
      </c>
      <c r="AA676" s="27"/>
      <c r="AB676" s="27"/>
      <c r="AC676" s="809"/>
      <c r="AD676" s="481"/>
    </row>
    <row r="677" spans="3:30" ht="10.5" customHeight="1">
      <c r="C677" s="1526" t="s">
        <v>4638</v>
      </c>
      <c r="D677" s="1523">
        <v>1</v>
      </c>
      <c r="E677" s="1523">
        <v>0</v>
      </c>
      <c r="F677" s="1524">
        <v>1</v>
      </c>
      <c r="G677" s="1537" t="s">
        <v>4638</v>
      </c>
      <c r="H677" s="1521">
        <v>0</v>
      </c>
      <c r="I677" s="1521">
        <v>1</v>
      </c>
      <c r="J677" s="1538">
        <v>1</v>
      </c>
      <c r="K677" s="1525"/>
      <c r="L677" s="1519">
        <v>13059150700</v>
      </c>
      <c r="M677" s="1520">
        <v>1</v>
      </c>
      <c r="N677" s="1520">
        <v>1</v>
      </c>
      <c r="O677" s="1520">
        <v>1</v>
      </c>
      <c r="P677" s="504" t="s">
        <v>2420</v>
      </c>
      <c r="Q677" s="287"/>
      <c r="R677" s="168"/>
      <c r="S677" s="380"/>
      <c r="T677" s="473" t="s">
        <v>1032</v>
      </c>
      <c r="U677" s="473" t="s">
        <v>598</v>
      </c>
      <c r="AA677" s="27"/>
      <c r="AB677" s="27"/>
      <c r="AC677" s="809"/>
      <c r="AD677" s="481"/>
    </row>
    <row r="678" spans="3:30" ht="10.5" customHeight="1">
      <c r="C678" s="1526" t="s">
        <v>4639</v>
      </c>
      <c r="D678" s="1523">
        <v>1</v>
      </c>
      <c r="E678" s="1523">
        <v>1</v>
      </c>
      <c r="F678" s="1524">
        <v>2</v>
      </c>
      <c r="G678" s="1537" t="s">
        <v>4639</v>
      </c>
      <c r="H678" s="1521">
        <v>1</v>
      </c>
      <c r="I678" s="1521">
        <v>1</v>
      </c>
      <c r="J678" s="1538">
        <v>2</v>
      </c>
      <c r="K678" s="1525"/>
      <c r="L678" s="1519">
        <v>13059150800</v>
      </c>
      <c r="M678" s="1520">
        <v>1</v>
      </c>
      <c r="N678" s="1520">
        <v>1</v>
      </c>
      <c r="O678" s="1520">
        <v>2</v>
      </c>
      <c r="P678" s="504" t="s">
        <v>1112</v>
      </c>
      <c r="Q678" s="287"/>
      <c r="R678" s="168"/>
      <c r="S678" s="380"/>
      <c r="T678" s="505" t="s">
        <v>2074</v>
      </c>
      <c r="U678" s="505" t="s">
        <v>101</v>
      </c>
      <c r="AA678" s="27"/>
      <c r="AB678" s="27"/>
      <c r="AC678" s="810"/>
      <c r="AD678" s="481"/>
    </row>
    <row r="679" spans="3:30" ht="10.5" customHeight="1">
      <c r="C679" s="1526" t="s">
        <v>4640</v>
      </c>
      <c r="D679" s="1523">
        <v>1</v>
      </c>
      <c r="E679" s="1523">
        <v>1</v>
      </c>
      <c r="F679" s="1524">
        <v>2</v>
      </c>
      <c r="G679" s="1537" t="s">
        <v>4640</v>
      </c>
      <c r="H679" s="1521">
        <v>1</v>
      </c>
      <c r="I679" s="1521">
        <v>1</v>
      </c>
      <c r="J679" s="1538">
        <v>2</v>
      </c>
      <c r="K679" s="1525"/>
      <c r="L679" s="1519">
        <v>13059150900</v>
      </c>
      <c r="M679" s="1520">
        <v>1</v>
      </c>
      <c r="N679" s="1520">
        <v>1</v>
      </c>
      <c r="O679" s="1520">
        <v>2</v>
      </c>
      <c r="P679" s="504" t="s">
        <v>2399</v>
      </c>
      <c r="Q679" s="287"/>
      <c r="R679" s="168"/>
      <c r="S679" s="380"/>
      <c r="T679" s="473" t="s">
        <v>1411</v>
      </c>
      <c r="U679" s="473" t="s">
        <v>2414</v>
      </c>
      <c r="AA679" s="27"/>
      <c r="AB679" s="27"/>
      <c r="AC679" s="809"/>
      <c r="AD679" s="481"/>
    </row>
    <row r="680" spans="3:30" ht="10.5" customHeight="1">
      <c r="C680" s="1526" t="s">
        <v>4641</v>
      </c>
      <c r="D680" s="1523">
        <v>0</v>
      </c>
      <c r="E680" s="1523">
        <v>0</v>
      </c>
      <c r="F680" s="1524">
        <v>0</v>
      </c>
      <c r="G680" s="1537" t="s">
        <v>4641</v>
      </c>
      <c r="H680" s="1521">
        <v>0</v>
      </c>
      <c r="I680" s="1521">
        <v>0</v>
      </c>
      <c r="J680" s="1538">
        <v>0</v>
      </c>
      <c r="K680" s="1525"/>
      <c r="L680" s="1519">
        <v>13061960300</v>
      </c>
      <c r="M680" s="1520">
        <v>0</v>
      </c>
      <c r="N680" s="1520">
        <v>0</v>
      </c>
      <c r="O680" s="1520">
        <v>0</v>
      </c>
      <c r="P680" s="504" t="s">
        <v>2401</v>
      </c>
      <c r="Q680" s="287"/>
      <c r="R680" s="168"/>
      <c r="S680" s="380"/>
      <c r="T680" s="473" t="s">
        <v>2666</v>
      </c>
      <c r="U680" s="473" t="s">
        <v>1863</v>
      </c>
      <c r="AA680" s="27"/>
      <c r="AB680" s="27"/>
      <c r="AC680" s="809"/>
      <c r="AD680" s="481"/>
    </row>
    <row r="681" spans="3:30" ht="10.5" customHeight="1">
      <c r="C681" s="1526" t="s">
        <v>4642</v>
      </c>
      <c r="D681" s="1523">
        <v>0</v>
      </c>
      <c r="E681" s="1523">
        <v>0</v>
      </c>
      <c r="F681" s="1524">
        <v>0</v>
      </c>
      <c r="G681" s="1537" t="s">
        <v>4642</v>
      </c>
      <c r="H681" s="1521">
        <v>0</v>
      </c>
      <c r="I681" s="1521" t="s">
        <v>4099</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4643</v>
      </c>
      <c r="D682" s="1523">
        <v>0</v>
      </c>
      <c r="E682" s="1523">
        <v>0</v>
      </c>
      <c r="F682" s="1524">
        <v>0</v>
      </c>
      <c r="G682" s="1537" t="s">
        <v>4643</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4644</v>
      </c>
      <c r="D683" s="1523">
        <v>0</v>
      </c>
      <c r="E683" s="1523">
        <v>0</v>
      </c>
      <c r="F683" s="1524">
        <v>0</v>
      </c>
      <c r="G683" s="1537" t="s">
        <v>4644</v>
      </c>
      <c r="H683" s="1521">
        <v>0</v>
      </c>
      <c r="I683" s="1521">
        <v>0</v>
      </c>
      <c r="J683" s="1538">
        <v>0</v>
      </c>
      <c r="K683" s="1525"/>
      <c r="L683" s="1519">
        <v>13063040204</v>
      </c>
      <c r="M683" s="1520">
        <v>0</v>
      </c>
      <c r="N683" s="1520">
        <v>0</v>
      </c>
      <c r="O683" s="1520">
        <v>0</v>
      </c>
      <c r="P683" s="504" t="s">
        <v>2009</v>
      </c>
      <c r="Q683" s="287"/>
      <c r="R683" s="168"/>
      <c r="S683" s="380"/>
      <c r="T683" s="473" t="s">
        <v>1257</v>
      </c>
      <c r="U683" s="473" t="s">
        <v>2087</v>
      </c>
      <c r="AA683" s="27"/>
      <c r="AB683" s="27"/>
      <c r="AC683" s="809"/>
      <c r="AD683" s="481"/>
    </row>
    <row r="684" spans="3:30" ht="10.5" customHeight="1">
      <c r="C684" s="1526" t="s">
        <v>4645</v>
      </c>
      <c r="D684" s="1523">
        <v>0</v>
      </c>
      <c r="E684" s="1523">
        <v>0</v>
      </c>
      <c r="F684" s="1524">
        <v>0</v>
      </c>
      <c r="G684" s="1537" t="s">
        <v>4645</v>
      </c>
      <c r="H684" s="1521">
        <v>0</v>
      </c>
      <c r="I684" s="1521">
        <v>0</v>
      </c>
      <c r="J684" s="1538">
        <v>0</v>
      </c>
      <c r="K684" s="1525"/>
      <c r="L684" s="1519">
        <v>13063040302</v>
      </c>
      <c r="M684" s="1520">
        <v>0</v>
      </c>
      <c r="N684" s="1520">
        <v>0</v>
      </c>
      <c r="O684" s="1520">
        <v>0</v>
      </c>
      <c r="P684" s="504" t="s">
        <v>2010</v>
      </c>
      <c r="Q684" s="287"/>
      <c r="R684" s="168"/>
      <c r="S684" s="380"/>
      <c r="T684" s="473" t="s">
        <v>1259</v>
      </c>
      <c r="U684" s="473" t="s">
        <v>2414</v>
      </c>
      <c r="AA684" s="27"/>
      <c r="AB684" s="27"/>
      <c r="AC684" s="809"/>
      <c r="AD684" s="481"/>
    </row>
    <row r="685" spans="3:30" ht="10.5" customHeight="1">
      <c r="C685" s="1526" t="s">
        <v>4646</v>
      </c>
      <c r="D685" s="1523">
        <v>0</v>
      </c>
      <c r="E685" s="1523">
        <v>0</v>
      </c>
      <c r="F685" s="1524">
        <v>0</v>
      </c>
      <c r="G685" s="1537" t="s">
        <v>4646</v>
      </c>
      <c r="H685" s="1521">
        <v>0</v>
      </c>
      <c r="I685" s="1521">
        <v>0</v>
      </c>
      <c r="J685" s="1538">
        <v>0</v>
      </c>
      <c r="K685" s="1525"/>
      <c r="L685" s="1519">
        <v>13063040303</v>
      </c>
      <c r="M685" s="1520">
        <v>0</v>
      </c>
      <c r="N685" s="1520">
        <v>0</v>
      </c>
      <c r="O685" s="1520">
        <v>0</v>
      </c>
      <c r="P685" s="504" t="s">
        <v>1556</v>
      </c>
      <c r="Q685" s="287"/>
      <c r="R685" s="168"/>
      <c r="S685" s="380"/>
      <c r="T685" s="473" t="s">
        <v>1903</v>
      </c>
      <c r="U685" s="473" t="s">
        <v>1067</v>
      </c>
      <c r="AA685" s="27"/>
      <c r="AB685" s="27"/>
      <c r="AC685" s="809"/>
      <c r="AD685" s="481"/>
    </row>
    <row r="686" spans="3:30" ht="10.5" customHeight="1">
      <c r="C686" s="1526" t="s">
        <v>4647</v>
      </c>
      <c r="D686" s="1523">
        <v>0</v>
      </c>
      <c r="E686" s="1523">
        <v>0</v>
      </c>
      <c r="F686" s="1524">
        <v>0</v>
      </c>
      <c r="G686" s="1537" t="s">
        <v>4647</v>
      </c>
      <c r="H686" s="1521">
        <v>0</v>
      </c>
      <c r="I686" s="1521" t="s">
        <v>4099</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4648</v>
      </c>
      <c r="D687" s="1523">
        <v>0</v>
      </c>
      <c r="E687" s="1523">
        <v>0</v>
      </c>
      <c r="F687" s="1524">
        <v>0</v>
      </c>
      <c r="G687" s="1537" t="s">
        <v>4648</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4649</v>
      </c>
      <c r="D688" s="1523">
        <v>0</v>
      </c>
      <c r="E688" s="1523">
        <v>0</v>
      </c>
      <c r="F688" s="1524">
        <v>0</v>
      </c>
      <c r="G688" s="1537" t="s">
        <v>4649</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4650</v>
      </c>
      <c r="D689" s="1523">
        <v>0</v>
      </c>
      <c r="E689" s="1523">
        <v>0</v>
      </c>
      <c r="F689" s="1524">
        <v>0</v>
      </c>
      <c r="G689" s="1537" t="s">
        <v>4650</v>
      </c>
      <c r="H689" s="1521">
        <v>0</v>
      </c>
      <c r="I689" s="1521">
        <v>0</v>
      </c>
      <c r="J689" s="1538">
        <v>0</v>
      </c>
      <c r="K689" s="1525"/>
      <c r="L689" s="1519">
        <v>13063040407</v>
      </c>
      <c r="M689" s="1520">
        <v>0</v>
      </c>
      <c r="N689" s="1520">
        <v>0</v>
      </c>
      <c r="O689" s="1520">
        <v>0</v>
      </c>
      <c r="P689" s="504" t="s">
        <v>905</v>
      </c>
      <c r="Q689" s="287"/>
      <c r="R689" s="168"/>
      <c r="S689" s="380"/>
      <c r="T689" s="473" t="s">
        <v>1796</v>
      </c>
      <c r="U689" s="473" t="s">
        <v>1065</v>
      </c>
      <c r="AA689" s="27"/>
      <c r="AB689" s="27"/>
      <c r="AC689" s="809"/>
      <c r="AD689" s="481"/>
    </row>
    <row r="690" spans="3:30" ht="10.5" customHeight="1">
      <c r="C690" s="1526" t="s">
        <v>4651</v>
      </c>
      <c r="D690" s="1523">
        <v>0</v>
      </c>
      <c r="E690" s="1523">
        <v>0</v>
      </c>
      <c r="F690" s="1524">
        <v>0</v>
      </c>
      <c r="G690" s="1537" t="s">
        <v>4651</v>
      </c>
      <c r="H690" s="1521">
        <v>0</v>
      </c>
      <c r="I690" s="1521">
        <v>0</v>
      </c>
      <c r="J690" s="1538">
        <v>0</v>
      </c>
      <c r="K690" s="1525"/>
      <c r="L690" s="1519">
        <v>13063040408</v>
      </c>
      <c r="M690" s="1520">
        <v>0</v>
      </c>
      <c r="N690" s="1520">
        <v>0</v>
      </c>
      <c r="O690" s="1520">
        <v>0</v>
      </c>
      <c r="P690" s="504" t="s">
        <v>2387</v>
      </c>
      <c r="Q690" s="287"/>
      <c r="R690" s="168"/>
      <c r="S690" s="380"/>
      <c r="T690" s="505" t="s">
        <v>1798</v>
      </c>
      <c r="U690" s="505" t="s">
        <v>1399</v>
      </c>
      <c r="AA690" s="27"/>
      <c r="AB690" s="27"/>
      <c r="AC690" s="810"/>
      <c r="AD690" s="481"/>
    </row>
    <row r="691" spans="3:30" ht="10.5" customHeight="1">
      <c r="C691" s="1526" t="s">
        <v>4652</v>
      </c>
      <c r="D691" s="1523">
        <v>0</v>
      </c>
      <c r="E691" s="1523">
        <v>0</v>
      </c>
      <c r="F691" s="1524">
        <v>0</v>
      </c>
      <c r="G691" s="1537" t="s">
        <v>4652</v>
      </c>
      <c r="H691" s="1521">
        <v>1</v>
      </c>
      <c r="I691" s="1521" t="s">
        <v>4099</v>
      </c>
      <c r="J691" s="1538">
        <v>1</v>
      </c>
      <c r="K691" s="1525"/>
      <c r="L691" s="1519">
        <v>13063040409</v>
      </c>
      <c r="M691" s="1520">
        <v>1</v>
      </c>
      <c r="N691" s="1520">
        <v>0</v>
      </c>
      <c r="O691" s="1520">
        <v>1</v>
      </c>
      <c r="P691" s="504" t="s">
        <v>2389</v>
      </c>
      <c r="Q691" s="287"/>
      <c r="R691" s="168"/>
      <c r="S691" s="380"/>
      <c r="T691" s="505" t="s">
        <v>1800</v>
      </c>
      <c r="U691" s="505" t="s">
        <v>2375</v>
      </c>
      <c r="AA691" s="27"/>
      <c r="AB691" s="27"/>
      <c r="AC691" s="810"/>
      <c r="AD691" s="481"/>
    </row>
    <row r="692" spans="3:30" ht="10.5" customHeight="1">
      <c r="C692" s="1526" t="s">
        <v>4653</v>
      </c>
      <c r="D692" s="1523">
        <v>0</v>
      </c>
      <c r="E692" s="1523">
        <v>0</v>
      </c>
      <c r="F692" s="1524">
        <v>0</v>
      </c>
      <c r="G692" s="1537" t="s">
        <v>4653</v>
      </c>
      <c r="H692" s="1521">
        <v>0</v>
      </c>
      <c r="I692" s="1521">
        <v>0</v>
      </c>
      <c r="J692" s="1538">
        <v>0</v>
      </c>
      <c r="K692" s="1525"/>
      <c r="L692" s="1519">
        <v>13063040410</v>
      </c>
      <c r="M692" s="1520">
        <v>0</v>
      </c>
      <c r="N692" s="1520">
        <v>0</v>
      </c>
      <c r="O692" s="1520">
        <v>0</v>
      </c>
      <c r="P692" s="504" t="s">
        <v>2390</v>
      </c>
      <c r="Q692" s="287"/>
      <c r="R692" s="168"/>
      <c r="S692" s="380"/>
      <c r="T692" s="473" t="s">
        <v>1802</v>
      </c>
      <c r="U692" s="473" t="s">
        <v>114</v>
      </c>
      <c r="AA692" s="27"/>
      <c r="AB692" s="27"/>
      <c r="AC692" s="809"/>
      <c r="AD692" s="481"/>
    </row>
    <row r="693" spans="3:30" ht="10.5" customHeight="1">
      <c r="C693" s="1526" t="s">
        <v>4654</v>
      </c>
      <c r="D693" s="1523">
        <v>1</v>
      </c>
      <c r="E693" s="1523">
        <v>0</v>
      </c>
      <c r="F693" s="1524">
        <v>1</v>
      </c>
      <c r="G693" s="1537" t="s">
        <v>4654</v>
      </c>
      <c r="H693" s="1521">
        <v>1</v>
      </c>
      <c r="I693" s="1521">
        <v>1</v>
      </c>
      <c r="J693" s="1538">
        <v>2</v>
      </c>
      <c r="K693" s="1525"/>
      <c r="L693" s="1519">
        <v>13063040411</v>
      </c>
      <c r="M693" s="1520">
        <v>1</v>
      </c>
      <c r="N693" s="1520">
        <v>1</v>
      </c>
      <c r="O693" s="1520">
        <v>2</v>
      </c>
      <c r="P693" s="504" t="s">
        <v>1813</v>
      </c>
      <c r="Q693" s="287"/>
      <c r="R693" s="168"/>
      <c r="S693" s="380"/>
      <c r="T693" s="473" t="s">
        <v>480</v>
      </c>
      <c r="U693" s="473" t="s">
        <v>1919</v>
      </c>
      <c r="AA693" s="27"/>
      <c r="AB693" s="27"/>
      <c r="AC693" s="809"/>
      <c r="AD693" s="481"/>
    </row>
    <row r="694" spans="3:30" ht="10.5" customHeight="1">
      <c r="C694" s="1526" t="s">
        <v>4655</v>
      </c>
      <c r="D694" s="1523">
        <v>0</v>
      </c>
      <c r="E694" s="1523">
        <v>0</v>
      </c>
      <c r="F694" s="1524">
        <v>0</v>
      </c>
      <c r="G694" s="1537" t="s">
        <v>4655</v>
      </c>
      <c r="H694" s="1521">
        <v>0</v>
      </c>
      <c r="I694" s="1521">
        <v>0</v>
      </c>
      <c r="J694" s="1538">
        <v>0</v>
      </c>
      <c r="K694" s="1525"/>
      <c r="L694" s="1519">
        <v>13063040412</v>
      </c>
      <c r="M694" s="1520">
        <v>0</v>
      </c>
      <c r="N694" s="1520">
        <v>0</v>
      </c>
      <c r="O694" s="1520">
        <v>0</v>
      </c>
      <c r="P694" s="504" t="s">
        <v>1814</v>
      </c>
      <c r="Q694" s="287"/>
      <c r="R694" s="168"/>
      <c r="S694" s="380"/>
      <c r="T694" s="473" t="s">
        <v>2419</v>
      </c>
      <c r="U694" s="473" t="s">
        <v>1825</v>
      </c>
      <c r="AA694" s="27"/>
      <c r="AB694" s="27"/>
      <c r="AC694" s="809"/>
      <c r="AD694" s="481"/>
    </row>
    <row r="695" spans="3:30" ht="10.5" customHeight="1">
      <c r="C695" s="1526" t="s">
        <v>4656</v>
      </c>
      <c r="D695" s="1523">
        <v>0</v>
      </c>
      <c r="E695" s="1523">
        <v>0</v>
      </c>
      <c r="F695" s="1524">
        <v>0</v>
      </c>
      <c r="G695" s="1537" t="s">
        <v>4656</v>
      </c>
      <c r="H695" s="1521">
        <v>0</v>
      </c>
      <c r="I695" s="1521">
        <v>0</v>
      </c>
      <c r="J695" s="1538">
        <v>0</v>
      </c>
      <c r="K695" s="1525"/>
      <c r="L695" s="1519">
        <v>13063040413</v>
      </c>
      <c r="M695" s="1520">
        <v>0</v>
      </c>
      <c r="N695" s="1520">
        <v>0</v>
      </c>
      <c r="O695" s="1520">
        <v>0</v>
      </c>
      <c r="P695" s="504" t="s">
        <v>1816</v>
      </c>
      <c r="Q695" s="287"/>
      <c r="R695" s="168"/>
      <c r="S695" s="380"/>
      <c r="T695" s="473" t="s">
        <v>3943</v>
      </c>
      <c r="U695" s="473" t="s">
        <v>1160</v>
      </c>
      <c r="AA695" s="27"/>
      <c r="AB695" s="27"/>
      <c r="AC695" s="809"/>
      <c r="AD695" s="481"/>
    </row>
    <row r="696" spans="3:30" ht="10.5" customHeight="1">
      <c r="C696" s="1526" t="s">
        <v>4657</v>
      </c>
      <c r="D696" s="1523">
        <v>0</v>
      </c>
      <c r="E696" s="1523">
        <v>0</v>
      </c>
      <c r="F696" s="1524">
        <v>0</v>
      </c>
      <c r="G696" s="1537" t="s">
        <v>4657</v>
      </c>
      <c r="H696" s="1521">
        <v>0</v>
      </c>
      <c r="I696" s="1521">
        <v>0</v>
      </c>
      <c r="J696" s="1538">
        <v>0</v>
      </c>
      <c r="K696" s="1525"/>
      <c r="L696" s="1519">
        <v>13063040414</v>
      </c>
      <c r="M696" s="1520">
        <v>0</v>
      </c>
      <c r="N696" s="1520">
        <v>0</v>
      </c>
      <c r="O696" s="1520">
        <v>0</v>
      </c>
      <c r="P696" s="504" t="s">
        <v>613</v>
      </c>
      <c r="Q696" s="287"/>
      <c r="R696" s="168"/>
      <c r="S696" s="380"/>
      <c r="T696" s="473" t="s">
        <v>2421</v>
      </c>
      <c r="U696" s="473" t="s">
        <v>2412</v>
      </c>
      <c r="AA696" s="27"/>
      <c r="AB696" s="27"/>
      <c r="AC696" s="809"/>
      <c r="AD696" s="481"/>
    </row>
    <row r="697" spans="3:30" ht="10.5" customHeight="1">
      <c r="C697" s="1526" t="s">
        <v>4658</v>
      </c>
      <c r="D697" s="1523">
        <v>0</v>
      </c>
      <c r="E697" s="1523">
        <v>0</v>
      </c>
      <c r="F697" s="1524">
        <v>0</v>
      </c>
      <c r="G697" s="1537" t="s">
        <v>4658</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4659</v>
      </c>
      <c r="D698" s="1523">
        <v>0</v>
      </c>
      <c r="E698" s="1523">
        <v>0</v>
      </c>
      <c r="F698" s="1524">
        <v>0</v>
      </c>
      <c r="G698" s="1537" t="s">
        <v>4659</v>
      </c>
      <c r="H698" s="1521">
        <v>0</v>
      </c>
      <c r="I698" s="1521">
        <v>0</v>
      </c>
      <c r="J698" s="1538">
        <v>0</v>
      </c>
      <c r="K698" s="1525"/>
      <c r="L698" s="1519">
        <v>13063040416</v>
      </c>
      <c r="M698" s="1520">
        <v>0</v>
      </c>
      <c r="N698" s="1520">
        <v>0</v>
      </c>
      <c r="O698" s="1520">
        <v>0</v>
      </c>
      <c r="P698" s="504" t="s">
        <v>616</v>
      </c>
      <c r="Q698" s="287"/>
      <c r="R698" s="168"/>
      <c r="S698" s="380"/>
      <c r="T698" s="473" t="s">
        <v>2400</v>
      </c>
      <c r="U698" s="473" t="s">
        <v>843</v>
      </c>
      <c r="AA698" s="27"/>
      <c r="AB698" s="27"/>
      <c r="AC698" s="809"/>
      <c r="AD698" s="481"/>
    </row>
    <row r="699" spans="3:30" ht="10.5" customHeight="1">
      <c r="C699" s="1526" t="s">
        <v>4660</v>
      </c>
      <c r="D699" s="1523">
        <v>0</v>
      </c>
      <c r="E699" s="1523">
        <v>0</v>
      </c>
      <c r="F699" s="1524">
        <v>0</v>
      </c>
      <c r="G699" s="1537" t="s">
        <v>4660</v>
      </c>
      <c r="H699" s="1521">
        <v>0</v>
      </c>
      <c r="I699" s="1521">
        <v>0</v>
      </c>
      <c r="J699" s="1538">
        <v>0</v>
      </c>
      <c r="K699" s="1525"/>
      <c r="L699" s="1519">
        <v>13063040417</v>
      </c>
      <c r="M699" s="1520">
        <v>0</v>
      </c>
      <c r="N699" s="1520">
        <v>0</v>
      </c>
      <c r="O699" s="1520">
        <v>0</v>
      </c>
      <c r="P699" s="504" t="s">
        <v>2205</v>
      </c>
      <c r="Q699" s="287"/>
      <c r="R699" s="168"/>
      <c r="S699" s="380"/>
      <c r="T699" s="473" t="s">
        <v>783</v>
      </c>
      <c r="U699" s="473" t="s">
        <v>1285</v>
      </c>
      <c r="AA699" s="27"/>
      <c r="AB699" s="27"/>
      <c r="AC699" s="809"/>
      <c r="AD699" s="481"/>
    </row>
    <row r="700" spans="3:30" ht="10.5" customHeight="1">
      <c r="C700" s="1526" t="s">
        <v>4661</v>
      </c>
      <c r="D700" s="1523">
        <v>0</v>
      </c>
      <c r="E700" s="1523">
        <v>0</v>
      </c>
      <c r="F700" s="1524">
        <v>0</v>
      </c>
      <c r="G700" s="1537" t="s">
        <v>4661</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4662</v>
      </c>
      <c r="D701" s="1523">
        <v>0</v>
      </c>
      <c r="E701" s="1523">
        <v>0</v>
      </c>
      <c r="F701" s="1524">
        <v>0</v>
      </c>
      <c r="G701" s="1537" t="s">
        <v>4662</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4663</v>
      </c>
      <c r="D702" s="1523">
        <v>0</v>
      </c>
      <c r="E702" s="1523">
        <v>0</v>
      </c>
      <c r="F702" s="1524">
        <v>0</v>
      </c>
      <c r="G702" s="1537" t="s">
        <v>4663</v>
      </c>
      <c r="H702" s="1521">
        <v>0</v>
      </c>
      <c r="I702" s="1521">
        <v>0</v>
      </c>
      <c r="J702" s="1538">
        <v>0</v>
      </c>
      <c r="K702" s="1525"/>
      <c r="L702" s="1519">
        <v>13063040512</v>
      </c>
      <c r="M702" s="1520">
        <v>0</v>
      </c>
      <c r="N702" s="1520">
        <v>0</v>
      </c>
      <c r="O702" s="1520">
        <v>0</v>
      </c>
      <c r="P702" s="504" t="s">
        <v>2155</v>
      </c>
      <c r="Q702" s="287"/>
      <c r="R702" s="168"/>
      <c r="S702" s="380"/>
      <c r="T702" s="473" t="s">
        <v>2667</v>
      </c>
      <c r="U702" s="473" t="s">
        <v>842</v>
      </c>
      <c r="AA702" s="27"/>
      <c r="AB702" s="27"/>
      <c r="AC702" s="809"/>
      <c r="AD702" s="481"/>
    </row>
    <row r="703" spans="3:30" ht="10.5" customHeight="1">
      <c r="C703" s="1526" t="s">
        <v>4664</v>
      </c>
      <c r="D703" s="1523">
        <v>0</v>
      </c>
      <c r="E703" s="1523">
        <v>1</v>
      </c>
      <c r="F703" s="1524">
        <v>1</v>
      </c>
      <c r="G703" s="1537" t="s">
        <v>4664</v>
      </c>
      <c r="H703" s="1521">
        <v>0</v>
      </c>
      <c r="I703" s="1521">
        <v>1</v>
      </c>
      <c r="J703" s="1538">
        <v>0</v>
      </c>
      <c r="K703" s="1525"/>
      <c r="L703" s="1519">
        <v>13063040513</v>
      </c>
      <c r="M703" s="1520">
        <v>0</v>
      </c>
      <c r="N703" s="1520">
        <v>1</v>
      </c>
      <c r="O703" s="1520">
        <v>1</v>
      </c>
      <c r="P703" s="504" t="s">
        <v>2157</v>
      </c>
      <c r="Q703" s="287"/>
      <c r="R703" s="168"/>
      <c r="S703" s="380"/>
      <c r="T703" s="473" t="s">
        <v>2011</v>
      </c>
      <c r="U703" s="473" t="s">
        <v>1278</v>
      </c>
      <c r="AA703" s="27"/>
      <c r="AB703" s="27"/>
      <c r="AC703" s="809"/>
      <c r="AD703" s="481"/>
    </row>
    <row r="704" spans="3:30" ht="10.5" customHeight="1">
      <c r="C704" s="1526" t="s">
        <v>4665</v>
      </c>
      <c r="D704" s="1523">
        <v>0</v>
      </c>
      <c r="E704" s="1523">
        <v>0</v>
      </c>
      <c r="F704" s="1524">
        <v>0</v>
      </c>
      <c r="G704" s="1537" t="s">
        <v>4665</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4666</v>
      </c>
      <c r="D705" s="1523">
        <v>0</v>
      </c>
      <c r="E705" s="1523">
        <v>0</v>
      </c>
      <c r="F705" s="1524">
        <v>0</v>
      </c>
      <c r="G705" s="1537" t="s">
        <v>4666</v>
      </c>
      <c r="H705" s="1521">
        <v>0</v>
      </c>
      <c r="I705" s="1521">
        <v>0</v>
      </c>
      <c r="J705" s="1538">
        <v>0</v>
      </c>
      <c r="K705" s="1525"/>
      <c r="L705" s="1519">
        <v>13063040515</v>
      </c>
      <c r="M705" s="1520">
        <v>0</v>
      </c>
      <c r="N705" s="1520">
        <v>0</v>
      </c>
      <c r="O705" s="1520">
        <v>0</v>
      </c>
      <c r="P705" s="504" t="s">
        <v>1077</v>
      </c>
      <c r="Q705" s="287"/>
      <c r="R705" s="168"/>
      <c r="S705" s="380"/>
      <c r="T705" s="473" t="s">
        <v>902</v>
      </c>
      <c r="U705" s="473" t="s">
        <v>2141</v>
      </c>
      <c r="AA705" s="27"/>
      <c r="AB705" s="27"/>
      <c r="AC705" s="809"/>
      <c r="AD705" s="481"/>
    </row>
    <row r="706" spans="3:30" ht="10.5" customHeight="1">
      <c r="C706" s="1526" t="s">
        <v>4667</v>
      </c>
      <c r="D706" s="1523">
        <v>0</v>
      </c>
      <c r="E706" s="1523">
        <v>0</v>
      </c>
      <c r="F706" s="1524">
        <v>0</v>
      </c>
      <c r="G706" s="1537" t="s">
        <v>4667</v>
      </c>
      <c r="H706" s="1521">
        <v>0</v>
      </c>
      <c r="I706" s="1521">
        <v>0</v>
      </c>
      <c r="J706" s="1538">
        <v>0</v>
      </c>
      <c r="K706" s="1525"/>
      <c r="L706" s="1519">
        <v>13063040516</v>
      </c>
      <c r="M706" s="1520">
        <v>0</v>
      </c>
      <c r="N706" s="1520">
        <v>0</v>
      </c>
      <c r="O706" s="1520">
        <v>0</v>
      </c>
      <c r="P706" s="504" t="s">
        <v>1956</v>
      </c>
      <c r="Q706" s="287"/>
      <c r="R706" s="168"/>
      <c r="S706" s="380"/>
      <c r="T706" s="473" t="s">
        <v>904</v>
      </c>
      <c r="U706" s="473" t="s">
        <v>308</v>
      </c>
      <c r="AA706" s="27"/>
      <c r="AB706" s="27"/>
      <c r="AC706" s="809"/>
      <c r="AD706" s="481"/>
    </row>
    <row r="707" spans="3:30" ht="10.5" customHeight="1">
      <c r="C707" s="1526" t="s">
        <v>4668</v>
      </c>
      <c r="D707" s="1523">
        <v>0</v>
      </c>
      <c r="E707" s="1523">
        <v>0</v>
      </c>
      <c r="F707" s="1524">
        <v>0</v>
      </c>
      <c r="G707" s="1537" t="s">
        <v>4668</v>
      </c>
      <c r="H707" s="1521">
        <v>0</v>
      </c>
      <c r="I707" s="1521">
        <v>0</v>
      </c>
      <c r="J707" s="1538">
        <v>0</v>
      </c>
      <c r="K707" s="1525"/>
      <c r="L707" s="1519">
        <v>13063040518</v>
      </c>
      <c r="M707" s="1520">
        <v>0</v>
      </c>
      <c r="N707" s="1520">
        <v>0</v>
      </c>
      <c r="O707" s="1520">
        <v>0</v>
      </c>
      <c r="P707" s="504" t="s">
        <v>1880</v>
      </c>
      <c r="Q707" s="287"/>
      <c r="R707" s="168"/>
      <c r="S707" s="380"/>
      <c r="T707" s="473" t="s">
        <v>2388</v>
      </c>
      <c r="U707" s="473" t="s">
        <v>598</v>
      </c>
      <c r="AA707" s="27"/>
      <c r="AB707" s="27"/>
      <c r="AC707" s="809"/>
      <c r="AD707" s="481"/>
    </row>
    <row r="708" spans="3:30" ht="10.5" customHeight="1">
      <c r="C708" s="1526" t="s">
        <v>4669</v>
      </c>
      <c r="D708" s="1523">
        <v>0</v>
      </c>
      <c r="E708" s="1523">
        <v>0</v>
      </c>
      <c r="F708" s="1524">
        <v>0</v>
      </c>
      <c r="G708" s="1537" t="s">
        <v>4669</v>
      </c>
      <c r="H708" s="1521">
        <v>0</v>
      </c>
      <c r="I708" s="1521" t="s">
        <v>4099</v>
      </c>
      <c r="J708" s="1538">
        <v>0</v>
      </c>
      <c r="K708" s="1525"/>
      <c r="L708" s="1519">
        <v>13063040519</v>
      </c>
      <c r="M708" s="1520">
        <v>0</v>
      </c>
      <c r="N708" s="1520">
        <v>0</v>
      </c>
      <c r="O708" s="1520">
        <v>0</v>
      </c>
      <c r="P708" s="504" t="s">
        <v>1882</v>
      </c>
      <c r="Q708" s="287"/>
      <c r="R708" s="168"/>
      <c r="S708" s="380"/>
      <c r="T708" s="473" t="s">
        <v>3944</v>
      </c>
      <c r="U708" s="473" t="s">
        <v>598</v>
      </c>
      <c r="AA708" s="27"/>
      <c r="AB708" s="27"/>
      <c r="AC708" s="809"/>
      <c r="AD708" s="481"/>
    </row>
    <row r="709" spans="3:30" ht="10.5" customHeight="1">
      <c r="C709" s="1526" t="s">
        <v>4670</v>
      </c>
      <c r="D709" s="1523">
        <v>0</v>
      </c>
      <c r="E709" s="1523">
        <v>0</v>
      </c>
      <c r="F709" s="1524">
        <v>0</v>
      </c>
      <c r="G709" s="1537" t="s">
        <v>4670</v>
      </c>
      <c r="H709" s="1521">
        <v>0</v>
      </c>
      <c r="I709" s="1521">
        <v>0</v>
      </c>
      <c r="J709" s="1538">
        <v>0</v>
      </c>
      <c r="K709" s="1525"/>
      <c r="L709" s="1519">
        <v>13063040520</v>
      </c>
      <c r="M709" s="1520">
        <v>0</v>
      </c>
      <c r="N709" s="1520">
        <v>0</v>
      </c>
      <c r="O709" s="1520">
        <v>0</v>
      </c>
      <c r="P709" s="504" t="s">
        <v>1884</v>
      </c>
      <c r="Q709" s="287"/>
      <c r="R709" s="168"/>
      <c r="S709" s="380"/>
      <c r="T709" s="473" t="s">
        <v>1812</v>
      </c>
      <c r="U709" s="473" t="s">
        <v>114</v>
      </c>
      <c r="AA709" s="27"/>
      <c r="AB709" s="27"/>
      <c r="AC709" s="809"/>
      <c r="AD709" s="481"/>
    </row>
    <row r="710" spans="3:30" ht="10.5" customHeight="1">
      <c r="C710" s="1526" t="s">
        <v>4671</v>
      </c>
      <c r="D710" s="1523">
        <v>0</v>
      </c>
      <c r="E710" s="1523">
        <v>0</v>
      </c>
      <c r="F710" s="1524">
        <v>0</v>
      </c>
      <c r="G710" s="1537" t="s">
        <v>4671</v>
      </c>
      <c r="H710" s="1521">
        <v>0</v>
      </c>
      <c r="I710" s="1521">
        <v>0</v>
      </c>
      <c r="J710" s="1538">
        <v>0</v>
      </c>
      <c r="K710" s="1525"/>
      <c r="L710" s="1519">
        <v>13063040521</v>
      </c>
      <c r="M710" s="1520">
        <v>0</v>
      </c>
      <c r="N710" s="1520">
        <v>0</v>
      </c>
      <c r="O710" s="1520">
        <v>0</v>
      </c>
      <c r="P710" s="504" t="s">
        <v>472</v>
      </c>
      <c r="Q710" s="287"/>
      <c r="R710" s="168"/>
      <c r="S710" s="380"/>
      <c r="T710" s="473" t="s">
        <v>1815</v>
      </c>
      <c r="U710" s="473" t="s">
        <v>2141</v>
      </c>
      <c r="AA710" s="27"/>
      <c r="AB710" s="27"/>
      <c r="AC710" s="809"/>
      <c r="AD710" s="481"/>
    </row>
    <row r="711" spans="3:30" ht="10.5" customHeight="1">
      <c r="C711" s="1526" t="s">
        <v>4672</v>
      </c>
      <c r="D711" s="1523">
        <v>0</v>
      </c>
      <c r="E711" s="1523">
        <v>0</v>
      </c>
      <c r="F711" s="1524">
        <v>0</v>
      </c>
      <c r="G711" s="1537" t="s">
        <v>4672</v>
      </c>
      <c r="H711" s="1521">
        <v>0</v>
      </c>
      <c r="I711" s="1521">
        <v>0</v>
      </c>
      <c r="J711" s="1538">
        <v>0</v>
      </c>
      <c r="K711" s="1525"/>
      <c r="L711" s="1519">
        <v>13063040522</v>
      </c>
      <c r="M711" s="1520">
        <v>0</v>
      </c>
      <c r="N711" s="1520">
        <v>0</v>
      </c>
      <c r="O711" s="1520">
        <v>0</v>
      </c>
      <c r="P711" s="504" t="s">
        <v>433</v>
      </c>
      <c r="Q711" s="287"/>
      <c r="R711" s="168"/>
      <c r="S711" s="380"/>
      <c r="T711" s="473" t="s">
        <v>1817</v>
      </c>
      <c r="U711" s="473" t="s">
        <v>154</v>
      </c>
      <c r="AA711" s="27"/>
      <c r="AB711" s="27"/>
      <c r="AC711" s="809"/>
      <c r="AD711" s="481"/>
    </row>
    <row r="712" spans="3:30" ht="10.5" customHeight="1">
      <c r="C712" s="1526" t="s">
        <v>4673</v>
      </c>
      <c r="D712" s="1523">
        <v>0</v>
      </c>
      <c r="E712" s="1523">
        <v>0</v>
      </c>
      <c r="F712" s="1524">
        <v>0</v>
      </c>
      <c r="G712" s="1537" t="s">
        <v>4673</v>
      </c>
      <c r="H712" s="1521">
        <v>1</v>
      </c>
      <c r="I712" s="1521">
        <v>0</v>
      </c>
      <c r="J712" s="1538">
        <v>1</v>
      </c>
      <c r="K712" s="1525"/>
      <c r="L712" s="1519">
        <v>13063040523</v>
      </c>
      <c r="M712" s="1520">
        <v>1</v>
      </c>
      <c r="N712" s="1520">
        <v>0</v>
      </c>
      <c r="O712" s="1520">
        <v>1</v>
      </c>
      <c r="P712" s="504" t="s">
        <v>2006</v>
      </c>
      <c r="Q712" s="287"/>
      <c r="R712" s="168"/>
      <c r="S712" s="380"/>
      <c r="T712" s="473" t="s">
        <v>614</v>
      </c>
      <c r="U712" s="473" t="s">
        <v>2292</v>
      </c>
      <c r="AA712" s="27"/>
      <c r="AB712" s="27"/>
      <c r="AC712" s="809"/>
      <c r="AD712" s="481"/>
    </row>
    <row r="713" spans="3:30" ht="10.5" customHeight="1">
      <c r="C713" s="1526" t="s">
        <v>4674</v>
      </c>
      <c r="D713" s="1523">
        <v>0</v>
      </c>
      <c r="E713" s="1523">
        <v>0</v>
      </c>
      <c r="F713" s="1524">
        <v>0</v>
      </c>
      <c r="G713" s="1537" t="s">
        <v>4674</v>
      </c>
      <c r="H713" s="1521">
        <v>0</v>
      </c>
      <c r="I713" s="1521">
        <v>0</v>
      </c>
      <c r="J713" s="1538">
        <v>0</v>
      </c>
      <c r="K713" s="1525"/>
      <c r="L713" s="1519">
        <v>13063040524</v>
      </c>
      <c r="M713" s="1520">
        <v>0</v>
      </c>
      <c r="N713" s="1520">
        <v>0</v>
      </c>
      <c r="O713" s="1520">
        <v>0</v>
      </c>
      <c r="P713" s="504" t="s">
        <v>2031</v>
      </c>
      <c r="Q713" s="844"/>
      <c r="R713" s="844"/>
      <c r="S713" s="845"/>
      <c r="T713" s="473" t="s">
        <v>784</v>
      </c>
      <c r="U713" s="473" t="s">
        <v>2078</v>
      </c>
      <c r="AA713" s="27"/>
      <c r="AB713" s="27"/>
      <c r="AC713" s="809"/>
      <c r="AD713" s="481"/>
    </row>
    <row r="714" spans="3:30" ht="10.5" customHeight="1">
      <c r="C714" s="1526" t="s">
        <v>4675</v>
      </c>
      <c r="D714" s="1523">
        <v>0</v>
      </c>
      <c r="E714" s="1523">
        <v>0</v>
      </c>
      <c r="F714" s="1524">
        <v>0</v>
      </c>
      <c r="G714" s="1537" t="s">
        <v>4675</v>
      </c>
      <c r="H714" s="1521">
        <v>0</v>
      </c>
      <c r="I714" s="1521" t="s">
        <v>4099</v>
      </c>
      <c r="J714" s="1538">
        <v>0</v>
      </c>
      <c r="K714" s="1525"/>
      <c r="L714" s="1519">
        <v>13063040525</v>
      </c>
      <c r="M714" s="1520">
        <v>0</v>
      </c>
      <c r="N714" s="1520">
        <v>0</v>
      </c>
      <c r="O714" s="1520">
        <v>0</v>
      </c>
      <c r="P714" s="843"/>
      <c r="Q714" s="509"/>
      <c r="R714" s="166"/>
      <c r="S714" s="307"/>
      <c r="T714" s="473" t="s">
        <v>1035</v>
      </c>
      <c r="U714" s="473" t="s">
        <v>1823</v>
      </c>
      <c r="AA714" s="27"/>
      <c r="AB714" s="27"/>
      <c r="AC714" s="809"/>
      <c r="AD714" s="481"/>
    </row>
    <row r="715" spans="3:30" ht="10.5" customHeight="1">
      <c r="C715" s="1526" t="s">
        <v>4676</v>
      </c>
      <c r="D715" s="1523">
        <v>0</v>
      </c>
      <c r="E715" s="1523">
        <v>0</v>
      </c>
      <c r="F715" s="1524">
        <v>0</v>
      </c>
      <c r="G715" s="1537" t="s">
        <v>4676</v>
      </c>
      <c r="H715" s="1521">
        <v>0</v>
      </c>
      <c r="I715" s="1521">
        <v>0</v>
      </c>
      <c r="J715" s="1538">
        <v>0</v>
      </c>
      <c r="K715" s="1525"/>
      <c r="L715" s="1519">
        <v>13063040526</v>
      </c>
      <c r="M715" s="1520">
        <v>0</v>
      </c>
      <c r="N715" s="1520">
        <v>0</v>
      </c>
      <c r="O715" s="1520">
        <v>0</v>
      </c>
      <c r="P715" s="508"/>
      <c r="Q715" s="307"/>
      <c r="R715" s="307"/>
      <c r="S715" s="307"/>
      <c r="T715" s="473" t="s">
        <v>1036</v>
      </c>
      <c r="U715" s="473" t="s">
        <v>1916</v>
      </c>
      <c r="AA715" s="27"/>
      <c r="AB715" s="27"/>
      <c r="AC715" s="809"/>
      <c r="AD715" s="481"/>
    </row>
    <row r="716" spans="3:30" ht="10.5" customHeight="1">
      <c r="C716" s="1526" t="s">
        <v>4677</v>
      </c>
      <c r="D716" s="1523">
        <v>0</v>
      </c>
      <c r="E716" s="1523">
        <v>0</v>
      </c>
      <c r="F716" s="1524">
        <v>0</v>
      </c>
      <c r="G716" s="1537" t="s">
        <v>4677</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4678</v>
      </c>
      <c r="D717" s="1523">
        <v>1</v>
      </c>
      <c r="E717" s="1523">
        <v>1</v>
      </c>
      <c r="F717" s="1524">
        <v>2</v>
      </c>
      <c r="G717" s="1537" t="s">
        <v>4678</v>
      </c>
      <c r="H717" s="1521">
        <v>1</v>
      </c>
      <c r="I717" s="1521">
        <v>0</v>
      </c>
      <c r="J717" s="1538">
        <v>1</v>
      </c>
      <c r="K717" s="1525"/>
      <c r="L717" s="1519">
        <v>13063040608</v>
      </c>
      <c r="M717" s="1520">
        <v>1</v>
      </c>
      <c r="N717" s="1520">
        <v>1</v>
      </c>
      <c r="O717" s="1520">
        <v>2</v>
      </c>
      <c r="P717" s="307"/>
      <c r="Q717" s="307"/>
      <c r="R717" s="307"/>
      <c r="S717" s="307"/>
      <c r="T717" s="473" t="s">
        <v>2206</v>
      </c>
      <c r="U717" s="473" t="s">
        <v>114</v>
      </c>
      <c r="AA717" s="27"/>
      <c r="AB717" s="27"/>
      <c r="AC717" s="809"/>
      <c r="AD717" s="481"/>
    </row>
    <row r="718" spans="3:30" ht="10.5" customHeight="1">
      <c r="C718" s="1526" t="s">
        <v>4679</v>
      </c>
      <c r="D718" s="1523">
        <v>1</v>
      </c>
      <c r="E718" s="1523">
        <v>1</v>
      </c>
      <c r="F718" s="1524">
        <v>2</v>
      </c>
      <c r="G718" s="1537" t="s">
        <v>4679</v>
      </c>
      <c r="H718" s="1521">
        <v>0</v>
      </c>
      <c r="I718" s="1521">
        <v>0</v>
      </c>
      <c r="J718" s="1538">
        <v>0</v>
      </c>
      <c r="K718" s="1525"/>
      <c r="L718" s="1519">
        <v>13063040609</v>
      </c>
      <c r="M718" s="1520">
        <v>1</v>
      </c>
      <c r="N718" s="1520">
        <v>1</v>
      </c>
      <c r="O718" s="1520">
        <v>2</v>
      </c>
      <c r="P718" s="307"/>
      <c r="Q718" s="307"/>
      <c r="R718" s="307"/>
      <c r="S718" s="307"/>
      <c r="T718" s="473" t="s">
        <v>1363</v>
      </c>
      <c r="U718" s="473" t="s">
        <v>2141</v>
      </c>
      <c r="AA718" s="27"/>
      <c r="AB718" s="27"/>
      <c r="AC718" s="809"/>
      <c r="AD718" s="481"/>
    </row>
    <row r="719" spans="3:30" ht="10.5" customHeight="1">
      <c r="C719" s="1526" t="s">
        <v>4680</v>
      </c>
      <c r="D719" s="1523">
        <v>0</v>
      </c>
      <c r="E719" s="1523">
        <v>0</v>
      </c>
      <c r="F719" s="1524">
        <v>0</v>
      </c>
      <c r="G719" s="1537" t="s">
        <v>4680</v>
      </c>
      <c r="H719" s="1521">
        <v>0</v>
      </c>
      <c r="I719" s="1521">
        <v>0</v>
      </c>
      <c r="J719" s="1538">
        <v>0</v>
      </c>
      <c r="K719" s="1525"/>
      <c r="L719" s="1519">
        <v>13063040611</v>
      </c>
      <c r="M719" s="1520">
        <v>0</v>
      </c>
      <c r="N719" s="1520">
        <v>0</v>
      </c>
      <c r="O719" s="1520">
        <v>0</v>
      </c>
      <c r="P719" s="307"/>
      <c r="Q719" s="307"/>
      <c r="R719" s="307"/>
      <c r="S719" s="307"/>
      <c r="T719" s="505" t="s">
        <v>2154</v>
      </c>
      <c r="U719" s="505" t="s">
        <v>1829</v>
      </c>
      <c r="AA719" s="27"/>
      <c r="AB719" s="27"/>
      <c r="AC719" s="810"/>
      <c r="AD719" s="481"/>
    </row>
    <row r="720" spans="3:30" ht="10.5" customHeight="1">
      <c r="C720" s="1526" t="s">
        <v>4681</v>
      </c>
      <c r="D720" s="1523">
        <v>0</v>
      </c>
      <c r="E720" s="1523">
        <v>0</v>
      </c>
      <c r="F720" s="1524">
        <v>0</v>
      </c>
      <c r="G720" s="1537" t="s">
        <v>4681</v>
      </c>
      <c r="H720" s="1521">
        <v>0</v>
      </c>
      <c r="I720" s="1521">
        <v>0</v>
      </c>
      <c r="J720" s="1538">
        <v>0</v>
      </c>
      <c r="K720" s="1525"/>
      <c r="L720" s="1519">
        <v>13063040612</v>
      </c>
      <c r="M720" s="1520">
        <v>0</v>
      </c>
      <c r="N720" s="1520">
        <v>0</v>
      </c>
      <c r="O720" s="1520">
        <v>0</v>
      </c>
      <c r="P720" s="307"/>
      <c r="Q720" s="307"/>
      <c r="R720" s="307"/>
      <c r="S720" s="307"/>
      <c r="T720" s="473" t="s">
        <v>2156</v>
      </c>
      <c r="U720" s="473" t="s">
        <v>2074</v>
      </c>
      <c r="AA720" s="27"/>
      <c r="AB720" s="27"/>
      <c r="AC720" s="809"/>
      <c r="AD720" s="481"/>
    </row>
    <row r="721" spans="3:30" ht="10.5" customHeight="1">
      <c r="C721" s="1526" t="s">
        <v>4682</v>
      </c>
      <c r="D721" s="1523">
        <v>0</v>
      </c>
      <c r="E721" s="1523">
        <v>0</v>
      </c>
      <c r="F721" s="1524">
        <v>0</v>
      </c>
      <c r="G721" s="1537" t="s">
        <v>4682</v>
      </c>
      <c r="H721" s="1521">
        <v>0</v>
      </c>
      <c r="I721" s="1521">
        <v>1</v>
      </c>
      <c r="J721" s="1538">
        <v>0</v>
      </c>
      <c r="K721" s="1525"/>
      <c r="L721" s="1519">
        <v>13063040613</v>
      </c>
      <c r="M721" s="1520">
        <v>0</v>
      </c>
      <c r="N721" s="1520">
        <v>1</v>
      </c>
      <c r="O721" s="1520">
        <v>0</v>
      </c>
      <c r="P721" s="307"/>
      <c r="Q721" s="307"/>
      <c r="R721" s="307"/>
      <c r="S721" s="307"/>
      <c r="T721" s="473" t="s">
        <v>2158</v>
      </c>
      <c r="U721" s="473" t="s">
        <v>2292</v>
      </c>
      <c r="AA721" s="27"/>
      <c r="AB721" s="27"/>
      <c r="AC721" s="809"/>
      <c r="AD721" s="481"/>
    </row>
    <row r="722" spans="3:30" ht="10.5" customHeight="1">
      <c r="C722" s="1526" t="s">
        <v>4683</v>
      </c>
      <c r="D722" s="1523">
        <v>1</v>
      </c>
      <c r="E722" s="1523">
        <v>0</v>
      </c>
      <c r="F722" s="1524">
        <v>1</v>
      </c>
      <c r="G722" s="1537" t="s">
        <v>4683</v>
      </c>
      <c r="H722" s="1521">
        <v>1</v>
      </c>
      <c r="I722" s="1521">
        <v>0</v>
      </c>
      <c r="J722" s="1538">
        <v>1</v>
      </c>
      <c r="K722" s="1525"/>
      <c r="L722" s="1519">
        <v>13063040614</v>
      </c>
      <c r="M722" s="1520">
        <v>1</v>
      </c>
      <c r="N722" s="1520">
        <v>0</v>
      </c>
      <c r="O722" s="1520">
        <v>1</v>
      </c>
      <c r="P722" s="307"/>
      <c r="Q722" s="307"/>
      <c r="R722" s="307"/>
      <c r="S722" s="307"/>
      <c r="T722" s="473" t="s">
        <v>2668</v>
      </c>
      <c r="U722" s="473" t="s">
        <v>151</v>
      </c>
      <c r="AA722" s="27"/>
      <c r="AB722" s="27"/>
      <c r="AC722" s="809"/>
      <c r="AD722" s="481"/>
    </row>
    <row r="723" spans="3:30" ht="10.5" customHeight="1">
      <c r="C723" s="1526" t="s">
        <v>4684</v>
      </c>
      <c r="D723" s="1523">
        <v>1</v>
      </c>
      <c r="E723" s="1523">
        <v>0</v>
      </c>
      <c r="F723" s="1524">
        <v>1</v>
      </c>
      <c r="G723" s="1537" t="s">
        <v>4684</v>
      </c>
      <c r="H723" s="1521">
        <v>1</v>
      </c>
      <c r="I723" s="1521" t="s">
        <v>4099</v>
      </c>
      <c r="J723" s="1538">
        <v>1</v>
      </c>
      <c r="K723" s="1525"/>
      <c r="L723" s="1519">
        <v>13063040615</v>
      </c>
      <c r="M723" s="1520">
        <v>1</v>
      </c>
      <c r="N723" s="1520">
        <v>0</v>
      </c>
      <c r="O723" s="1520">
        <v>1</v>
      </c>
      <c r="P723" s="307"/>
      <c r="Q723" s="307"/>
      <c r="R723" s="307"/>
      <c r="S723" s="307"/>
      <c r="T723" s="473" t="s">
        <v>1076</v>
      </c>
      <c r="U723" s="473" t="s">
        <v>2085</v>
      </c>
      <c r="AA723" s="27"/>
      <c r="AB723" s="27"/>
      <c r="AC723" s="809"/>
      <c r="AD723" s="481"/>
    </row>
    <row r="724" spans="3:30" ht="10.5" customHeight="1">
      <c r="C724" s="1526" t="s">
        <v>4685</v>
      </c>
      <c r="D724" s="1523">
        <v>0</v>
      </c>
      <c r="E724" s="1523">
        <v>0</v>
      </c>
      <c r="F724" s="1524">
        <v>0</v>
      </c>
      <c r="G724" s="1537" t="s">
        <v>4685</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4686</v>
      </c>
      <c r="D725" s="1523">
        <v>0</v>
      </c>
      <c r="E725" s="1523">
        <v>0</v>
      </c>
      <c r="F725" s="1524">
        <v>0</v>
      </c>
      <c r="G725" s="1537" t="s">
        <v>4686</v>
      </c>
      <c r="H725" s="1521">
        <v>0</v>
      </c>
      <c r="I725" s="1521">
        <v>0</v>
      </c>
      <c r="J725" s="1538">
        <v>0</v>
      </c>
      <c r="K725" s="1525"/>
      <c r="L725" s="1519">
        <v>13063040617</v>
      </c>
      <c r="M725" s="1520">
        <v>0</v>
      </c>
      <c r="N725" s="1520">
        <v>0</v>
      </c>
      <c r="O725" s="1520">
        <v>0</v>
      </c>
      <c r="P725" s="307"/>
      <c r="Q725" s="307"/>
      <c r="R725" s="307"/>
      <c r="S725" s="307"/>
      <c r="T725" s="473" t="s">
        <v>1957</v>
      </c>
      <c r="U725" s="473" t="s">
        <v>303</v>
      </c>
      <c r="AA725" s="27"/>
      <c r="AB725" s="27"/>
      <c r="AC725" s="809"/>
      <c r="AD725" s="481"/>
    </row>
    <row r="726" spans="3:30" ht="10.5" customHeight="1">
      <c r="C726" s="1526" t="s">
        <v>4687</v>
      </c>
      <c r="D726" s="1523">
        <v>0</v>
      </c>
      <c r="E726" s="1523">
        <v>0</v>
      </c>
      <c r="F726" s="1524">
        <v>0</v>
      </c>
      <c r="G726" s="1537" t="s">
        <v>4687</v>
      </c>
      <c r="H726" s="1521">
        <v>1</v>
      </c>
      <c r="I726" s="1521">
        <v>0</v>
      </c>
      <c r="J726" s="1538">
        <v>1</v>
      </c>
      <c r="K726" s="1525"/>
      <c r="L726" s="1519">
        <v>13063040619</v>
      </c>
      <c r="M726" s="1520">
        <v>1</v>
      </c>
      <c r="N726" s="1520">
        <v>0</v>
      </c>
      <c r="O726" s="1520">
        <v>1</v>
      </c>
      <c r="P726" s="307"/>
      <c r="Q726" s="307"/>
      <c r="R726" s="307"/>
      <c r="S726" s="307"/>
      <c r="T726" s="473" t="s">
        <v>1881</v>
      </c>
      <c r="U726" s="473" t="s">
        <v>115</v>
      </c>
      <c r="AA726" s="27"/>
      <c r="AB726" s="27"/>
      <c r="AC726" s="809"/>
      <c r="AD726" s="481"/>
    </row>
    <row r="727" spans="3:30" ht="10.5" customHeight="1">
      <c r="C727" s="1526" t="s">
        <v>4688</v>
      </c>
      <c r="D727" s="1523">
        <v>0</v>
      </c>
      <c r="E727" s="1523">
        <v>1</v>
      </c>
      <c r="F727" s="1524">
        <v>1</v>
      </c>
      <c r="G727" s="1537" t="s">
        <v>4688</v>
      </c>
      <c r="H727" s="1521">
        <v>1</v>
      </c>
      <c r="I727" s="1521">
        <v>1</v>
      </c>
      <c r="J727" s="1538">
        <v>2</v>
      </c>
      <c r="K727" s="1525"/>
      <c r="L727" s="1519">
        <v>13063040620</v>
      </c>
      <c r="M727" s="1520">
        <v>1</v>
      </c>
      <c r="N727" s="1520">
        <v>1</v>
      </c>
      <c r="O727" s="1520">
        <v>2</v>
      </c>
      <c r="P727" s="307"/>
      <c r="Q727" s="307"/>
      <c r="R727" s="307"/>
      <c r="S727" s="307"/>
      <c r="T727" s="473" t="s">
        <v>1883</v>
      </c>
      <c r="U727" s="473" t="s">
        <v>312</v>
      </c>
      <c r="AA727" s="27"/>
      <c r="AB727" s="27"/>
      <c r="AC727" s="809"/>
      <c r="AD727" s="481"/>
    </row>
    <row r="728" spans="3:30" ht="10.5" customHeight="1">
      <c r="C728" s="1526" t="s">
        <v>4689</v>
      </c>
      <c r="D728" s="1523">
        <v>0</v>
      </c>
      <c r="E728" s="1523">
        <v>0</v>
      </c>
      <c r="F728" s="1524">
        <v>0</v>
      </c>
      <c r="G728" s="1537" t="s">
        <v>4689</v>
      </c>
      <c r="H728" s="1521">
        <v>0</v>
      </c>
      <c r="I728" s="1521">
        <v>0</v>
      </c>
      <c r="J728" s="1538">
        <v>0</v>
      </c>
      <c r="K728" s="1525"/>
      <c r="L728" s="1519">
        <v>13063040621</v>
      </c>
      <c r="M728" s="1520">
        <v>0</v>
      </c>
      <c r="N728" s="1520">
        <v>0</v>
      </c>
      <c r="O728" s="1520">
        <v>0</v>
      </c>
      <c r="P728" s="307"/>
      <c r="Q728" s="307"/>
      <c r="R728" s="307"/>
      <c r="S728" s="307"/>
      <c r="T728" s="473" t="s">
        <v>1885</v>
      </c>
      <c r="U728" s="473" t="s">
        <v>176</v>
      </c>
      <c r="AA728" s="27"/>
      <c r="AB728" s="27"/>
      <c r="AC728" s="809"/>
      <c r="AD728" s="481"/>
    </row>
    <row r="729" spans="3:30" ht="10.5" customHeight="1">
      <c r="C729" s="1526" t="s">
        <v>4690</v>
      </c>
      <c r="D729" s="1523">
        <v>0</v>
      </c>
      <c r="E729" s="1523">
        <v>0</v>
      </c>
      <c r="F729" s="1524">
        <v>0</v>
      </c>
      <c r="G729" s="1537" t="s">
        <v>4690</v>
      </c>
      <c r="H729" s="1521">
        <v>0</v>
      </c>
      <c r="I729" s="1521" t="s">
        <v>4099</v>
      </c>
      <c r="J729" s="1538">
        <v>0</v>
      </c>
      <c r="K729" s="1525"/>
      <c r="L729" s="1519">
        <v>13063040622</v>
      </c>
      <c r="M729" s="1520">
        <v>0</v>
      </c>
      <c r="N729" s="1520">
        <v>0</v>
      </c>
      <c r="O729" s="1520">
        <v>0</v>
      </c>
      <c r="P729" s="307"/>
      <c r="Q729" s="307"/>
      <c r="R729" s="307"/>
      <c r="S729" s="307"/>
      <c r="T729" s="505" t="s">
        <v>2669</v>
      </c>
      <c r="U729" s="505" t="s">
        <v>1823</v>
      </c>
      <c r="AA729" s="27"/>
      <c r="AB729" s="27"/>
      <c r="AC729" s="810"/>
      <c r="AD729" s="481"/>
    </row>
    <row r="730" spans="3:30" ht="10.5" customHeight="1">
      <c r="C730" s="1526" t="s">
        <v>4691</v>
      </c>
      <c r="D730" s="1523" t="s">
        <v>4099</v>
      </c>
      <c r="E730" s="1523" t="s">
        <v>4099</v>
      </c>
      <c r="F730" s="1524">
        <v>0</v>
      </c>
      <c r="G730" s="1537" t="s">
        <v>4691</v>
      </c>
      <c r="H730" s="1521" t="s">
        <v>4099</v>
      </c>
      <c r="I730" s="1521" t="s">
        <v>4099</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4692</v>
      </c>
      <c r="D731" s="1523">
        <v>0</v>
      </c>
      <c r="E731" s="1523">
        <v>0</v>
      </c>
      <c r="F731" s="1524">
        <v>0</v>
      </c>
      <c r="G731" s="1537" t="s">
        <v>4692</v>
      </c>
      <c r="H731" s="1521">
        <v>0</v>
      </c>
      <c r="I731" s="1521">
        <v>0</v>
      </c>
      <c r="J731" s="1538">
        <v>0</v>
      </c>
      <c r="K731" s="1525"/>
      <c r="L731" s="1519">
        <v>13065970100</v>
      </c>
      <c r="M731" s="1520">
        <v>0</v>
      </c>
      <c r="N731" s="1520">
        <v>0</v>
      </c>
      <c r="O731" s="1520">
        <v>0</v>
      </c>
      <c r="P731" s="307"/>
      <c r="Q731" s="307"/>
      <c r="R731" s="307"/>
      <c r="S731" s="307"/>
      <c r="T731" s="473" t="s">
        <v>2007</v>
      </c>
      <c r="U731" s="473" t="s">
        <v>703</v>
      </c>
      <c r="AA731" s="27"/>
      <c r="AB731" s="27"/>
      <c r="AC731" s="809"/>
      <c r="AD731" s="481"/>
    </row>
    <row r="732" spans="3:30" ht="10.5" customHeight="1">
      <c r="C732" s="1526" t="s">
        <v>4693</v>
      </c>
      <c r="D732" s="1523">
        <v>0</v>
      </c>
      <c r="E732" s="1523">
        <v>0</v>
      </c>
      <c r="F732" s="1524">
        <v>0</v>
      </c>
      <c r="G732" s="1537" t="s">
        <v>4693</v>
      </c>
      <c r="H732" s="1521">
        <v>0</v>
      </c>
      <c r="I732" s="1521">
        <v>0</v>
      </c>
      <c r="J732" s="1538">
        <v>0</v>
      </c>
      <c r="K732" s="1525"/>
      <c r="L732" s="1519">
        <v>13065970200</v>
      </c>
      <c r="M732" s="1520">
        <v>0</v>
      </c>
      <c r="N732" s="1520">
        <v>0</v>
      </c>
      <c r="O732" s="1520">
        <v>0</v>
      </c>
      <c r="P732" s="307"/>
      <c r="Q732" s="307"/>
      <c r="R732" s="307"/>
      <c r="S732" s="307"/>
      <c r="T732" s="473" t="s">
        <v>2032</v>
      </c>
      <c r="U732" s="473" t="s">
        <v>99</v>
      </c>
      <c r="AA732" s="27"/>
      <c r="AB732" s="27"/>
      <c r="AC732" s="809"/>
      <c r="AD732" s="481"/>
    </row>
    <row r="733" spans="3:30" ht="10.5" customHeight="1">
      <c r="C733" s="1526" t="s">
        <v>4694</v>
      </c>
      <c r="D733" s="1523">
        <v>1</v>
      </c>
      <c r="E733" s="1523">
        <v>1</v>
      </c>
      <c r="F733" s="1524">
        <v>2</v>
      </c>
      <c r="G733" s="1537" t="s">
        <v>4694</v>
      </c>
      <c r="H733" s="1521">
        <v>1</v>
      </c>
      <c r="I733" s="1521">
        <v>1</v>
      </c>
      <c r="J733" s="1538">
        <v>2</v>
      </c>
      <c r="K733" s="1525"/>
      <c r="L733" s="1519">
        <v>13067030101</v>
      </c>
      <c r="M733" s="1520">
        <v>1</v>
      </c>
      <c r="N733" s="1520">
        <v>1</v>
      </c>
      <c r="O733" s="1520">
        <v>2</v>
      </c>
      <c r="P733" s="307"/>
      <c r="Q733" s="307"/>
      <c r="R733" s="307"/>
      <c r="S733" s="307"/>
      <c r="T733" s="473" t="s">
        <v>800</v>
      </c>
      <c r="U733" s="473" t="s">
        <v>1916</v>
      </c>
      <c r="AA733" s="27"/>
      <c r="AB733" s="27"/>
      <c r="AC733" s="809"/>
      <c r="AD733" s="481"/>
    </row>
    <row r="734" spans="3:30" ht="10.5" customHeight="1">
      <c r="C734" s="1526" t="s">
        <v>4695</v>
      </c>
      <c r="D734" s="1523">
        <v>1</v>
      </c>
      <c r="E734" s="1523">
        <v>1</v>
      </c>
      <c r="F734" s="1524">
        <v>2</v>
      </c>
      <c r="G734" s="1537" t="s">
        <v>4695</v>
      </c>
      <c r="H734" s="1521">
        <v>1</v>
      </c>
      <c r="I734" s="1521">
        <v>1</v>
      </c>
      <c r="J734" s="1538">
        <v>2</v>
      </c>
      <c r="K734" s="1525"/>
      <c r="L734" s="1519">
        <v>13067030103</v>
      </c>
      <c r="M734" s="1520">
        <v>1</v>
      </c>
      <c r="N734" s="1520">
        <v>1</v>
      </c>
      <c r="O734" s="1520">
        <v>2</v>
      </c>
      <c r="P734" s="307"/>
      <c r="Q734" s="307"/>
      <c r="R734" s="307"/>
      <c r="S734" s="307"/>
      <c r="T734" s="473" t="s">
        <v>2033</v>
      </c>
      <c r="U734" s="473" t="s">
        <v>1916</v>
      </c>
      <c r="AA734" s="27"/>
      <c r="AB734" s="27"/>
      <c r="AC734" s="809"/>
      <c r="AD734" s="481"/>
    </row>
    <row r="735" spans="3:30" ht="10.5" customHeight="1">
      <c r="C735" s="1526" t="s">
        <v>4696</v>
      </c>
      <c r="D735" s="1523">
        <v>0</v>
      </c>
      <c r="E735" s="1523">
        <v>0</v>
      </c>
      <c r="F735" s="1524">
        <v>0</v>
      </c>
      <c r="G735" s="1537" t="s">
        <v>4696</v>
      </c>
      <c r="H735" s="1521">
        <v>0</v>
      </c>
      <c r="I735" s="1521">
        <v>0</v>
      </c>
      <c r="J735" s="1538">
        <v>0</v>
      </c>
      <c r="K735" s="1525"/>
      <c r="L735" s="1519">
        <v>13067030104</v>
      </c>
      <c r="M735" s="1520">
        <v>0</v>
      </c>
      <c r="N735" s="1520">
        <v>0</v>
      </c>
      <c r="O735" s="1520">
        <v>0</v>
      </c>
      <c r="P735" s="307"/>
      <c r="Q735" s="307"/>
      <c r="R735" s="307"/>
      <c r="S735" s="307"/>
      <c r="T735" s="473" t="s">
        <v>2034</v>
      </c>
      <c r="U735" s="473" t="s">
        <v>1593</v>
      </c>
      <c r="AA735" s="27"/>
      <c r="AB735" s="27"/>
      <c r="AC735" s="809"/>
      <c r="AD735" s="481"/>
    </row>
    <row r="736" spans="3:30" ht="10.5" customHeight="1">
      <c r="C736" s="1526" t="s">
        <v>4697</v>
      </c>
      <c r="D736" s="1523">
        <v>0</v>
      </c>
      <c r="E736" s="1523">
        <v>0</v>
      </c>
      <c r="F736" s="1524">
        <v>0</v>
      </c>
      <c r="G736" s="1537" t="s">
        <v>4697</v>
      </c>
      <c r="H736" s="1521">
        <v>1</v>
      </c>
      <c r="I736" s="1521">
        <v>0</v>
      </c>
      <c r="J736" s="1538">
        <v>1</v>
      </c>
      <c r="K736" s="1525"/>
      <c r="L736" s="1519">
        <v>13067030106</v>
      </c>
      <c r="M736" s="1520">
        <v>1</v>
      </c>
      <c r="N736" s="1520">
        <v>0</v>
      </c>
      <c r="O736" s="1520">
        <v>1</v>
      </c>
      <c r="P736" s="307"/>
      <c r="Q736" s="307"/>
      <c r="R736" s="307"/>
      <c r="S736" s="307"/>
      <c r="T736" s="473" t="s">
        <v>2229</v>
      </c>
      <c r="U736" s="473" t="s">
        <v>1789</v>
      </c>
      <c r="AA736" s="27"/>
      <c r="AB736" s="27"/>
      <c r="AC736" s="809"/>
      <c r="AD736" s="481"/>
    </row>
    <row r="737" spans="3:30" ht="10.5" customHeight="1">
      <c r="C737" s="1526" t="s">
        <v>4698</v>
      </c>
      <c r="D737" s="1523">
        <v>1</v>
      </c>
      <c r="E737" s="1523">
        <v>1</v>
      </c>
      <c r="F737" s="1524">
        <v>2</v>
      </c>
      <c r="G737" s="1537" t="s">
        <v>4698</v>
      </c>
      <c r="H737" s="1521">
        <v>1</v>
      </c>
      <c r="I737" s="1521">
        <v>1</v>
      </c>
      <c r="J737" s="1538">
        <v>2</v>
      </c>
      <c r="K737" s="1525"/>
      <c r="L737" s="1519">
        <v>13067030107</v>
      </c>
      <c r="M737" s="1520">
        <v>1</v>
      </c>
      <c r="N737" s="1520">
        <v>1</v>
      </c>
      <c r="O737" s="1520">
        <v>2</v>
      </c>
      <c r="P737" s="307"/>
      <c r="Q737" s="307"/>
      <c r="R737" s="307"/>
      <c r="S737" s="307"/>
      <c r="T737" s="473" t="s">
        <v>2230</v>
      </c>
      <c r="U737" s="473" t="s">
        <v>151</v>
      </c>
      <c r="AA737" s="27"/>
      <c r="AB737" s="27"/>
      <c r="AC737" s="809"/>
      <c r="AD737" s="481"/>
    </row>
    <row r="738" spans="3:30" ht="10.5" customHeight="1">
      <c r="C738" s="1526" t="s">
        <v>4699</v>
      </c>
      <c r="D738" s="1523">
        <v>1</v>
      </c>
      <c r="E738" s="1523">
        <v>1</v>
      </c>
      <c r="F738" s="1524">
        <v>2</v>
      </c>
      <c r="G738" s="1537" t="s">
        <v>4699</v>
      </c>
      <c r="H738" s="1521">
        <v>1</v>
      </c>
      <c r="I738" s="1521">
        <v>1</v>
      </c>
      <c r="J738" s="1538">
        <v>2</v>
      </c>
      <c r="K738" s="1525"/>
      <c r="L738" s="1519">
        <v>13067030209</v>
      </c>
      <c r="M738" s="1520">
        <v>1</v>
      </c>
      <c r="N738" s="1520">
        <v>1</v>
      </c>
      <c r="O738" s="1520">
        <v>2</v>
      </c>
      <c r="P738" s="307"/>
      <c r="Q738" s="307"/>
      <c r="R738" s="307"/>
      <c r="S738" s="307"/>
      <c r="T738" s="505" t="s">
        <v>2231</v>
      </c>
      <c r="U738" s="505" t="s">
        <v>1595</v>
      </c>
      <c r="AA738" s="27"/>
      <c r="AB738" s="27"/>
      <c r="AC738" s="810"/>
      <c r="AD738" s="481"/>
    </row>
    <row r="739" spans="3:30" ht="10.5" customHeight="1">
      <c r="C739" s="1526" t="s">
        <v>4700</v>
      </c>
      <c r="D739" s="1523">
        <v>1</v>
      </c>
      <c r="E739" s="1523">
        <v>1</v>
      </c>
      <c r="F739" s="1524">
        <v>2</v>
      </c>
      <c r="G739" s="1537" t="s">
        <v>4700</v>
      </c>
      <c r="H739" s="1521">
        <v>1</v>
      </c>
      <c r="I739" s="1521">
        <v>1</v>
      </c>
      <c r="J739" s="1538">
        <v>2</v>
      </c>
      <c r="K739" s="1525"/>
      <c r="L739" s="1519">
        <v>13067030214</v>
      </c>
      <c r="M739" s="1520">
        <v>1</v>
      </c>
      <c r="N739" s="1520">
        <v>1</v>
      </c>
      <c r="O739" s="1520">
        <v>2</v>
      </c>
      <c r="P739" s="307"/>
      <c r="Q739" s="307"/>
      <c r="R739" s="307"/>
      <c r="S739" s="307"/>
      <c r="T739" s="473" t="s">
        <v>2232</v>
      </c>
      <c r="U739" s="473" t="s">
        <v>1065</v>
      </c>
      <c r="AA739" s="27"/>
      <c r="AB739" s="27"/>
      <c r="AC739" s="809"/>
      <c r="AD739" s="481"/>
    </row>
    <row r="740" spans="3:30" ht="10.5" customHeight="1">
      <c r="C740" s="1526" t="s">
        <v>4701</v>
      </c>
      <c r="D740" s="1523">
        <v>1</v>
      </c>
      <c r="E740" s="1523">
        <v>1</v>
      </c>
      <c r="F740" s="1524">
        <v>2</v>
      </c>
      <c r="G740" s="1537" t="s">
        <v>4701</v>
      </c>
      <c r="H740" s="1521">
        <v>1</v>
      </c>
      <c r="I740" s="1521">
        <v>1</v>
      </c>
      <c r="J740" s="1538">
        <v>2</v>
      </c>
      <c r="K740" s="1525"/>
      <c r="L740" s="1519">
        <v>13067030215</v>
      </c>
      <c r="M740" s="1520">
        <v>1</v>
      </c>
      <c r="N740" s="1520">
        <v>1</v>
      </c>
      <c r="O740" s="1520">
        <v>2</v>
      </c>
      <c r="P740" s="307"/>
      <c r="Q740" s="307"/>
      <c r="R740" s="307"/>
      <c r="S740" s="307"/>
      <c r="T740" s="473" t="s">
        <v>2233</v>
      </c>
      <c r="U740" s="473" t="s">
        <v>2288</v>
      </c>
      <c r="AA740" s="27"/>
      <c r="AB740" s="27"/>
      <c r="AC740" s="809"/>
      <c r="AD740" s="481"/>
    </row>
    <row r="741" spans="3:30" ht="10.5" customHeight="1">
      <c r="C741" s="1526" t="s">
        <v>4702</v>
      </c>
      <c r="D741" s="1523">
        <v>1</v>
      </c>
      <c r="E741" s="1523">
        <v>1</v>
      </c>
      <c r="F741" s="1524">
        <v>2</v>
      </c>
      <c r="G741" s="1537" t="s">
        <v>4702</v>
      </c>
      <c r="H741" s="1521">
        <v>1</v>
      </c>
      <c r="I741" s="1521">
        <v>1</v>
      </c>
      <c r="J741" s="1538">
        <v>2</v>
      </c>
      <c r="K741" s="1525"/>
      <c r="L741" s="1519">
        <v>13067030218</v>
      </c>
      <c r="M741" s="1520">
        <v>1</v>
      </c>
      <c r="N741" s="1520">
        <v>1</v>
      </c>
      <c r="O741" s="1520">
        <v>2</v>
      </c>
      <c r="P741" s="307"/>
      <c r="Q741" s="307"/>
      <c r="R741" s="307"/>
      <c r="S741" s="307"/>
      <c r="T741" s="473" t="s">
        <v>2159</v>
      </c>
      <c r="U741" s="473" t="s">
        <v>2079</v>
      </c>
      <c r="AA741" s="27"/>
      <c r="AB741" s="27"/>
      <c r="AC741" s="809"/>
      <c r="AD741" s="481"/>
    </row>
    <row r="742" spans="3:30" ht="10.5" customHeight="1">
      <c r="C742" s="1526" t="s">
        <v>4703</v>
      </c>
      <c r="D742" s="1523">
        <v>1</v>
      </c>
      <c r="E742" s="1523">
        <v>1</v>
      </c>
      <c r="F742" s="1524">
        <v>2</v>
      </c>
      <c r="G742" s="1537" t="s">
        <v>4703</v>
      </c>
      <c r="H742" s="1521">
        <v>1</v>
      </c>
      <c r="I742" s="1521">
        <v>1</v>
      </c>
      <c r="J742" s="1538">
        <v>2</v>
      </c>
      <c r="K742" s="1525"/>
      <c r="L742" s="1519">
        <v>13067030219</v>
      </c>
      <c r="M742" s="1520">
        <v>1</v>
      </c>
      <c r="N742" s="1520">
        <v>1</v>
      </c>
      <c r="O742" s="1520">
        <v>2</v>
      </c>
      <c r="P742" s="307"/>
      <c r="Q742" s="307"/>
      <c r="R742" s="307"/>
      <c r="S742" s="307"/>
      <c r="T742" s="473" t="s">
        <v>1560</v>
      </c>
      <c r="U742" s="473" t="s">
        <v>2290</v>
      </c>
      <c r="AA742" s="27"/>
      <c r="AB742" s="27"/>
      <c r="AC742" s="809"/>
      <c r="AD742" s="481"/>
    </row>
    <row r="743" spans="3:30" ht="10.5" customHeight="1">
      <c r="C743" s="1526" t="s">
        <v>4704</v>
      </c>
      <c r="D743" s="1523">
        <v>1</v>
      </c>
      <c r="E743" s="1523">
        <v>1</v>
      </c>
      <c r="F743" s="1524">
        <v>2</v>
      </c>
      <c r="G743" s="1537" t="s">
        <v>4704</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4705</v>
      </c>
      <c r="D744" s="1523">
        <v>1</v>
      </c>
      <c r="E744" s="1523">
        <v>1</v>
      </c>
      <c r="F744" s="1524">
        <v>2</v>
      </c>
      <c r="G744" s="1537" t="s">
        <v>4705</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4706</v>
      </c>
      <c r="D745" s="1523">
        <v>1</v>
      </c>
      <c r="E745" s="1523">
        <v>1</v>
      </c>
      <c r="F745" s="1524">
        <v>2</v>
      </c>
      <c r="G745" s="1537" t="s">
        <v>4706</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4707</v>
      </c>
      <c r="D746" s="1523">
        <v>1</v>
      </c>
      <c r="E746" s="1523">
        <v>1</v>
      </c>
      <c r="F746" s="1524">
        <v>2</v>
      </c>
      <c r="G746" s="1537" t="s">
        <v>4707</v>
      </c>
      <c r="H746" s="1521">
        <v>1</v>
      </c>
      <c r="I746" s="1521">
        <v>1</v>
      </c>
      <c r="J746" s="1538">
        <v>2</v>
      </c>
      <c r="K746" s="1525"/>
      <c r="L746" s="1519">
        <v>13067030224</v>
      </c>
      <c r="M746" s="1520">
        <v>1</v>
      </c>
      <c r="N746" s="1520">
        <v>1</v>
      </c>
      <c r="O746" s="1520">
        <v>2</v>
      </c>
      <c r="P746" s="307"/>
      <c r="Q746" s="307"/>
      <c r="R746" s="307"/>
      <c r="S746" s="307"/>
      <c r="T746" s="473" t="s">
        <v>785</v>
      </c>
      <c r="U746" s="473" t="s">
        <v>1862</v>
      </c>
      <c r="AA746" s="27"/>
      <c r="AB746" s="27"/>
      <c r="AC746" s="809"/>
      <c r="AD746" s="481"/>
    </row>
    <row r="747" spans="3:30" ht="10.5" customHeight="1">
      <c r="C747" s="1526" t="s">
        <v>4708</v>
      </c>
      <c r="D747" s="1523">
        <v>1</v>
      </c>
      <c r="E747" s="1523">
        <v>1</v>
      </c>
      <c r="F747" s="1524">
        <v>2</v>
      </c>
      <c r="G747" s="1537" t="s">
        <v>4708</v>
      </c>
      <c r="H747" s="1521">
        <v>1</v>
      </c>
      <c r="I747" s="1521">
        <v>1</v>
      </c>
      <c r="J747" s="1538">
        <v>2</v>
      </c>
      <c r="K747" s="1525"/>
      <c r="L747" s="1519">
        <v>13067030226</v>
      </c>
      <c r="M747" s="1520">
        <v>1</v>
      </c>
      <c r="N747" s="1520">
        <v>1</v>
      </c>
      <c r="O747" s="1520">
        <v>2</v>
      </c>
      <c r="P747" s="307"/>
      <c r="Q747" s="307"/>
      <c r="R747" s="307"/>
      <c r="S747" s="307"/>
      <c r="T747" s="473" t="s">
        <v>1611</v>
      </c>
      <c r="U747" s="473" t="s">
        <v>2414</v>
      </c>
      <c r="AA747" s="27"/>
      <c r="AB747" s="27"/>
      <c r="AC747" s="809"/>
      <c r="AD747" s="481"/>
    </row>
    <row r="748" spans="3:30" ht="10.5" customHeight="1">
      <c r="C748" s="1526" t="s">
        <v>4709</v>
      </c>
      <c r="D748" s="1523">
        <v>1</v>
      </c>
      <c r="E748" s="1523">
        <v>1</v>
      </c>
      <c r="F748" s="1524">
        <v>2</v>
      </c>
      <c r="G748" s="1537" t="s">
        <v>4709</v>
      </c>
      <c r="H748" s="1521">
        <v>1</v>
      </c>
      <c r="I748" s="1521">
        <v>0</v>
      </c>
      <c r="J748" s="1538">
        <v>1</v>
      </c>
      <c r="K748" s="1525"/>
      <c r="L748" s="1519">
        <v>13067030227</v>
      </c>
      <c r="M748" s="1520">
        <v>1</v>
      </c>
      <c r="N748" s="1520">
        <v>1</v>
      </c>
      <c r="O748" s="1520">
        <v>2</v>
      </c>
      <c r="P748" s="307"/>
      <c r="Q748" s="307"/>
      <c r="R748" s="307"/>
      <c r="S748" s="307"/>
      <c r="T748" s="473" t="s">
        <v>1612</v>
      </c>
      <c r="U748" s="473" t="s">
        <v>2141</v>
      </c>
      <c r="AA748" s="27"/>
      <c r="AB748" s="27"/>
      <c r="AC748" s="809"/>
      <c r="AD748" s="481"/>
    </row>
    <row r="749" spans="3:30" ht="10.5" customHeight="1">
      <c r="C749" s="1526" t="s">
        <v>4710</v>
      </c>
      <c r="D749" s="1523">
        <v>1</v>
      </c>
      <c r="E749" s="1523">
        <v>1</v>
      </c>
      <c r="F749" s="1524">
        <v>2</v>
      </c>
      <c r="G749" s="1537" t="s">
        <v>4710</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4711</v>
      </c>
      <c r="D750" s="1523">
        <v>0</v>
      </c>
      <c r="E750" s="1523">
        <v>1</v>
      </c>
      <c r="F750" s="1524">
        <v>1</v>
      </c>
      <c r="G750" s="1537" t="s">
        <v>4711</v>
      </c>
      <c r="H750" s="1521">
        <v>0</v>
      </c>
      <c r="I750" s="1521" t="s">
        <v>4099</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4712</v>
      </c>
      <c r="D751" s="1523">
        <v>1</v>
      </c>
      <c r="E751" s="1523">
        <v>1</v>
      </c>
      <c r="F751" s="1524">
        <v>2</v>
      </c>
      <c r="G751" s="1537" t="s">
        <v>4712</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4713</v>
      </c>
      <c r="D752" s="1523">
        <v>1</v>
      </c>
      <c r="E752" s="1523">
        <v>1</v>
      </c>
      <c r="F752" s="1524">
        <v>2</v>
      </c>
      <c r="G752" s="1537" t="s">
        <v>4713</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4714</v>
      </c>
      <c r="D753" s="1523">
        <v>1</v>
      </c>
      <c r="E753" s="1523">
        <v>1</v>
      </c>
      <c r="F753" s="1524">
        <v>2</v>
      </c>
      <c r="G753" s="1537" t="s">
        <v>4714</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4715</v>
      </c>
      <c r="D754" s="1523">
        <v>1</v>
      </c>
      <c r="E754" s="1523">
        <v>1</v>
      </c>
      <c r="F754" s="1524">
        <v>2</v>
      </c>
      <c r="G754" s="1537" t="s">
        <v>4715</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4716</v>
      </c>
      <c r="D755" s="1523">
        <v>1</v>
      </c>
      <c r="E755" s="1523">
        <v>1</v>
      </c>
      <c r="F755" s="1524">
        <v>2</v>
      </c>
      <c r="G755" s="1537" t="s">
        <v>4716</v>
      </c>
      <c r="H755" s="1521">
        <v>1</v>
      </c>
      <c r="I755" s="1521" t="s">
        <v>4099</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4717</v>
      </c>
      <c r="D756" s="1523">
        <v>1</v>
      </c>
      <c r="E756" s="1523">
        <v>1</v>
      </c>
      <c r="F756" s="1524">
        <v>2</v>
      </c>
      <c r="G756" s="1537" t="s">
        <v>4717</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4718</v>
      </c>
      <c r="D757" s="1523">
        <v>1</v>
      </c>
      <c r="E757" s="1523">
        <v>1</v>
      </c>
      <c r="F757" s="1524">
        <v>2</v>
      </c>
      <c r="G757" s="1537" t="s">
        <v>4718</v>
      </c>
      <c r="H757" s="1521">
        <v>1</v>
      </c>
      <c r="I757" s="1521" t="s">
        <v>4099</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4719</v>
      </c>
      <c r="D758" s="1523">
        <v>1</v>
      </c>
      <c r="E758" s="1523">
        <v>1</v>
      </c>
      <c r="F758" s="1524">
        <v>2</v>
      </c>
      <c r="G758" s="1537" t="s">
        <v>4719</v>
      </c>
      <c r="H758" s="1521">
        <v>1</v>
      </c>
      <c r="I758" s="1521">
        <v>1</v>
      </c>
      <c r="J758" s="1538">
        <v>2</v>
      </c>
      <c r="K758" s="1525"/>
      <c r="L758" s="1519">
        <v>13067030238</v>
      </c>
      <c r="M758" s="1520">
        <v>1</v>
      </c>
      <c r="N758" s="1520">
        <v>1</v>
      </c>
      <c r="O758" s="1520">
        <v>2</v>
      </c>
      <c r="P758" s="307"/>
      <c r="Q758" s="307"/>
      <c r="R758" s="307"/>
      <c r="S758" s="307"/>
      <c r="T758" s="505" t="s">
        <v>1621</v>
      </c>
      <c r="U758" s="505" t="s">
        <v>1862</v>
      </c>
      <c r="AA758" s="27"/>
      <c r="AB758" s="27"/>
      <c r="AC758" s="810"/>
      <c r="AD758" s="481"/>
    </row>
    <row r="759" spans="3:30" ht="10.5" customHeight="1">
      <c r="C759" s="1526" t="s">
        <v>4720</v>
      </c>
      <c r="D759" s="1523">
        <v>1</v>
      </c>
      <c r="E759" s="1523">
        <v>1</v>
      </c>
      <c r="F759" s="1524">
        <v>2</v>
      </c>
      <c r="G759" s="1537" t="s">
        <v>4720</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4721</v>
      </c>
      <c r="D760" s="1523">
        <v>1</v>
      </c>
      <c r="E760" s="1523">
        <v>1</v>
      </c>
      <c r="F760" s="1524">
        <v>2</v>
      </c>
      <c r="G760" s="1537" t="s">
        <v>4721</v>
      </c>
      <c r="H760" s="1521">
        <v>1</v>
      </c>
      <c r="I760" s="1521">
        <v>0</v>
      </c>
      <c r="J760" s="1538">
        <v>1</v>
      </c>
      <c r="K760" s="1525"/>
      <c r="L760" s="1519">
        <v>13067030310</v>
      </c>
      <c r="M760" s="1520">
        <v>1</v>
      </c>
      <c r="N760" s="1520">
        <v>1</v>
      </c>
      <c r="O760" s="1520">
        <v>2</v>
      </c>
      <c r="P760" s="307"/>
      <c r="Q760" s="307"/>
      <c r="R760" s="307"/>
      <c r="S760" s="307"/>
      <c r="T760" s="473" t="s">
        <v>1623</v>
      </c>
      <c r="U760" s="473" t="s">
        <v>1821</v>
      </c>
      <c r="AA760" s="27"/>
      <c r="AB760" s="27"/>
      <c r="AC760" s="809"/>
      <c r="AD760" s="481"/>
    </row>
    <row r="761" spans="3:30" ht="10.5" customHeight="1">
      <c r="C761" s="1526" t="s">
        <v>4722</v>
      </c>
      <c r="D761" s="1523">
        <v>1</v>
      </c>
      <c r="E761" s="1523">
        <v>1</v>
      </c>
      <c r="F761" s="1524">
        <v>2</v>
      </c>
      <c r="G761" s="1537" t="s">
        <v>4722</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4723</v>
      </c>
      <c r="D762" s="1523">
        <v>1</v>
      </c>
      <c r="E762" s="1523">
        <v>1</v>
      </c>
      <c r="F762" s="1524">
        <v>2</v>
      </c>
      <c r="G762" s="1537" t="s">
        <v>4723</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4724</v>
      </c>
      <c r="D763" s="1523">
        <v>1</v>
      </c>
      <c r="E763" s="1523">
        <v>1</v>
      </c>
      <c r="F763" s="1524">
        <v>2</v>
      </c>
      <c r="G763" s="1537" t="s">
        <v>4724</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4725</v>
      </c>
      <c r="D764" s="1523">
        <v>1</v>
      </c>
      <c r="E764" s="1523">
        <v>1</v>
      </c>
      <c r="F764" s="1524">
        <v>2</v>
      </c>
      <c r="G764" s="1537" t="s">
        <v>4725</v>
      </c>
      <c r="H764" s="1521">
        <v>1</v>
      </c>
      <c r="I764" s="1521">
        <v>1</v>
      </c>
      <c r="J764" s="1538">
        <v>2</v>
      </c>
      <c r="K764" s="1525"/>
      <c r="L764" s="1519">
        <v>13067030314</v>
      </c>
      <c r="M764" s="1520">
        <v>1</v>
      </c>
      <c r="N764" s="1520">
        <v>1</v>
      </c>
      <c r="O764" s="1520">
        <v>2</v>
      </c>
      <c r="P764" s="307"/>
      <c r="Q764" s="307"/>
      <c r="R764" s="307"/>
      <c r="S764" s="307"/>
      <c r="T764" s="473" t="s">
        <v>1039</v>
      </c>
      <c r="U764" s="473" t="s">
        <v>2375</v>
      </c>
      <c r="AA764" s="27"/>
      <c r="AB764" s="27"/>
      <c r="AC764" s="809"/>
      <c r="AD764" s="481"/>
    </row>
    <row r="765" spans="3:30" ht="10.5" customHeight="1">
      <c r="C765" s="1526" t="s">
        <v>4726</v>
      </c>
      <c r="D765" s="1523">
        <v>1</v>
      </c>
      <c r="E765" s="1523">
        <v>1</v>
      </c>
      <c r="F765" s="1524">
        <v>2</v>
      </c>
      <c r="G765" s="1537" t="s">
        <v>4726</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4727</v>
      </c>
      <c r="D766" s="1523">
        <v>1</v>
      </c>
      <c r="E766" s="1523">
        <v>1</v>
      </c>
      <c r="F766" s="1524">
        <v>2</v>
      </c>
      <c r="G766" s="1537" t="s">
        <v>4727</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4728</v>
      </c>
      <c r="D767" s="1523">
        <v>1</v>
      </c>
      <c r="E767" s="1523">
        <v>1</v>
      </c>
      <c r="F767" s="1524">
        <v>2</v>
      </c>
      <c r="G767" s="1537" t="s">
        <v>4728</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4729</v>
      </c>
      <c r="D768" s="1523">
        <v>1</v>
      </c>
      <c r="E768" s="1523">
        <v>1</v>
      </c>
      <c r="F768" s="1524">
        <v>2</v>
      </c>
      <c r="G768" s="1537" t="s">
        <v>4729</v>
      </c>
      <c r="H768" s="1521">
        <v>1</v>
      </c>
      <c r="I768" s="1521">
        <v>1</v>
      </c>
      <c r="J768" s="1538">
        <v>2</v>
      </c>
      <c r="K768" s="1525"/>
      <c r="L768" s="1519">
        <v>13067030322</v>
      </c>
      <c r="M768" s="1520">
        <v>1</v>
      </c>
      <c r="N768" s="1520">
        <v>1</v>
      </c>
      <c r="O768" s="1520">
        <v>2</v>
      </c>
      <c r="P768" s="307"/>
      <c r="Q768" s="307"/>
      <c r="R768" s="307"/>
      <c r="S768" s="307"/>
      <c r="T768" s="473" t="s">
        <v>1630</v>
      </c>
      <c r="U768" s="473" t="s">
        <v>1919</v>
      </c>
      <c r="AA768" s="27"/>
      <c r="AB768" s="27"/>
      <c r="AC768" s="809"/>
      <c r="AD768" s="481"/>
    </row>
    <row r="769" spans="3:30" ht="10.5" customHeight="1">
      <c r="C769" s="1526" t="s">
        <v>4730</v>
      </c>
      <c r="D769" s="1523">
        <v>1</v>
      </c>
      <c r="E769" s="1523">
        <v>1</v>
      </c>
      <c r="F769" s="1524">
        <v>2</v>
      </c>
      <c r="G769" s="1537" t="s">
        <v>4730</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4731</v>
      </c>
      <c r="D770" s="1523">
        <v>1</v>
      </c>
      <c r="E770" s="1523">
        <v>1</v>
      </c>
      <c r="F770" s="1524">
        <v>2</v>
      </c>
      <c r="G770" s="1537" t="s">
        <v>4731</v>
      </c>
      <c r="H770" s="1521">
        <v>1</v>
      </c>
      <c r="I770" s="1521">
        <v>1</v>
      </c>
      <c r="J770" s="1538">
        <v>2</v>
      </c>
      <c r="K770" s="1525"/>
      <c r="L770" s="1519">
        <v>13067030326</v>
      </c>
      <c r="M770" s="1520">
        <v>1</v>
      </c>
      <c r="N770" s="1520">
        <v>1</v>
      </c>
      <c r="O770" s="1520">
        <v>2</v>
      </c>
      <c r="P770" s="307"/>
      <c r="Q770" s="307"/>
      <c r="R770" s="307"/>
      <c r="S770" s="307"/>
      <c r="T770" s="473" t="s">
        <v>1632</v>
      </c>
      <c r="U770" s="473" t="s">
        <v>1791</v>
      </c>
      <c r="AA770" s="27"/>
      <c r="AB770" s="27"/>
      <c r="AC770" s="809"/>
      <c r="AD770" s="481"/>
    </row>
    <row r="771" spans="3:30" ht="10.5" customHeight="1">
      <c r="C771" s="1526" t="s">
        <v>4732</v>
      </c>
      <c r="D771" s="1523">
        <v>1</v>
      </c>
      <c r="E771" s="1523">
        <v>1</v>
      </c>
      <c r="F771" s="1524">
        <v>2</v>
      </c>
      <c r="G771" s="1537" t="s">
        <v>4732</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4733</v>
      </c>
      <c r="D772" s="1523">
        <v>1</v>
      </c>
      <c r="E772" s="1523">
        <v>1</v>
      </c>
      <c r="F772" s="1524">
        <v>2</v>
      </c>
      <c r="G772" s="1537" t="s">
        <v>4733</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4734</v>
      </c>
      <c r="D773" s="1523">
        <v>1</v>
      </c>
      <c r="E773" s="1523">
        <v>1</v>
      </c>
      <c r="F773" s="1524">
        <v>2</v>
      </c>
      <c r="G773" s="1537" t="s">
        <v>4734</v>
      </c>
      <c r="H773" s="1521">
        <v>1</v>
      </c>
      <c r="I773" s="1521">
        <v>1</v>
      </c>
      <c r="J773" s="1538">
        <v>2</v>
      </c>
      <c r="K773" s="1525"/>
      <c r="L773" s="1519">
        <v>13067030329</v>
      </c>
      <c r="M773" s="1520">
        <v>1</v>
      </c>
      <c r="N773" s="1520">
        <v>1</v>
      </c>
      <c r="O773" s="1520">
        <v>2</v>
      </c>
      <c r="P773" s="307"/>
      <c r="Q773" s="307"/>
      <c r="R773" s="307"/>
      <c r="S773" s="307"/>
      <c r="T773" s="473" t="s">
        <v>282</v>
      </c>
      <c r="U773" s="473" t="s">
        <v>2292</v>
      </c>
      <c r="AA773" s="27"/>
      <c r="AB773" s="27"/>
      <c r="AC773" s="809"/>
      <c r="AD773" s="481"/>
    </row>
    <row r="774" spans="3:30" ht="10.5" customHeight="1">
      <c r="C774" s="1526" t="s">
        <v>4735</v>
      </c>
      <c r="D774" s="1523">
        <v>1</v>
      </c>
      <c r="E774" s="1523">
        <v>1</v>
      </c>
      <c r="F774" s="1524">
        <v>2</v>
      </c>
      <c r="G774" s="1537" t="s">
        <v>4735</v>
      </c>
      <c r="H774" s="1521">
        <v>1</v>
      </c>
      <c r="I774" s="1521">
        <v>1</v>
      </c>
      <c r="J774" s="1538">
        <v>2</v>
      </c>
      <c r="K774" s="1525"/>
      <c r="L774" s="1519">
        <v>13067030330</v>
      </c>
      <c r="M774" s="1520">
        <v>1</v>
      </c>
      <c r="N774" s="1520">
        <v>1</v>
      </c>
      <c r="O774" s="1520">
        <v>2</v>
      </c>
      <c r="P774" s="307"/>
      <c r="Q774" s="307"/>
      <c r="R774" s="307"/>
      <c r="S774" s="307"/>
      <c r="T774" s="473" t="s">
        <v>99</v>
      </c>
      <c r="U774" s="473" t="s">
        <v>2288</v>
      </c>
      <c r="AA774" s="27"/>
      <c r="AB774" s="27"/>
      <c r="AC774" s="809"/>
      <c r="AD774" s="481"/>
    </row>
    <row r="775" spans="3:30" ht="10.5" customHeight="1">
      <c r="C775" s="1526" t="s">
        <v>4736</v>
      </c>
      <c r="D775" s="1523">
        <v>1</v>
      </c>
      <c r="E775" s="1523">
        <v>1</v>
      </c>
      <c r="F775" s="1524">
        <v>2</v>
      </c>
      <c r="G775" s="1537" t="s">
        <v>4736</v>
      </c>
      <c r="H775" s="1521">
        <v>1</v>
      </c>
      <c r="I775" s="1521">
        <v>1</v>
      </c>
      <c r="J775" s="1538">
        <v>2</v>
      </c>
      <c r="K775" s="1525"/>
      <c r="L775" s="1519">
        <v>13067030331</v>
      </c>
      <c r="M775" s="1520">
        <v>1</v>
      </c>
      <c r="N775" s="1520">
        <v>1</v>
      </c>
      <c r="O775" s="1520">
        <v>2</v>
      </c>
      <c r="P775" s="307"/>
      <c r="Q775" s="307"/>
      <c r="R775" s="307"/>
      <c r="S775" s="307"/>
      <c r="T775" s="473" t="s">
        <v>283</v>
      </c>
      <c r="U775" s="473" t="s">
        <v>2471</v>
      </c>
      <c r="AA775" s="27"/>
      <c r="AB775" s="27"/>
      <c r="AC775" s="809"/>
      <c r="AD775" s="481"/>
    </row>
    <row r="776" spans="3:30" ht="10.5" customHeight="1">
      <c r="C776" s="1526" t="s">
        <v>4737</v>
      </c>
      <c r="D776" s="1523">
        <v>1</v>
      </c>
      <c r="E776" s="1523">
        <v>1</v>
      </c>
      <c r="F776" s="1524">
        <v>2</v>
      </c>
      <c r="G776" s="1537" t="s">
        <v>4737</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4738</v>
      </c>
      <c r="D777" s="1523">
        <v>1</v>
      </c>
      <c r="E777" s="1523">
        <v>1</v>
      </c>
      <c r="F777" s="1524">
        <v>2</v>
      </c>
      <c r="G777" s="1537" t="s">
        <v>4738</v>
      </c>
      <c r="H777" s="1521">
        <v>1</v>
      </c>
      <c r="I777" s="1521">
        <v>1</v>
      </c>
      <c r="J777" s="1538">
        <v>2</v>
      </c>
      <c r="K777" s="1525"/>
      <c r="L777" s="1519">
        <v>13067030333</v>
      </c>
      <c r="M777" s="1520">
        <v>1</v>
      </c>
      <c r="N777" s="1520">
        <v>1</v>
      </c>
      <c r="O777" s="1520">
        <v>2</v>
      </c>
      <c r="P777" s="307"/>
      <c r="Q777" s="307"/>
      <c r="R777" s="307"/>
      <c r="S777" s="307"/>
      <c r="T777" s="473" t="s">
        <v>285</v>
      </c>
      <c r="U777" s="473" t="s">
        <v>1920</v>
      </c>
      <c r="AA777" s="27"/>
      <c r="AB777" s="27"/>
      <c r="AC777" s="809"/>
      <c r="AD777" s="481"/>
    </row>
    <row r="778" spans="3:30" ht="13.5">
      <c r="C778" s="1526" t="s">
        <v>4739</v>
      </c>
      <c r="D778" s="1523">
        <v>1</v>
      </c>
      <c r="E778" s="1523">
        <v>1</v>
      </c>
      <c r="F778" s="1524">
        <v>2</v>
      </c>
      <c r="G778" s="1537" t="s">
        <v>4739</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4740</v>
      </c>
      <c r="D779" s="1523">
        <v>1</v>
      </c>
      <c r="E779" s="1523">
        <v>1</v>
      </c>
      <c r="F779" s="1524">
        <v>2</v>
      </c>
      <c r="G779" s="1537" t="s">
        <v>4740</v>
      </c>
      <c r="H779" s="1521">
        <v>1</v>
      </c>
      <c r="I779" s="1521">
        <v>1</v>
      </c>
      <c r="J779" s="1538">
        <v>2</v>
      </c>
      <c r="K779" s="1525"/>
      <c r="L779" s="1519">
        <v>13067030335</v>
      </c>
      <c r="M779" s="1520">
        <v>1</v>
      </c>
      <c r="N779" s="1520">
        <v>1</v>
      </c>
      <c r="O779" s="1520">
        <v>2</v>
      </c>
      <c r="P779" s="307"/>
      <c r="Q779" s="307"/>
      <c r="R779" s="307"/>
      <c r="S779" s="307"/>
      <c r="T779" s="380" t="s">
        <v>287</v>
      </c>
      <c r="U779" s="380" t="s">
        <v>1827</v>
      </c>
      <c r="AA779" s="27"/>
      <c r="AB779" s="27"/>
      <c r="AC779" s="89"/>
      <c r="AD779" s="481"/>
    </row>
    <row r="780" spans="3:30" ht="13.5">
      <c r="C780" s="1526" t="s">
        <v>4741</v>
      </c>
      <c r="D780" s="1523">
        <v>1</v>
      </c>
      <c r="E780" s="1523">
        <v>1</v>
      </c>
      <c r="F780" s="1524">
        <v>2</v>
      </c>
      <c r="G780" s="1537" t="s">
        <v>4741</v>
      </c>
      <c r="H780" s="1521">
        <v>1</v>
      </c>
      <c r="I780" s="1521" t="s">
        <v>4099</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4742</v>
      </c>
      <c r="D781" s="1523">
        <v>1</v>
      </c>
      <c r="E781" s="1523">
        <v>1</v>
      </c>
      <c r="F781" s="1524">
        <v>2</v>
      </c>
      <c r="G781" s="1537" t="s">
        <v>4742</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4743</v>
      </c>
      <c r="D782" s="1523">
        <v>1</v>
      </c>
      <c r="E782" s="1523">
        <v>1</v>
      </c>
      <c r="F782" s="1524">
        <v>2</v>
      </c>
      <c r="G782" s="1537" t="s">
        <v>4743</v>
      </c>
      <c r="H782" s="1521">
        <v>1</v>
      </c>
      <c r="I782" s="1521" t="s">
        <v>4099</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4744</v>
      </c>
      <c r="D783" s="1523">
        <v>1</v>
      </c>
      <c r="E783" s="1523">
        <v>1</v>
      </c>
      <c r="F783" s="1524">
        <v>2</v>
      </c>
      <c r="G783" s="1537" t="s">
        <v>4744</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4745</v>
      </c>
      <c r="D784" s="1523">
        <v>1</v>
      </c>
      <c r="E784" s="1523">
        <v>1</v>
      </c>
      <c r="F784" s="1524">
        <v>2</v>
      </c>
      <c r="G784" s="1537" t="s">
        <v>4745</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4746</v>
      </c>
      <c r="D785" s="1523">
        <v>1</v>
      </c>
      <c r="E785" s="1523">
        <v>1</v>
      </c>
      <c r="F785" s="1524">
        <v>2</v>
      </c>
      <c r="G785" s="1537" t="s">
        <v>4746</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4747</v>
      </c>
      <c r="D786" s="1523">
        <v>1</v>
      </c>
      <c r="E786" s="1523">
        <v>1</v>
      </c>
      <c r="F786" s="1524">
        <v>2</v>
      </c>
      <c r="G786" s="1537" t="s">
        <v>4747</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4748</v>
      </c>
      <c r="D787" s="1523">
        <v>1</v>
      </c>
      <c r="E787" s="1523">
        <v>1</v>
      </c>
      <c r="F787" s="1524">
        <v>2</v>
      </c>
      <c r="G787" s="1537" t="s">
        <v>4748</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4749</v>
      </c>
      <c r="D788" s="1523">
        <v>1</v>
      </c>
      <c r="E788" s="1523">
        <v>1</v>
      </c>
      <c r="F788" s="1524">
        <v>2</v>
      </c>
      <c r="G788" s="1537" t="s">
        <v>4749</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4750</v>
      </c>
      <c r="D789" s="1523">
        <v>1</v>
      </c>
      <c r="E789" s="1523">
        <v>0</v>
      </c>
      <c r="F789" s="1524">
        <v>1</v>
      </c>
      <c r="G789" s="1537" t="s">
        <v>4750</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4751</v>
      </c>
      <c r="D790" s="1523">
        <v>1</v>
      </c>
      <c r="E790" s="1523">
        <v>1</v>
      </c>
      <c r="F790" s="1524">
        <v>2</v>
      </c>
      <c r="G790" s="1537" t="s">
        <v>4751</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4752</v>
      </c>
      <c r="D791" s="1523">
        <v>1</v>
      </c>
      <c r="E791" s="1523">
        <v>1</v>
      </c>
      <c r="F791" s="1524">
        <v>2</v>
      </c>
      <c r="G791" s="1537" t="s">
        <v>4752</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4753</v>
      </c>
      <c r="D792" s="1523">
        <v>1</v>
      </c>
      <c r="E792" s="1523">
        <v>1</v>
      </c>
      <c r="F792" s="1524">
        <v>2</v>
      </c>
      <c r="G792" s="1537" t="s">
        <v>4753</v>
      </c>
      <c r="H792" s="1521">
        <v>1</v>
      </c>
      <c r="I792" s="1521">
        <v>1</v>
      </c>
      <c r="J792" s="1538">
        <v>2</v>
      </c>
      <c r="K792" s="1525"/>
      <c r="L792" s="1519">
        <v>13067030409</v>
      </c>
      <c r="M792" s="1520">
        <v>1</v>
      </c>
      <c r="N792" s="1520">
        <v>1</v>
      </c>
      <c r="O792" s="1520">
        <v>2</v>
      </c>
      <c r="P792" s="307"/>
      <c r="Q792" s="307"/>
      <c r="R792" s="307"/>
      <c r="S792" s="307"/>
      <c r="T792" s="380" t="s">
        <v>1484</v>
      </c>
      <c r="U792" s="380" t="s">
        <v>1791</v>
      </c>
      <c r="AA792" s="27"/>
      <c r="AB792" s="27"/>
      <c r="AC792" s="89"/>
      <c r="AD792" s="481"/>
    </row>
    <row r="793" spans="3:30" ht="13.5">
      <c r="C793" s="1526" t="s">
        <v>4754</v>
      </c>
      <c r="D793" s="1523">
        <v>1</v>
      </c>
      <c r="E793" s="1523">
        <v>1</v>
      </c>
      <c r="F793" s="1524">
        <v>2</v>
      </c>
      <c r="G793" s="1537" t="s">
        <v>4754</v>
      </c>
      <c r="H793" s="1521">
        <v>1</v>
      </c>
      <c r="I793" s="1521">
        <v>1</v>
      </c>
      <c r="J793" s="1538">
        <v>2</v>
      </c>
      <c r="K793" s="1525"/>
      <c r="L793" s="1519">
        <v>13067030410</v>
      </c>
      <c r="M793" s="1520">
        <v>1</v>
      </c>
      <c r="N793" s="1520">
        <v>1</v>
      </c>
      <c r="O793" s="1520">
        <v>2</v>
      </c>
      <c r="P793" s="307"/>
      <c r="Q793" s="307"/>
      <c r="R793" s="307"/>
      <c r="S793" s="307"/>
      <c r="T793" s="380" t="s">
        <v>1485</v>
      </c>
      <c r="U793" s="380" t="s">
        <v>2085</v>
      </c>
      <c r="AA793" s="27"/>
      <c r="AB793" s="27"/>
      <c r="AC793" s="89"/>
      <c r="AD793" s="481"/>
    </row>
    <row r="794" spans="3:30" ht="13.5">
      <c r="C794" s="1526" t="s">
        <v>4755</v>
      </c>
      <c r="D794" s="1523">
        <v>0</v>
      </c>
      <c r="E794" s="1523">
        <v>0</v>
      </c>
      <c r="F794" s="1524">
        <v>0</v>
      </c>
      <c r="G794" s="1537" t="s">
        <v>4755</v>
      </c>
      <c r="H794" s="1521">
        <v>0</v>
      </c>
      <c r="I794" s="1521" t="s">
        <v>4099</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4756</v>
      </c>
      <c r="D795" s="1523">
        <v>0</v>
      </c>
      <c r="E795" s="1523">
        <v>0</v>
      </c>
      <c r="F795" s="1524">
        <v>0</v>
      </c>
      <c r="G795" s="1537" t="s">
        <v>4756</v>
      </c>
      <c r="H795" s="1521">
        <v>0</v>
      </c>
      <c r="I795" s="1521">
        <v>0</v>
      </c>
      <c r="J795" s="1538">
        <v>0</v>
      </c>
      <c r="K795" s="1525"/>
      <c r="L795" s="1519">
        <v>13067030412</v>
      </c>
      <c r="M795" s="1520">
        <v>0</v>
      </c>
      <c r="N795" s="1520">
        <v>0</v>
      </c>
      <c r="O795" s="1520">
        <v>0</v>
      </c>
      <c r="P795" s="307"/>
      <c r="Q795" s="307"/>
      <c r="R795" s="307"/>
      <c r="S795" s="307"/>
      <c r="T795" s="380" t="s">
        <v>2276</v>
      </c>
      <c r="U795" s="380" t="s">
        <v>641</v>
      </c>
      <c r="AA795" s="27"/>
      <c r="AB795" s="27"/>
      <c r="AC795" s="89"/>
      <c r="AD795" s="481"/>
    </row>
    <row r="796" spans="3:30" ht="13.5">
      <c r="C796" s="1526" t="s">
        <v>4757</v>
      </c>
      <c r="D796" s="1523">
        <v>0</v>
      </c>
      <c r="E796" s="1523">
        <v>0</v>
      </c>
      <c r="F796" s="1524">
        <v>0</v>
      </c>
      <c r="G796" s="1537" t="s">
        <v>4757</v>
      </c>
      <c r="H796" s="1521">
        <v>1</v>
      </c>
      <c r="I796" s="1521" t="s">
        <v>4099</v>
      </c>
      <c r="J796" s="1538">
        <v>1</v>
      </c>
      <c r="K796" s="1525"/>
      <c r="L796" s="1519">
        <v>13067030413</v>
      </c>
      <c r="M796" s="1520">
        <v>1</v>
      </c>
      <c r="N796" s="1520">
        <v>0</v>
      </c>
      <c r="O796" s="1520">
        <v>1</v>
      </c>
      <c r="P796" s="307"/>
      <c r="Q796" s="307"/>
      <c r="R796" s="307"/>
      <c r="S796" s="307"/>
      <c r="T796" s="380" t="s">
        <v>2277</v>
      </c>
      <c r="U796" s="380" t="s">
        <v>627</v>
      </c>
      <c r="AA796" s="27"/>
      <c r="AB796" s="27"/>
      <c r="AC796" s="89"/>
      <c r="AD796" s="481"/>
    </row>
    <row r="797" spans="3:30" ht="13.5">
      <c r="C797" s="1526" t="s">
        <v>4758</v>
      </c>
      <c r="D797" s="1523">
        <v>0</v>
      </c>
      <c r="E797" s="1523">
        <v>0</v>
      </c>
      <c r="F797" s="1524">
        <v>0</v>
      </c>
      <c r="G797" s="1537" t="s">
        <v>4758</v>
      </c>
      <c r="H797" s="1521">
        <v>0</v>
      </c>
      <c r="I797" s="1521" t="s">
        <v>4099</v>
      </c>
      <c r="J797" s="1538">
        <v>0</v>
      </c>
      <c r="K797" s="1525"/>
      <c r="L797" s="1519">
        <v>13067030414</v>
      </c>
      <c r="M797" s="1520">
        <v>0</v>
      </c>
      <c r="N797" s="1520">
        <v>0</v>
      </c>
      <c r="O797" s="1520">
        <v>0</v>
      </c>
      <c r="P797" s="307"/>
      <c r="Q797" s="307"/>
      <c r="R797" s="307"/>
      <c r="S797" s="307"/>
      <c r="T797" s="380" t="s">
        <v>2278</v>
      </c>
      <c r="U797" s="380" t="s">
        <v>317</v>
      </c>
      <c r="AA797" s="27"/>
      <c r="AB797" s="27"/>
      <c r="AC797" s="89"/>
      <c r="AD797" s="481"/>
    </row>
    <row r="798" spans="3:30" ht="13.5">
      <c r="C798" s="1526" t="s">
        <v>4759</v>
      </c>
      <c r="D798" s="1523">
        <v>1</v>
      </c>
      <c r="E798" s="1523">
        <v>1</v>
      </c>
      <c r="F798" s="1524">
        <v>2</v>
      </c>
      <c r="G798" s="1537" t="s">
        <v>4759</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4760</v>
      </c>
      <c r="D799" s="1523">
        <v>1</v>
      </c>
      <c r="E799" s="1523">
        <v>0</v>
      </c>
      <c r="F799" s="1524">
        <v>1</v>
      </c>
      <c r="G799" s="1537" t="s">
        <v>4760</v>
      </c>
      <c r="H799" s="1521">
        <v>1</v>
      </c>
      <c r="I799" s="1521">
        <v>0</v>
      </c>
      <c r="J799" s="1538">
        <v>1</v>
      </c>
      <c r="K799" s="1525"/>
      <c r="L799" s="1519">
        <v>13067030504</v>
      </c>
      <c r="M799" s="1520">
        <v>1</v>
      </c>
      <c r="N799" s="1520">
        <v>0</v>
      </c>
      <c r="O799" s="1520">
        <v>1</v>
      </c>
      <c r="P799" s="307"/>
      <c r="Q799" s="307"/>
      <c r="R799" s="307"/>
      <c r="S799" s="307"/>
      <c r="T799" s="380" t="s">
        <v>802</v>
      </c>
      <c r="U799" s="380" t="s">
        <v>1916</v>
      </c>
      <c r="AA799" s="27"/>
      <c r="AB799" s="27"/>
      <c r="AC799" s="89"/>
      <c r="AD799" s="481"/>
    </row>
    <row r="800" spans="3:30" ht="13.5">
      <c r="C800" s="1526" t="s">
        <v>4761</v>
      </c>
      <c r="D800" s="1523">
        <v>1</v>
      </c>
      <c r="E800" s="1523">
        <v>0</v>
      </c>
      <c r="F800" s="1524">
        <v>1</v>
      </c>
      <c r="G800" s="1537" t="s">
        <v>4761</v>
      </c>
      <c r="H800" s="1521">
        <v>1</v>
      </c>
      <c r="I800" s="1521">
        <v>0</v>
      </c>
      <c r="J800" s="1538">
        <v>1</v>
      </c>
      <c r="K800" s="1525"/>
      <c r="L800" s="1519">
        <v>13067030505</v>
      </c>
      <c r="M800" s="1520">
        <v>1</v>
      </c>
      <c r="N800" s="1520">
        <v>0</v>
      </c>
      <c r="O800" s="1520">
        <v>1</v>
      </c>
      <c r="P800" s="307"/>
      <c r="Q800" s="307"/>
      <c r="R800" s="307"/>
      <c r="S800" s="307"/>
      <c r="T800" s="380" t="s">
        <v>2670</v>
      </c>
      <c r="U800" s="380" t="s">
        <v>107</v>
      </c>
      <c r="AA800" s="27"/>
      <c r="AB800" s="27"/>
      <c r="AC800" s="89"/>
      <c r="AD800" s="481"/>
    </row>
    <row r="801" spans="3:30" ht="13.5">
      <c r="C801" s="1526" t="s">
        <v>4762</v>
      </c>
      <c r="D801" s="1523">
        <v>1</v>
      </c>
      <c r="E801" s="1523">
        <v>1</v>
      </c>
      <c r="F801" s="1524">
        <v>2</v>
      </c>
      <c r="G801" s="1537" t="s">
        <v>4762</v>
      </c>
      <c r="H801" s="1521">
        <v>1</v>
      </c>
      <c r="I801" s="1521">
        <v>0</v>
      </c>
      <c r="J801" s="1538">
        <v>1</v>
      </c>
      <c r="K801" s="1525"/>
      <c r="L801" s="1519">
        <v>13067030506</v>
      </c>
      <c r="M801" s="1520">
        <v>1</v>
      </c>
      <c r="N801" s="1520">
        <v>1</v>
      </c>
      <c r="O801" s="1520">
        <v>2</v>
      </c>
      <c r="P801" s="307"/>
      <c r="Q801" s="307"/>
      <c r="R801" s="307"/>
      <c r="S801" s="307"/>
      <c r="T801" s="380" t="s">
        <v>803</v>
      </c>
      <c r="U801" s="380" t="s">
        <v>1823</v>
      </c>
      <c r="AA801" s="27"/>
      <c r="AB801" s="27"/>
      <c r="AC801" s="89"/>
      <c r="AD801" s="481"/>
    </row>
    <row r="802" spans="3:30" ht="13.5">
      <c r="C802" s="1526" t="s">
        <v>4763</v>
      </c>
      <c r="D802" s="1523">
        <v>1</v>
      </c>
      <c r="E802" s="1523">
        <v>1</v>
      </c>
      <c r="F802" s="1524">
        <v>2</v>
      </c>
      <c r="G802" s="1537" t="s">
        <v>4763</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4764</v>
      </c>
      <c r="D803" s="1523">
        <v>1</v>
      </c>
      <c r="E803" s="1523">
        <v>1</v>
      </c>
      <c r="F803" s="1524">
        <v>2</v>
      </c>
      <c r="G803" s="1537" t="s">
        <v>4764</v>
      </c>
      <c r="H803" s="1521">
        <v>1</v>
      </c>
      <c r="I803" s="1521" t="s">
        <v>4099</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4765</v>
      </c>
      <c r="D804" s="1523">
        <v>1</v>
      </c>
      <c r="E804" s="1523">
        <v>1</v>
      </c>
      <c r="F804" s="1524">
        <v>2</v>
      </c>
      <c r="G804" s="1537" t="s">
        <v>4765</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4766</v>
      </c>
      <c r="D805" s="1523">
        <v>1</v>
      </c>
      <c r="E805" s="1523">
        <v>0</v>
      </c>
      <c r="F805" s="1524">
        <v>1</v>
      </c>
      <c r="G805" s="1537" t="s">
        <v>4766</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4767</v>
      </c>
      <c r="D806" s="1523">
        <v>0</v>
      </c>
      <c r="E806" s="1523">
        <v>0</v>
      </c>
      <c r="F806" s="1524">
        <v>0</v>
      </c>
      <c r="G806" s="1537" t="s">
        <v>4767</v>
      </c>
      <c r="H806" s="1521">
        <v>0</v>
      </c>
      <c r="I806" s="1521" t="s">
        <v>4099</v>
      </c>
      <c r="J806" s="1538">
        <v>0</v>
      </c>
      <c r="K806" s="1525"/>
      <c r="L806" s="1519">
        <v>13067030800</v>
      </c>
      <c r="M806" s="1520">
        <v>0</v>
      </c>
      <c r="N806" s="1520">
        <v>0</v>
      </c>
      <c r="O806" s="1520">
        <v>0</v>
      </c>
      <c r="T806" s="418"/>
      <c r="U806" s="418"/>
      <c r="AA806" s="27"/>
      <c r="AB806" s="27"/>
      <c r="AC806" s="481"/>
      <c r="AD806" s="481"/>
    </row>
    <row r="807" spans="3:30" ht="13.5">
      <c r="C807" s="1526" t="s">
        <v>4768</v>
      </c>
      <c r="D807" s="1523">
        <v>1</v>
      </c>
      <c r="E807" s="1523">
        <v>1</v>
      </c>
      <c r="F807" s="1524">
        <v>2</v>
      </c>
      <c r="G807" s="1537" t="s">
        <v>4768</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4769</v>
      </c>
      <c r="D808" s="1523">
        <v>1</v>
      </c>
      <c r="E808" s="1523">
        <v>0</v>
      </c>
      <c r="F808" s="1524">
        <v>1</v>
      </c>
      <c r="G808" s="1537" t="s">
        <v>4769</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4770</v>
      </c>
      <c r="D809" s="1523">
        <v>0</v>
      </c>
      <c r="E809" s="1523">
        <v>0</v>
      </c>
      <c r="F809" s="1524">
        <v>0</v>
      </c>
      <c r="G809" s="1537" t="s">
        <v>4770</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4771</v>
      </c>
      <c r="D810" s="1523">
        <v>0</v>
      </c>
      <c r="E810" s="1523">
        <v>0</v>
      </c>
      <c r="F810" s="1524">
        <v>0</v>
      </c>
      <c r="G810" s="1537" t="s">
        <v>4771</v>
      </c>
      <c r="H810" s="1521">
        <v>0</v>
      </c>
      <c r="I810" s="1521">
        <v>0</v>
      </c>
      <c r="J810" s="1538">
        <v>0</v>
      </c>
      <c r="K810" s="1525"/>
      <c r="L810" s="1519">
        <v>13067030905</v>
      </c>
      <c r="M810" s="1520">
        <v>0</v>
      </c>
      <c r="N810" s="1520">
        <v>0</v>
      </c>
      <c r="O810" s="1520">
        <v>0</v>
      </c>
      <c r="AA810" s="27"/>
      <c r="AB810" s="27"/>
      <c r="AC810" s="481"/>
      <c r="AD810" s="481"/>
    </row>
    <row r="811" spans="3:30" ht="13.5">
      <c r="C811" s="1526" t="s">
        <v>4772</v>
      </c>
      <c r="D811" s="1523">
        <v>0</v>
      </c>
      <c r="E811" s="1523">
        <v>0</v>
      </c>
      <c r="F811" s="1524">
        <v>0</v>
      </c>
      <c r="G811" s="1537" t="s">
        <v>4772</v>
      </c>
      <c r="H811" s="1521">
        <v>0</v>
      </c>
      <c r="I811" s="1521">
        <v>0</v>
      </c>
      <c r="J811" s="1538">
        <v>0</v>
      </c>
      <c r="K811" s="1525"/>
      <c r="L811" s="1519">
        <v>13067031001</v>
      </c>
      <c r="M811" s="1520">
        <v>0</v>
      </c>
      <c r="N811" s="1520">
        <v>0</v>
      </c>
      <c r="O811" s="1520">
        <v>0</v>
      </c>
      <c r="AA811" s="27"/>
      <c r="AB811" s="27"/>
      <c r="AC811" s="481"/>
      <c r="AD811" s="481"/>
    </row>
    <row r="812" spans="3:30" ht="13.5">
      <c r="C812" s="1526" t="s">
        <v>4773</v>
      </c>
      <c r="D812" s="1523">
        <v>0</v>
      </c>
      <c r="E812" s="1523">
        <v>0</v>
      </c>
      <c r="F812" s="1524">
        <v>0</v>
      </c>
      <c r="G812" s="1537" t="s">
        <v>4773</v>
      </c>
      <c r="H812" s="1521">
        <v>0</v>
      </c>
      <c r="I812" s="1521">
        <v>0</v>
      </c>
      <c r="J812" s="1538">
        <v>0</v>
      </c>
      <c r="K812" s="1525"/>
      <c r="L812" s="1519">
        <v>13067031002</v>
      </c>
      <c r="M812" s="1520">
        <v>0</v>
      </c>
      <c r="N812" s="1520">
        <v>0</v>
      </c>
      <c r="O812" s="1520">
        <v>0</v>
      </c>
      <c r="AA812" s="27"/>
      <c r="AB812" s="27"/>
      <c r="AC812" s="481"/>
      <c r="AD812" s="481"/>
    </row>
    <row r="813" spans="3:30" ht="13.5">
      <c r="C813" s="1526" t="s">
        <v>4774</v>
      </c>
      <c r="D813" s="1523">
        <v>0</v>
      </c>
      <c r="E813" s="1523">
        <v>0</v>
      </c>
      <c r="F813" s="1524">
        <v>0</v>
      </c>
      <c r="G813" s="1537" t="s">
        <v>4774</v>
      </c>
      <c r="H813" s="1521">
        <v>0</v>
      </c>
      <c r="I813" s="1521">
        <v>0</v>
      </c>
      <c r="J813" s="1538">
        <v>0</v>
      </c>
      <c r="K813" s="1525"/>
      <c r="L813" s="1519">
        <v>13067031004</v>
      </c>
      <c r="M813" s="1520">
        <v>0</v>
      </c>
      <c r="N813" s="1520">
        <v>0</v>
      </c>
      <c r="O813" s="1520">
        <v>0</v>
      </c>
      <c r="AA813" s="27"/>
      <c r="AB813" s="27"/>
      <c r="AC813" s="481"/>
      <c r="AD813" s="481"/>
    </row>
    <row r="814" spans="3:30" ht="13.5">
      <c r="C814" s="1526" t="s">
        <v>4775</v>
      </c>
      <c r="D814" s="1523">
        <v>0</v>
      </c>
      <c r="E814" s="1523">
        <v>0</v>
      </c>
      <c r="F814" s="1524">
        <v>0</v>
      </c>
      <c r="G814" s="1537" t="s">
        <v>4775</v>
      </c>
      <c r="H814" s="1521">
        <v>0</v>
      </c>
      <c r="I814" s="1521">
        <v>0</v>
      </c>
      <c r="J814" s="1538">
        <v>0</v>
      </c>
      <c r="K814" s="1525"/>
      <c r="L814" s="1519">
        <v>13067031005</v>
      </c>
      <c r="M814" s="1520">
        <v>0</v>
      </c>
      <c r="N814" s="1520">
        <v>0</v>
      </c>
      <c r="O814" s="1520">
        <v>0</v>
      </c>
      <c r="AA814" s="27"/>
      <c r="AB814" s="27"/>
      <c r="AC814" s="481"/>
      <c r="AD814" s="481"/>
    </row>
    <row r="815" spans="3:30" ht="13.5">
      <c r="C815" s="1526" t="s">
        <v>4776</v>
      </c>
      <c r="D815" s="1523">
        <v>0</v>
      </c>
      <c r="E815" s="1523">
        <v>0</v>
      </c>
      <c r="F815" s="1524">
        <v>0</v>
      </c>
      <c r="G815" s="1537" t="s">
        <v>4776</v>
      </c>
      <c r="H815" s="1521">
        <v>0</v>
      </c>
      <c r="I815" s="1521">
        <v>0</v>
      </c>
      <c r="J815" s="1538">
        <v>0</v>
      </c>
      <c r="K815" s="1525"/>
      <c r="L815" s="1519">
        <v>13067031101</v>
      </c>
      <c r="M815" s="1520">
        <v>0</v>
      </c>
      <c r="N815" s="1520">
        <v>0</v>
      </c>
      <c r="O815" s="1520">
        <v>0</v>
      </c>
      <c r="AA815" s="27"/>
      <c r="AB815" s="27"/>
      <c r="AC815" s="481"/>
      <c r="AD815" s="481"/>
    </row>
    <row r="816" spans="3:30" ht="13.5">
      <c r="C816" s="1526" t="s">
        <v>4777</v>
      </c>
      <c r="D816" s="1523">
        <v>1</v>
      </c>
      <c r="E816" s="1523">
        <v>0</v>
      </c>
      <c r="F816" s="1524">
        <v>1</v>
      </c>
      <c r="G816" s="1537" t="s">
        <v>4777</v>
      </c>
      <c r="H816" s="1521">
        <v>1</v>
      </c>
      <c r="I816" s="1521">
        <v>1</v>
      </c>
      <c r="J816" s="1538">
        <v>2</v>
      </c>
      <c r="K816" s="1525"/>
      <c r="L816" s="1519">
        <v>13067031106</v>
      </c>
      <c r="M816" s="1520">
        <v>1</v>
      </c>
      <c r="N816" s="1520">
        <v>1</v>
      </c>
      <c r="O816" s="1520">
        <v>2</v>
      </c>
      <c r="AA816" s="27"/>
      <c r="AB816" s="27"/>
      <c r="AC816" s="481"/>
      <c r="AD816" s="481"/>
    </row>
    <row r="817" spans="3:30" ht="13.5">
      <c r="C817" s="1526" t="s">
        <v>4778</v>
      </c>
      <c r="D817" s="1523">
        <v>1</v>
      </c>
      <c r="E817" s="1523">
        <v>0</v>
      </c>
      <c r="F817" s="1524">
        <v>1</v>
      </c>
      <c r="G817" s="1537" t="s">
        <v>4778</v>
      </c>
      <c r="H817" s="1521">
        <v>1</v>
      </c>
      <c r="I817" s="1521">
        <v>1</v>
      </c>
      <c r="J817" s="1538">
        <v>2</v>
      </c>
      <c r="K817" s="1525"/>
      <c r="L817" s="1519">
        <v>13067031108</v>
      </c>
      <c r="M817" s="1520">
        <v>1</v>
      </c>
      <c r="N817" s="1520">
        <v>1</v>
      </c>
      <c r="O817" s="1520">
        <v>2</v>
      </c>
      <c r="AA817" s="27"/>
      <c r="AB817" s="27"/>
      <c r="AC817" s="481"/>
      <c r="AD817" s="481"/>
    </row>
    <row r="818" spans="3:30" ht="13.5">
      <c r="C818" s="1526" t="s">
        <v>4779</v>
      </c>
      <c r="D818" s="1523">
        <v>1</v>
      </c>
      <c r="E818" s="1523">
        <v>0</v>
      </c>
      <c r="F818" s="1524">
        <v>1</v>
      </c>
      <c r="G818" s="1537" t="s">
        <v>4779</v>
      </c>
      <c r="H818" s="1521">
        <v>1</v>
      </c>
      <c r="I818" s="1521">
        <v>0</v>
      </c>
      <c r="J818" s="1538">
        <v>1</v>
      </c>
      <c r="K818" s="1525"/>
      <c r="L818" s="1519">
        <v>13067031110</v>
      </c>
      <c r="M818" s="1520">
        <v>1</v>
      </c>
      <c r="N818" s="1520">
        <v>0</v>
      </c>
      <c r="O818" s="1520">
        <v>1</v>
      </c>
      <c r="AA818" s="27"/>
      <c r="AB818" s="27"/>
      <c r="AC818" s="481"/>
      <c r="AD818" s="481"/>
    </row>
    <row r="819" spans="3:30" ht="13.5">
      <c r="C819" s="1526" t="s">
        <v>4780</v>
      </c>
      <c r="D819" s="1523">
        <v>1</v>
      </c>
      <c r="E819" s="1523">
        <v>1</v>
      </c>
      <c r="F819" s="1524">
        <v>2</v>
      </c>
      <c r="G819" s="1537" t="s">
        <v>4780</v>
      </c>
      <c r="H819" s="1521">
        <v>1</v>
      </c>
      <c r="I819" s="1521">
        <v>1</v>
      </c>
      <c r="J819" s="1538">
        <v>2</v>
      </c>
      <c r="K819" s="1525"/>
      <c r="L819" s="1519">
        <v>13067031111</v>
      </c>
      <c r="M819" s="1520">
        <v>1</v>
      </c>
      <c r="N819" s="1520">
        <v>1</v>
      </c>
      <c r="O819" s="1520">
        <v>2</v>
      </c>
      <c r="AA819" s="27"/>
      <c r="AB819" s="27"/>
      <c r="AC819" s="481"/>
      <c r="AD819" s="481"/>
    </row>
    <row r="820" spans="3:30" ht="13.5">
      <c r="C820" s="1526" t="s">
        <v>4781</v>
      </c>
      <c r="D820" s="1523">
        <v>1</v>
      </c>
      <c r="E820" s="1523">
        <v>1</v>
      </c>
      <c r="F820" s="1524">
        <v>2</v>
      </c>
      <c r="G820" s="1537" t="s">
        <v>4781</v>
      </c>
      <c r="H820" s="1521">
        <v>1</v>
      </c>
      <c r="I820" s="1521">
        <v>1</v>
      </c>
      <c r="J820" s="1538">
        <v>2</v>
      </c>
      <c r="K820" s="1525"/>
      <c r="L820" s="1519">
        <v>13067031112</v>
      </c>
      <c r="M820" s="1520">
        <v>1</v>
      </c>
      <c r="N820" s="1520">
        <v>1</v>
      </c>
      <c r="O820" s="1520">
        <v>2</v>
      </c>
      <c r="AA820" s="27"/>
      <c r="AB820" s="27"/>
      <c r="AC820" s="481"/>
      <c r="AD820" s="481"/>
    </row>
    <row r="821" spans="3:30" ht="13.5">
      <c r="C821" s="1526" t="s">
        <v>4782</v>
      </c>
      <c r="D821" s="1523">
        <v>0</v>
      </c>
      <c r="E821" s="1523">
        <v>0</v>
      </c>
      <c r="F821" s="1524">
        <v>0</v>
      </c>
      <c r="G821" s="1537" t="s">
        <v>4782</v>
      </c>
      <c r="H821" s="1521">
        <v>1</v>
      </c>
      <c r="I821" s="1521" t="s">
        <v>4099</v>
      </c>
      <c r="J821" s="1538">
        <v>1</v>
      </c>
      <c r="K821" s="1525"/>
      <c r="L821" s="1519">
        <v>13067031113</v>
      </c>
      <c r="M821" s="1520">
        <v>1</v>
      </c>
      <c r="N821" s="1520">
        <v>0</v>
      </c>
      <c r="O821" s="1520">
        <v>1</v>
      </c>
      <c r="AA821" s="27"/>
      <c r="AB821" s="27"/>
      <c r="AC821" s="481"/>
      <c r="AD821" s="481"/>
    </row>
    <row r="822" spans="3:30" ht="13.5">
      <c r="C822" s="1526" t="s">
        <v>4783</v>
      </c>
      <c r="D822" s="1523">
        <v>0</v>
      </c>
      <c r="E822" s="1523">
        <v>0</v>
      </c>
      <c r="F822" s="1524">
        <v>0</v>
      </c>
      <c r="G822" s="1537" t="s">
        <v>4783</v>
      </c>
      <c r="H822" s="1521">
        <v>1</v>
      </c>
      <c r="I822" s="1521">
        <v>0</v>
      </c>
      <c r="J822" s="1538">
        <v>1</v>
      </c>
      <c r="K822" s="1525"/>
      <c r="L822" s="1519">
        <v>13067031114</v>
      </c>
      <c r="M822" s="1520">
        <v>1</v>
      </c>
      <c r="N822" s="1520">
        <v>0</v>
      </c>
      <c r="O822" s="1520">
        <v>1</v>
      </c>
      <c r="AA822" s="27"/>
      <c r="AB822" s="27"/>
      <c r="AC822" s="481"/>
      <c r="AD822" s="481"/>
    </row>
    <row r="823" spans="3:30" ht="13.5">
      <c r="C823" s="1526" t="s">
        <v>4784</v>
      </c>
      <c r="D823" s="1523">
        <v>1</v>
      </c>
      <c r="E823" s="1523">
        <v>0</v>
      </c>
      <c r="F823" s="1524">
        <v>1</v>
      </c>
      <c r="G823" s="1537" t="s">
        <v>4784</v>
      </c>
      <c r="H823" s="1521">
        <v>1</v>
      </c>
      <c r="I823" s="1521">
        <v>0</v>
      </c>
      <c r="J823" s="1538">
        <v>1</v>
      </c>
      <c r="K823" s="1525"/>
      <c r="L823" s="1519">
        <v>13067031115</v>
      </c>
      <c r="M823" s="1520">
        <v>1</v>
      </c>
      <c r="N823" s="1520">
        <v>0</v>
      </c>
      <c r="O823" s="1520">
        <v>1</v>
      </c>
      <c r="AA823" s="27"/>
      <c r="AB823" s="27"/>
      <c r="AC823" s="481"/>
      <c r="AD823" s="481"/>
    </row>
    <row r="824" spans="3:30" ht="13.5">
      <c r="C824" s="1526" t="s">
        <v>4785</v>
      </c>
      <c r="D824" s="1523">
        <v>0</v>
      </c>
      <c r="E824" s="1523">
        <v>0</v>
      </c>
      <c r="F824" s="1524">
        <v>0</v>
      </c>
      <c r="G824" s="1537" t="s">
        <v>4785</v>
      </c>
      <c r="H824" s="1521">
        <v>0</v>
      </c>
      <c r="I824" s="1521" t="s">
        <v>4099</v>
      </c>
      <c r="J824" s="1538">
        <v>0</v>
      </c>
      <c r="K824" s="1525"/>
      <c r="L824" s="1519">
        <v>13067031116</v>
      </c>
      <c r="M824" s="1520">
        <v>0</v>
      </c>
      <c r="N824" s="1520">
        <v>0</v>
      </c>
      <c r="O824" s="1520">
        <v>0</v>
      </c>
      <c r="AA824" s="27"/>
      <c r="AB824" s="27"/>
      <c r="AC824" s="481"/>
      <c r="AD824" s="481"/>
    </row>
    <row r="825" spans="3:30" ht="13.5">
      <c r="C825" s="1526" t="s">
        <v>4786</v>
      </c>
      <c r="D825" s="1523">
        <v>1</v>
      </c>
      <c r="E825" s="1523">
        <v>1</v>
      </c>
      <c r="F825" s="1524">
        <v>2</v>
      </c>
      <c r="G825" s="1537" t="s">
        <v>4786</v>
      </c>
      <c r="H825" s="1521">
        <v>1</v>
      </c>
      <c r="I825" s="1521">
        <v>1</v>
      </c>
      <c r="J825" s="1538">
        <v>2</v>
      </c>
      <c r="K825" s="1525"/>
      <c r="L825" s="1519">
        <v>13067031117</v>
      </c>
      <c r="M825" s="1520">
        <v>1</v>
      </c>
      <c r="N825" s="1520">
        <v>1</v>
      </c>
      <c r="O825" s="1520">
        <v>2</v>
      </c>
      <c r="AA825" s="27"/>
      <c r="AB825" s="27"/>
      <c r="AC825" s="481"/>
      <c r="AD825" s="481"/>
    </row>
    <row r="826" spans="3:30" ht="13.5">
      <c r="C826" s="1526" t="s">
        <v>4787</v>
      </c>
      <c r="D826" s="1523">
        <v>1</v>
      </c>
      <c r="E826" s="1523">
        <v>1</v>
      </c>
      <c r="F826" s="1524">
        <v>2</v>
      </c>
      <c r="G826" s="1537" t="s">
        <v>4787</v>
      </c>
      <c r="H826" s="1521">
        <v>1</v>
      </c>
      <c r="I826" s="1521">
        <v>1</v>
      </c>
      <c r="J826" s="1538">
        <v>2</v>
      </c>
      <c r="K826" s="1525"/>
      <c r="L826" s="1519">
        <v>13067031118</v>
      </c>
      <c r="M826" s="1520">
        <v>1</v>
      </c>
      <c r="N826" s="1520">
        <v>1</v>
      </c>
      <c r="O826" s="1520">
        <v>2</v>
      </c>
      <c r="AA826" s="27"/>
      <c r="AB826" s="27"/>
      <c r="AC826" s="481"/>
      <c r="AD826" s="481"/>
    </row>
    <row r="827" spans="3:30" ht="13.5">
      <c r="C827" s="1526" t="s">
        <v>4788</v>
      </c>
      <c r="D827" s="1523">
        <v>1</v>
      </c>
      <c r="E827" s="1523">
        <v>1</v>
      </c>
      <c r="F827" s="1524">
        <v>2</v>
      </c>
      <c r="G827" s="1537" t="s">
        <v>4788</v>
      </c>
      <c r="H827" s="1521">
        <v>1</v>
      </c>
      <c r="I827" s="1521">
        <v>1</v>
      </c>
      <c r="J827" s="1538">
        <v>2</v>
      </c>
      <c r="K827" s="1525"/>
      <c r="L827" s="1519">
        <v>13067031205</v>
      </c>
      <c r="M827" s="1520">
        <v>1</v>
      </c>
      <c r="N827" s="1520">
        <v>1</v>
      </c>
      <c r="O827" s="1520">
        <v>2</v>
      </c>
      <c r="AA827" s="27"/>
      <c r="AB827" s="27"/>
      <c r="AC827" s="481"/>
      <c r="AD827" s="481"/>
    </row>
    <row r="828" spans="3:30" ht="13.5">
      <c r="C828" s="1526" t="s">
        <v>4789</v>
      </c>
      <c r="D828" s="1523">
        <v>1</v>
      </c>
      <c r="E828" s="1523">
        <v>1</v>
      </c>
      <c r="F828" s="1524">
        <v>2</v>
      </c>
      <c r="G828" s="1537" t="s">
        <v>4789</v>
      </c>
      <c r="H828" s="1521">
        <v>1</v>
      </c>
      <c r="I828" s="1521">
        <v>1</v>
      </c>
      <c r="J828" s="1538">
        <v>2</v>
      </c>
      <c r="K828" s="1525"/>
      <c r="L828" s="1519">
        <v>13067031206</v>
      </c>
      <c r="M828" s="1520">
        <v>1</v>
      </c>
      <c r="N828" s="1520">
        <v>1</v>
      </c>
      <c r="O828" s="1520">
        <v>2</v>
      </c>
      <c r="AA828" s="27"/>
      <c r="AB828" s="27"/>
      <c r="AC828" s="481"/>
      <c r="AD828" s="481"/>
    </row>
    <row r="829" spans="3:30" ht="13.5">
      <c r="C829" s="1526" t="s">
        <v>4790</v>
      </c>
      <c r="D829" s="1523">
        <v>1</v>
      </c>
      <c r="E829" s="1523">
        <v>1</v>
      </c>
      <c r="F829" s="1524">
        <v>2</v>
      </c>
      <c r="G829" s="1537" t="s">
        <v>4790</v>
      </c>
      <c r="H829" s="1521">
        <v>1</v>
      </c>
      <c r="I829" s="1521" t="s">
        <v>4099</v>
      </c>
      <c r="J829" s="1538">
        <v>1</v>
      </c>
      <c r="K829" s="1525"/>
      <c r="L829" s="1519">
        <v>13067031207</v>
      </c>
      <c r="M829" s="1520">
        <v>1</v>
      </c>
      <c r="N829" s="1520">
        <v>1</v>
      </c>
      <c r="O829" s="1520">
        <v>2</v>
      </c>
      <c r="AA829" s="27"/>
      <c r="AB829" s="27"/>
      <c r="AC829" s="481"/>
      <c r="AD829" s="481"/>
    </row>
    <row r="830" spans="3:30" ht="13.5">
      <c r="C830" s="1526" t="s">
        <v>4791</v>
      </c>
      <c r="D830" s="1523">
        <v>1</v>
      </c>
      <c r="E830" s="1523">
        <v>1</v>
      </c>
      <c r="F830" s="1524">
        <v>2</v>
      </c>
      <c r="G830" s="1537" t="s">
        <v>4791</v>
      </c>
      <c r="H830" s="1521">
        <v>1</v>
      </c>
      <c r="I830" s="1521">
        <v>1</v>
      </c>
      <c r="J830" s="1538">
        <v>2</v>
      </c>
      <c r="K830" s="1525"/>
      <c r="L830" s="1519">
        <v>13067031208</v>
      </c>
      <c r="M830" s="1520">
        <v>1</v>
      </c>
      <c r="N830" s="1520">
        <v>1</v>
      </c>
      <c r="O830" s="1520">
        <v>2</v>
      </c>
      <c r="AA830" s="27"/>
      <c r="AB830" s="27"/>
      <c r="AC830" s="481"/>
      <c r="AD830" s="481"/>
    </row>
    <row r="831" spans="3:30" ht="13.5">
      <c r="C831" s="1526" t="s">
        <v>4792</v>
      </c>
      <c r="D831" s="1523">
        <v>1</v>
      </c>
      <c r="E831" s="1523">
        <v>1</v>
      </c>
      <c r="F831" s="1524">
        <v>2</v>
      </c>
      <c r="G831" s="1537" t="s">
        <v>4792</v>
      </c>
      <c r="H831" s="1521">
        <v>1</v>
      </c>
      <c r="I831" s="1521">
        <v>1</v>
      </c>
      <c r="J831" s="1538">
        <v>2</v>
      </c>
      <c r="K831" s="1525"/>
      <c r="L831" s="1519">
        <v>13067031209</v>
      </c>
      <c r="M831" s="1520">
        <v>1</v>
      </c>
      <c r="N831" s="1520">
        <v>1</v>
      </c>
      <c r="O831" s="1520">
        <v>2</v>
      </c>
      <c r="AA831" s="27"/>
      <c r="AB831" s="27"/>
      <c r="AC831" s="481"/>
      <c r="AD831" s="481"/>
    </row>
    <row r="832" spans="3:30" ht="13.5">
      <c r="C832" s="1526" t="s">
        <v>4793</v>
      </c>
      <c r="D832" s="1523">
        <v>1</v>
      </c>
      <c r="E832" s="1523">
        <v>1</v>
      </c>
      <c r="F832" s="1524">
        <v>2</v>
      </c>
      <c r="G832" s="1537" t="s">
        <v>4793</v>
      </c>
      <c r="H832" s="1521">
        <v>1</v>
      </c>
      <c r="I832" s="1521">
        <v>1</v>
      </c>
      <c r="J832" s="1538">
        <v>2</v>
      </c>
      <c r="K832" s="1525"/>
      <c r="L832" s="1519">
        <v>13067031211</v>
      </c>
      <c r="M832" s="1520">
        <v>1</v>
      </c>
      <c r="N832" s="1520">
        <v>1</v>
      </c>
      <c r="O832" s="1520">
        <v>2</v>
      </c>
      <c r="AA832" s="27"/>
      <c r="AB832" s="27"/>
      <c r="AC832" s="481"/>
      <c r="AD832" s="481"/>
    </row>
    <row r="833" spans="3:30" ht="13.5">
      <c r="C833" s="1526" t="s">
        <v>4794</v>
      </c>
      <c r="D833" s="1523">
        <v>1</v>
      </c>
      <c r="E833" s="1523">
        <v>1</v>
      </c>
      <c r="F833" s="1524">
        <v>2</v>
      </c>
      <c r="G833" s="1537" t="s">
        <v>4794</v>
      </c>
      <c r="H833" s="1521">
        <v>1</v>
      </c>
      <c r="I833" s="1521">
        <v>1</v>
      </c>
      <c r="J833" s="1538">
        <v>2</v>
      </c>
      <c r="K833" s="1525"/>
      <c r="L833" s="1519">
        <v>13067031212</v>
      </c>
      <c r="M833" s="1520">
        <v>1</v>
      </c>
      <c r="N833" s="1520">
        <v>1</v>
      </c>
      <c r="O833" s="1520">
        <v>2</v>
      </c>
      <c r="AA833" s="27"/>
      <c r="AB833" s="27"/>
      <c r="AC833" s="481"/>
      <c r="AD833" s="481"/>
    </row>
    <row r="834" spans="3:30" ht="13.5">
      <c r="C834" s="1526" t="s">
        <v>4795</v>
      </c>
      <c r="D834" s="1523">
        <v>1</v>
      </c>
      <c r="E834" s="1523">
        <v>0</v>
      </c>
      <c r="F834" s="1524">
        <v>1</v>
      </c>
      <c r="G834" s="1537" t="s">
        <v>4795</v>
      </c>
      <c r="H834" s="1521">
        <v>1</v>
      </c>
      <c r="I834" s="1521">
        <v>0</v>
      </c>
      <c r="J834" s="1538">
        <v>1</v>
      </c>
      <c r="K834" s="1525"/>
      <c r="L834" s="1519">
        <v>13067031306</v>
      </c>
      <c r="M834" s="1520">
        <v>1</v>
      </c>
      <c r="N834" s="1520">
        <v>0</v>
      </c>
      <c r="O834" s="1520">
        <v>1</v>
      </c>
      <c r="AA834" s="27"/>
      <c r="AB834" s="27"/>
      <c r="AC834" s="481"/>
      <c r="AD834" s="481"/>
    </row>
    <row r="835" spans="3:30" ht="13.5">
      <c r="C835" s="1526" t="s">
        <v>4796</v>
      </c>
      <c r="D835" s="1523">
        <v>1</v>
      </c>
      <c r="E835" s="1523">
        <v>1</v>
      </c>
      <c r="F835" s="1524">
        <v>2</v>
      </c>
      <c r="G835" s="1537" t="s">
        <v>4796</v>
      </c>
      <c r="H835" s="1521">
        <v>1</v>
      </c>
      <c r="I835" s="1521">
        <v>1</v>
      </c>
      <c r="J835" s="1538">
        <v>2</v>
      </c>
      <c r="K835" s="1525"/>
      <c r="L835" s="1519">
        <v>13067031307</v>
      </c>
      <c r="M835" s="1520">
        <v>1</v>
      </c>
      <c r="N835" s="1520">
        <v>1</v>
      </c>
      <c r="O835" s="1520">
        <v>2</v>
      </c>
      <c r="AA835" s="27"/>
      <c r="AB835" s="27"/>
      <c r="AC835" s="481"/>
      <c r="AD835" s="481"/>
    </row>
    <row r="836" spans="3:30" ht="13.5">
      <c r="C836" s="1526" t="s">
        <v>4797</v>
      </c>
      <c r="D836" s="1523">
        <v>0</v>
      </c>
      <c r="E836" s="1523">
        <v>0</v>
      </c>
      <c r="F836" s="1524">
        <v>0</v>
      </c>
      <c r="G836" s="1537" t="s">
        <v>4797</v>
      </c>
      <c r="H836" s="1521">
        <v>0</v>
      </c>
      <c r="I836" s="1521">
        <v>0</v>
      </c>
      <c r="J836" s="1538">
        <v>0</v>
      </c>
      <c r="K836" s="1525"/>
      <c r="L836" s="1519">
        <v>13067031308</v>
      </c>
      <c r="M836" s="1520">
        <v>0</v>
      </c>
      <c r="N836" s="1520">
        <v>0</v>
      </c>
      <c r="O836" s="1520">
        <v>0</v>
      </c>
      <c r="AA836" s="27"/>
      <c r="AB836" s="27"/>
      <c r="AC836" s="481"/>
      <c r="AD836" s="481"/>
    </row>
    <row r="837" spans="3:30" ht="13.5">
      <c r="C837" s="1526" t="s">
        <v>4798</v>
      </c>
      <c r="D837" s="1523">
        <v>0</v>
      </c>
      <c r="E837" s="1523">
        <v>0</v>
      </c>
      <c r="F837" s="1524">
        <v>0</v>
      </c>
      <c r="G837" s="1537" t="s">
        <v>4798</v>
      </c>
      <c r="H837" s="1521">
        <v>1</v>
      </c>
      <c r="I837" s="1521">
        <v>0</v>
      </c>
      <c r="J837" s="1538">
        <v>1</v>
      </c>
      <c r="K837" s="1525"/>
      <c r="L837" s="1519">
        <v>13067031309</v>
      </c>
      <c r="M837" s="1520">
        <v>1</v>
      </c>
      <c r="N837" s="1520">
        <v>0</v>
      </c>
      <c r="O837" s="1520">
        <v>1</v>
      </c>
      <c r="AA837" s="27"/>
      <c r="AB837" s="27"/>
      <c r="AC837" s="481"/>
      <c r="AD837" s="481"/>
    </row>
    <row r="838" spans="3:30" ht="13.5">
      <c r="C838" s="1526" t="s">
        <v>4799</v>
      </c>
      <c r="D838" s="1523">
        <v>0</v>
      </c>
      <c r="E838" s="1523">
        <v>0</v>
      </c>
      <c r="F838" s="1524">
        <v>0</v>
      </c>
      <c r="G838" s="1537" t="s">
        <v>4799</v>
      </c>
      <c r="H838" s="1521">
        <v>0</v>
      </c>
      <c r="I838" s="1521">
        <v>0</v>
      </c>
      <c r="J838" s="1538">
        <v>0</v>
      </c>
      <c r="K838" s="1525"/>
      <c r="L838" s="1519">
        <v>13067031310</v>
      </c>
      <c r="M838" s="1520">
        <v>0</v>
      </c>
      <c r="N838" s="1520">
        <v>0</v>
      </c>
      <c r="O838" s="1520">
        <v>0</v>
      </c>
      <c r="AA838" s="27"/>
      <c r="AC838" s="481"/>
    </row>
    <row r="839" spans="3:30" ht="13.5">
      <c r="C839" s="1526" t="s">
        <v>4800</v>
      </c>
      <c r="D839" s="1523">
        <v>0</v>
      </c>
      <c r="E839" s="1523">
        <v>0</v>
      </c>
      <c r="F839" s="1524">
        <v>0</v>
      </c>
      <c r="G839" s="1537" t="s">
        <v>4800</v>
      </c>
      <c r="H839" s="1521">
        <v>0</v>
      </c>
      <c r="I839" s="1521">
        <v>0</v>
      </c>
      <c r="J839" s="1538">
        <v>0</v>
      </c>
      <c r="K839" s="1525"/>
      <c r="L839" s="1519">
        <v>13067031311</v>
      </c>
      <c r="M839" s="1520">
        <v>0</v>
      </c>
      <c r="N839" s="1520">
        <v>0</v>
      </c>
      <c r="O839" s="1520">
        <v>0</v>
      </c>
      <c r="AA839" s="27"/>
      <c r="AC839" s="481"/>
    </row>
    <row r="840" spans="3:30" ht="13.5">
      <c r="C840" s="1526" t="s">
        <v>4801</v>
      </c>
      <c r="D840" s="1523">
        <v>1</v>
      </c>
      <c r="E840" s="1523">
        <v>1</v>
      </c>
      <c r="F840" s="1524">
        <v>2</v>
      </c>
      <c r="G840" s="1537" t="s">
        <v>4801</v>
      </c>
      <c r="H840" s="1521">
        <v>1</v>
      </c>
      <c r="I840" s="1521">
        <v>1</v>
      </c>
      <c r="J840" s="1538">
        <v>2</v>
      </c>
      <c r="K840" s="1525"/>
      <c r="L840" s="1519">
        <v>13067031312</v>
      </c>
      <c r="M840" s="1520">
        <v>1</v>
      </c>
      <c r="N840" s="1520">
        <v>1</v>
      </c>
      <c r="O840" s="1520">
        <v>2</v>
      </c>
      <c r="AA840" s="27"/>
      <c r="AC840" s="481"/>
    </row>
    <row r="841" spans="3:30" ht="13.5">
      <c r="C841" s="1526" t="s">
        <v>4802</v>
      </c>
      <c r="D841" s="1523">
        <v>1</v>
      </c>
      <c r="E841" s="1523">
        <v>1</v>
      </c>
      <c r="F841" s="1524">
        <v>2</v>
      </c>
      <c r="G841" s="1537" t="s">
        <v>4802</v>
      </c>
      <c r="H841" s="1521">
        <v>1</v>
      </c>
      <c r="I841" s="1521">
        <v>1</v>
      </c>
      <c r="J841" s="1538">
        <v>2</v>
      </c>
      <c r="K841" s="1525"/>
      <c r="L841" s="1519">
        <v>13067031313</v>
      </c>
      <c r="M841" s="1520">
        <v>1</v>
      </c>
      <c r="N841" s="1520">
        <v>1</v>
      </c>
      <c r="O841" s="1520">
        <v>2</v>
      </c>
      <c r="AA841" s="27"/>
      <c r="AC841" s="481"/>
    </row>
    <row r="842" spans="3:30" ht="13.5">
      <c r="C842" s="1526" t="s">
        <v>4803</v>
      </c>
      <c r="D842" s="1523">
        <v>1</v>
      </c>
      <c r="E842" s="1523">
        <v>1</v>
      </c>
      <c r="F842" s="1524">
        <v>2</v>
      </c>
      <c r="G842" s="1537" t="s">
        <v>4803</v>
      </c>
      <c r="H842" s="1521">
        <v>1</v>
      </c>
      <c r="I842" s="1521">
        <v>1</v>
      </c>
      <c r="J842" s="1538">
        <v>2</v>
      </c>
      <c r="K842" s="1525"/>
      <c r="L842" s="1519">
        <v>13067031404</v>
      </c>
      <c r="M842" s="1520">
        <v>1</v>
      </c>
      <c r="N842" s="1520">
        <v>1</v>
      </c>
      <c r="O842" s="1520">
        <v>2</v>
      </c>
      <c r="AA842" s="27"/>
      <c r="AC842" s="481"/>
    </row>
    <row r="843" spans="3:30" ht="13.5">
      <c r="C843" s="1526" t="s">
        <v>4804</v>
      </c>
      <c r="D843" s="1523">
        <v>0</v>
      </c>
      <c r="E843" s="1523">
        <v>1</v>
      </c>
      <c r="F843" s="1524">
        <v>1</v>
      </c>
      <c r="G843" s="1537" t="s">
        <v>4804</v>
      </c>
      <c r="H843" s="1521">
        <v>1</v>
      </c>
      <c r="I843" s="1521">
        <v>0</v>
      </c>
      <c r="J843" s="1538">
        <v>1</v>
      </c>
      <c r="K843" s="1525"/>
      <c r="L843" s="1519">
        <v>13067031405</v>
      </c>
      <c r="M843" s="1520">
        <v>1</v>
      </c>
      <c r="N843" s="1520">
        <v>1</v>
      </c>
      <c r="O843" s="1520">
        <v>1</v>
      </c>
      <c r="AA843" s="27"/>
      <c r="AC843" s="481"/>
    </row>
    <row r="844" spans="3:30" ht="13.5">
      <c r="C844" s="1526" t="s">
        <v>4805</v>
      </c>
      <c r="D844" s="1523">
        <v>0</v>
      </c>
      <c r="E844" s="1523">
        <v>0</v>
      </c>
      <c r="F844" s="1524">
        <v>0</v>
      </c>
      <c r="G844" s="1537" t="s">
        <v>4805</v>
      </c>
      <c r="H844" s="1521">
        <v>0</v>
      </c>
      <c r="I844" s="1521">
        <v>0</v>
      </c>
      <c r="J844" s="1538">
        <v>0</v>
      </c>
      <c r="K844" s="1525"/>
      <c r="L844" s="1519">
        <v>13067031406</v>
      </c>
      <c r="M844" s="1520">
        <v>0</v>
      </c>
      <c r="N844" s="1520">
        <v>0</v>
      </c>
      <c r="O844" s="1520">
        <v>0</v>
      </c>
      <c r="AA844" s="27"/>
      <c r="AC844" s="481"/>
    </row>
    <row r="845" spans="3:30" ht="13.5">
      <c r="C845" s="1526" t="s">
        <v>4806</v>
      </c>
      <c r="D845" s="1523">
        <v>0</v>
      </c>
      <c r="E845" s="1523">
        <v>0</v>
      </c>
      <c r="F845" s="1524">
        <v>0</v>
      </c>
      <c r="G845" s="1537" t="s">
        <v>4806</v>
      </c>
      <c r="H845" s="1521">
        <v>1</v>
      </c>
      <c r="I845" s="1521">
        <v>0</v>
      </c>
      <c r="J845" s="1538">
        <v>0</v>
      </c>
      <c r="K845" s="1525"/>
      <c r="L845" s="1519">
        <v>13067031408</v>
      </c>
      <c r="M845" s="1520">
        <v>1</v>
      </c>
      <c r="N845" s="1520">
        <v>0</v>
      </c>
      <c r="O845" s="1520">
        <v>0</v>
      </c>
      <c r="AA845" s="27"/>
      <c r="AC845" s="481"/>
    </row>
    <row r="846" spans="3:30" ht="13.5">
      <c r="C846" s="1526" t="s">
        <v>4807</v>
      </c>
      <c r="D846" s="1523">
        <v>0</v>
      </c>
      <c r="E846" s="1523">
        <v>0</v>
      </c>
      <c r="F846" s="1524">
        <v>0</v>
      </c>
      <c r="G846" s="1537" t="s">
        <v>4807</v>
      </c>
      <c r="H846" s="1521">
        <v>0</v>
      </c>
      <c r="I846" s="1521">
        <v>0</v>
      </c>
      <c r="J846" s="1538">
        <v>0</v>
      </c>
      <c r="K846" s="1525"/>
      <c r="L846" s="1519">
        <v>13067031409</v>
      </c>
      <c r="M846" s="1520">
        <v>0</v>
      </c>
      <c r="N846" s="1520">
        <v>0</v>
      </c>
      <c r="O846" s="1520">
        <v>0</v>
      </c>
      <c r="AA846" s="27"/>
      <c r="AC846" s="481"/>
    </row>
    <row r="847" spans="3:30" ht="13.5">
      <c r="C847" s="1526" t="s">
        <v>4808</v>
      </c>
      <c r="D847" s="1523">
        <v>1</v>
      </c>
      <c r="E847" s="1523">
        <v>0</v>
      </c>
      <c r="F847" s="1524">
        <v>1</v>
      </c>
      <c r="G847" s="1537" t="s">
        <v>4808</v>
      </c>
      <c r="H847" s="1521">
        <v>1</v>
      </c>
      <c r="I847" s="1521">
        <v>1</v>
      </c>
      <c r="J847" s="1538">
        <v>2</v>
      </c>
      <c r="K847" s="1525"/>
      <c r="L847" s="1519">
        <v>13067031503</v>
      </c>
      <c r="M847" s="1520">
        <v>1</v>
      </c>
      <c r="N847" s="1520">
        <v>1</v>
      </c>
      <c r="O847" s="1520">
        <v>2</v>
      </c>
      <c r="AA847" s="27"/>
      <c r="AC847" s="481"/>
    </row>
    <row r="848" spans="3:30" ht="13.5">
      <c r="C848" s="1526" t="s">
        <v>4809</v>
      </c>
      <c r="D848" s="1523">
        <v>1</v>
      </c>
      <c r="E848" s="1523">
        <v>1</v>
      </c>
      <c r="F848" s="1524">
        <v>2</v>
      </c>
      <c r="G848" s="1537" t="s">
        <v>4809</v>
      </c>
      <c r="H848" s="1521">
        <v>1</v>
      </c>
      <c r="I848" s="1521">
        <v>1</v>
      </c>
      <c r="J848" s="1538">
        <v>2</v>
      </c>
      <c r="K848" s="1525"/>
      <c r="L848" s="1519">
        <v>13067031505</v>
      </c>
      <c r="M848" s="1520">
        <v>1</v>
      </c>
      <c r="N848" s="1520">
        <v>1</v>
      </c>
      <c r="O848" s="1520">
        <v>2</v>
      </c>
      <c r="AA848" s="27"/>
      <c r="AC848" s="481"/>
    </row>
    <row r="849" spans="3:29" ht="13.5">
      <c r="C849" s="1526" t="s">
        <v>4810</v>
      </c>
      <c r="D849" s="1523">
        <v>0</v>
      </c>
      <c r="E849" s="1523">
        <v>1</v>
      </c>
      <c r="F849" s="1524">
        <v>1</v>
      </c>
      <c r="G849" s="1537" t="s">
        <v>4810</v>
      </c>
      <c r="H849" s="1521">
        <v>0</v>
      </c>
      <c r="I849" s="1521">
        <v>0</v>
      </c>
      <c r="J849" s="1538">
        <v>0</v>
      </c>
      <c r="K849" s="1525"/>
      <c r="L849" s="1519">
        <v>13067031506</v>
      </c>
      <c r="M849" s="1520">
        <v>0</v>
      </c>
      <c r="N849" s="1520">
        <v>1</v>
      </c>
      <c r="O849" s="1520">
        <v>1</v>
      </c>
      <c r="AA849" s="27"/>
      <c r="AC849" s="481"/>
    </row>
    <row r="850" spans="3:29" ht="13.5">
      <c r="C850" s="1526" t="s">
        <v>4811</v>
      </c>
      <c r="D850" s="1523">
        <v>0</v>
      </c>
      <c r="E850" s="1523">
        <v>0</v>
      </c>
      <c r="F850" s="1524">
        <v>0</v>
      </c>
      <c r="G850" s="1537" t="s">
        <v>4811</v>
      </c>
      <c r="H850" s="1521">
        <v>0</v>
      </c>
      <c r="I850" s="1521">
        <v>1</v>
      </c>
      <c r="J850" s="1538">
        <v>1</v>
      </c>
      <c r="K850" s="1525"/>
      <c r="L850" s="1519">
        <v>13067031507</v>
      </c>
      <c r="M850" s="1520">
        <v>0</v>
      </c>
      <c r="N850" s="1520">
        <v>1</v>
      </c>
      <c r="O850" s="1520">
        <v>1</v>
      </c>
      <c r="AA850" s="27"/>
      <c r="AC850" s="481"/>
    </row>
    <row r="851" spans="3:29" ht="13.5">
      <c r="C851" s="1526" t="s">
        <v>4812</v>
      </c>
      <c r="D851" s="1523">
        <v>1</v>
      </c>
      <c r="E851" s="1523">
        <v>1</v>
      </c>
      <c r="F851" s="1524">
        <v>2</v>
      </c>
      <c r="G851" s="1537" t="s">
        <v>4812</v>
      </c>
      <c r="H851" s="1521">
        <v>1</v>
      </c>
      <c r="I851" s="1521">
        <v>1</v>
      </c>
      <c r="J851" s="1538">
        <v>2</v>
      </c>
      <c r="K851" s="1525"/>
      <c r="L851" s="1519">
        <v>13067031508</v>
      </c>
      <c r="M851" s="1520">
        <v>1</v>
      </c>
      <c r="N851" s="1520">
        <v>1</v>
      </c>
      <c r="O851" s="1520">
        <v>2</v>
      </c>
      <c r="AA851" s="27"/>
      <c r="AC851" s="481"/>
    </row>
    <row r="852" spans="3:29" ht="13.5">
      <c r="C852" s="1526" t="s">
        <v>4813</v>
      </c>
      <c r="D852" s="1523">
        <v>1</v>
      </c>
      <c r="E852" s="1523">
        <v>1</v>
      </c>
      <c r="F852" s="1524">
        <v>2</v>
      </c>
      <c r="G852" s="1537" t="s">
        <v>4813</v>
      </c>
      <c r="H852" s="1521">
        <v>1</v>
      </c>
      <c r="I852" s="1521">
        <v>1</v>
      </c>
      <c r="J852" s="1538">
        <v>2</v>
      </c>
      <c r="K852" s="1525"/>
      <c r="L852" s="1519">
        <v>13067031509</v>
      </c>
      <c r="M852" s="1520">
        <v>1</v>
      </c>
      <c r="N852" s="1520">
        <v>1</v>
      </c>
      <c r="O852" s="1520">
        <v>2</v>
      </c>
      <c r="AA852" s="27"/>
      <c r="AC852" s="481"/>
    </row>
    <row r="853" spans="3:29" ht="13.5">
      <c r="C853" s="1526" t="s">
        <v>4814</v>
      </c>
      <c r="D853" s="1523">
        <v>0</v>
      </c>
      <c r="E853" s="1523">
        <v>0</v>
      </c>
      <c r="F853" s="1524">
        <v>0</v>
      </c>
      <c r="G853" s="1537" t="s">
        <v>4814</v>
      </c>
      <c r="H853" s="1521">
        <v>0</v>
      </c>
      <c r="I853" s="1521">
        <v>0</v>
      </c>
      <c r="J853" s="1538">
        <v>0</v>
      </c>
      <c r="K853" s="1525"/>
      <c r="L853" s="1519">
        <v>13069010100</v>
      </c>
      <c r="M853" s="1520">
        <v>0</v>
      </c>
      <c r="N853" s="1520">
        <v>0</v>
      </c>
      <c r="O853" s="1520">
        <v>0</v>
      </c>
      <c r="AA853" s="27"/>
      <c r="AC853" s="481"/>
    </row>
    <row r="854" spans="3:29" ht="13.5">
      <c r="C854" s="1526" t="s">
        <v>4815</v>
      </c>
      <c r="D854" s="1523">
        <v>0</v>
      </c>
      <c r="E854" s="1523">
        <v>0</v>
      </c>
      <c r="F854" s="1524">
        <v>0</v>
      </c>
      <c r="G854" s="1537" t="s">
        <v>4815</v>
      </c>
      <c r="H854" s="1521">
        <v>0</v>
      </c>
      <c r="I854" s="1521" t="s">
        <v>4099</v>
      </c>
      <c r="J854" s="1538">
        <v>0</v>
      </c>
      <c r="K854" s="1525"/>
      <c r="L854" s="1519">
        <v>13069010200</v>
      </c>
      <c r="M854" s="1520">
        <v>0</v>
      </c>
      <c r="N854" s="1520">
        <v>0</v>
      </c>
      <c r="O854" s="1520">
        <v>0</v>
      </c>
      <c r="AA854" s="27"/>
      <c r="AC854" s="481"/>
    </row>
    <row r="855" spans="3:29" ht="13.5">
      <c r="C855" s="1526" t="s">
        <v>4816</v>
      </c>
      <c r="D855" s="1523">
        <v>0</v>
      </c>
      <c r="E855" s="1523">
        <v>0</v>
      </c>
      <c r="F855" s="1524">
        <v>0</v>
      </c>
      <c r="G855" s="1537" t="s">
        <v>4816</v>
      </c>
      <c r="H855" s="1521">
        <v>0</v>
      </c>
      <c r="I855" s="1521">
        <v>0</v>
      </c>
      <c r="J855" s="1538">
        <v>0</v>
      </c>
      <c r="K855" s="1525"/>
      <c r="L855" s="1519">
        <v>13069010300</v>
      </c>
      <c r="M855" s="1520">
        <v>0</v>
      </c>
      <c r="N855" s="1520">
        <v>0</v>
      </c>
      <c r="O855" s="1520">
        <v>0</v>
      </c>
      <c r="AA855" s="27"/>
      <c r="AC855" s="481"/>
    </row>
    <row r="856" spans="3:29" ht="13.5">
      <c r="C856" s="1526" t="s">
        <v>4817</v>
      </c>
      <c r="D856" s="1523">
        <v>0</v>
      </c>
      <c r="E856" s="1523">
        <v>0</v>
      </c>
      <c r="F856" s="1524">
        <v>0</v>
      </c>
      <c r="G856" s="1537" t="s">
        <v>4817</v>
      </c>
      <c r="H856" s="1521">
        <v>0</v>
      </c>
      <c r="I856" s="1521">
        <v>0</v>
      </c>
      <c r="J856" s="1538">
        <v>0</v>
      </c>
      <c r="K856" s="1525"/>
      <c r="L856" s="1519">
        <v>13069010400</v>
      </c>
      <c r="M856" s="1520">
        <v>0</v>
      </c>
      <c r="N856" s="1520">
        <v>0</v>
      </c>
      <c r="O856" s="1520">
        <v>0</v>
      </c>
      <c r="AA856" s="27"/>
      <c r="AC856" s="481"/>
    </row>
    <row r="857" spans="3:29" ht="13.5">
      <c r="C857" s="1526" t="s">
        <v>4818</v>
      </c>
      <c r="D857" s="1523">
        <v>0</v>
      </c>
      <c r="E857" s="1523">
        <v>0</v>
      </c>
      <c r="F857" s="1524">
        <v>0</v>
      </c>
      <c r="G857" s="1537" t="s">
        <v>4818</v>
      </c>
      <c r="H857" s="1521">
        <v>0</v>
      </c>
      <c r="I857" s="1521">
        <v>0</v>
      </c>
      <c r="J857" s="1538">
        <v>0</v>
      </c>
      <c r="K857" s="1525"/>
      <c r="L857" s="1519">
        <v>13069010500</v>
      </c>
      <c r="M857" s="1520">
        <v>0</v>
      </c>
      <c r="N857" s="1520">
        <v>0</v>
      </c>
      <c r="O857" s="1520">
        <v>0</v>
      </c>
      <c r="AA857" s="27"/>
      <c r="AC857" s="481"/>
    </row>
    <row r="858" spans="3:29" ht="13.5">
      <c r="C858" s="1526" t="s">
        <v>4819</v>
      </c>
      <c r="D858" s="1523">
        <v>1</v>
      </c>
      <c r="E858" s="1523">
        <v>1</v>
      </c>
      <c r="F858" s="1524">
        <v>2</v>
      </c>
      <c r="G858" s="1537" t="s">
        <v>4819</v>
      </c>
      <c r="H858" s="1521">
        <v>0</v>
      </c>
      <c r="I858" s="1521">
        <v>0</v>
      </c>
      <c r="J858" s="1538">
        <v>0</v>
      </c>
      <c r="K858" s="1525"/>
      <c r="L858" s="1519">
        <v>13069010600</v>
      </c>
      <c r="M858" s="1520">
        <v>1</v>
      </c>
      <c r="N858" s="1520">
        <v>1</v>
      </c>
      <c r="O858" s="1520">
        <v>2</v>
      </c>
      <c r="AA858" s="27"/>
      <c r="AC858" s="481"/>
    </row>
    <row r="859" spans="3:29" ht="13.5">
      <c r="C859" s="1526" t="s">
        <v>4820</v>
      </c>
      <c r="D859" s="1523">
        <v>0</v>
      </c>
      <c r="E859" s="1523">
        <v>0</v>
      </c>
      <c r="F859" s="1524">
        <v>0</v>
      </c>
      <c r="G859" s="1537" t="s">
        <v>4820</v>
      </c>
      <c r="H859" s="1521">
        <v>0</v>
      </c>
      <c r="I859" s="1521">
        <v>0</v>
      </c>
      <c r="J859" s="1538">
        <v>0</v>
      </c>
      <c r="K859" s="1525"/>
      <c r="L859" s="1519">
        <v>13069010700</v>
      </c>
      <c r="M859" s="1520">
        <v>0</v>
      </c>
      <c r="N859" s="1520">
        <v>0</v>
      </c>
      <c r="O859" s="1520">
        <v>0</v>
      </c>
      <c r="AA859" s="27"/>
      <c r="AC859" s="481"/>
    </row>
    <row r="860" spans="3:29" ht="13.5">
      <c r="C860" s="1526" t="s">
        <v>4821</v>
      </c>
      <c r="D860" s="1523">
        <v>0</v>
      </c>
      <c r="E860" s="1523">
        <v>0</v>
      </c>
      <c r="F860" s="1524">
        <v>0</v>
      </c>
      <c r="G860" s="1537" t="s">
        <v>4821</v>
      </c>
      <c r="H860" s="1521">
        <v>0</v>
      </c>
      <c r="I860" s="1521">
        <v>0</v>
      </c>
      <c r="J860" s="1538">
        <v>0</v>
      </c>
      <c r="K860" s="1525"/>
      <c r="L860" s="1519">
        <v>13069010801</v>
      </c>
      <c r="M860" s="1520">
        <v>0</v>
      </c>
      <c r="N860" s="1520">
        <v>0</v>
      </c>
      <c r="O860" s="1520">
        <v>0</v>
      </c>
      <c r="AA860" s="27"/>
      <c r="AC860" s="481"/>
    </row>
    <row r="861" spans="3:29" ht="13.5">
      <c r="C861" s="1526" t="s">
        <v>4822</v>
      </c>
      <c r="D861" s="1523">
        <v>0</v>
      </c>
      <c r="E861" s="1523">
        <v>0</v>
      </c>
      <c r="F861" s="1524">
        <v>0</v>
      </c>
      <c r="G861" s="1537" t="s">
        <v>4822</v>
      </c>
      <c r="H861" s="1521">
        <v>0</v>
      </c>
      <c r="I861" s="1521">
        <v>0</v>
      </c>
      <c r="J861" s="1538">
        <v>0</v>
      </c>
      <c r="K861" s="1525"/>
      <c r="L861" s="1519">
        <v>13069010802</v>
      </c>
      <c r="M861" s="1520">
        <v>0</v>
      </c>
      <c r="N861" s="1520">
        <v>0</v>
      </c>
      <c r="O861" s="1520">
        <v>0</v>
      </c>
      <c r="AA861" s="27"/>
      <c r="AC861" s="481"/>
    </row>
    <row r="862" spans="3:29" ht="13.5">
      <c r="C862" s="1526" t="s">
        <v>4823</v>
      </c>
      <c r="D862" s="1523">
        <v>0</v>
      </c>
      <c r="E862" s="1523">
        <v>0</v>
      </c>
      <c r="F862" s="1524">
        <v>0</v>
      </c>
      <c r="G862" s="1537" t="s">
        <v>4823</v>
      </c>
      <c r="H862" s="1521">
        <v>0</v>
      </c>
      <c r="I862" s="1521">
        <v>0</v>
      </c>
      <c r="J862" s="1538">
        <v>0</v>
      </c>
      <c r="K862" s="1525"/>
      <c r="L862" s="1519">
        <v>13071970100</v>
      </c>
      <c r="M862" s="1520">
        <v>0</v>
      </c>
      <c r="N862" s="1520">
        <v>0</v>
      </c>
      <c r="O862" s="1520">
        <v>0</v>
      </c>
      <c r="AA862" s="27"/>
      <c r="AC862" s="481"/>
    </row>
    <row r="863" spans="3:29" ht="13.5">
      <c r="C863" s="1526" t="s">
        <v>4824</v>
      </c>
      <c r="D863" s="1523">
        <v>0</v>
      </c>
      <c r="E863" s="1523">
        <v>0</v>
      </c>
      <c r="F863" s="1524">
        <v>0</v>
      </c>
      <c r="G863" s="1537" t="s">
        <v>4824</v>
      </c>
      <c r="H863" s="1521">
        <v>0</v>
      </c>
      <c r="I863" s="1521">
        <v>0</v>
      </c>
      <c r="J863" s="1538">
        <v>0</v>
      </c>
      <c r="K863" s="1525"/>
      <c r="L863" s="1519">
        <v>13071970200</v>
      </c>
      <c r="M863" s="1520">
        <v>0</v>
      </c>
      <c r="N863" s="1520">
        <v>0</v>
      </c>
      <c r="O863" s="1520">
        <v>0</v>
      </c>
      <c r="AA863" s="27"/>
      <c r="AC863" s="481"/>
    </row>
    <row r="864" spans="3:29" ht="13.5">
      <c r="C864" s="1526" t="s">
        <v>4825</v>
      </c>
      <c r="D864" s="1523">
        <v>0</v>
      </c>
      <c r="E864" s="1523">
        <v>0</v>
      </c>
      <c r="F864" s="1524">
        <v>0</v>
      </c>
      <c r="G864" s="1537" t="s">
        <v>4825</v>
      </c>
      <c r="H864" s="1521">
        <v>0</v>
      </c>
      <c r="I864" s="1521">
        <v>0</v>
      </c>
      <c r="J864" s="1538">
        <v>0</v>
      </c>
      <c r="K864" s="1525"/>
      <c r="L864" s="1519">
        <v>13071970300</v>
      </c>
      <c r="M864" s="1520">
        <v>0</v>
      </c>
      <c r="N864" s="1520">
        <v>0</v>
      </c>
      <c r="O864" s="1520">
        <v>0</v>
      </c>
      <c r="AA864" s="27"/>
      <c r="AC864" s="481"/>
    </row>
    <row r="865" spans="3:29" ht="13.5">
      <c r="C865" s="1526" t="s">
        <v>4826</v>
      </c>
      <c r="D865" s="1523">
        <v>0</v>
      </c>
      <c r="E865" s="1523">
        <v>0</v>
      </c>
      <c r="F865" s="1524">
        <v>0</v>
      </c>
      <c r="G865" s="1537" t="s">
        <v>4826</v>
      </c>
      <c r="H865" s="1521">
        <v>0</v>
      </c>
      <c r="I865" s="1521">
        <v>0</v>
      </c>
      <c r="J865" s="1538">
        <v>0</v>
      </c>
      <c r="K865" s="1525"/>
      <c r="L865" s="1519">
        <v>13071970400</v>
      </c>
      <c r="M865" s="1520">
        <v>0</v>
      </c>
      <c r="N865" s="1520">
        <v>0</v>
      </c>
      <c r="O865" s="1520">
        <v>0</v>
      </c>
      <c r="AA865" s="27"/>
      <c r="AC865" s="481"/>
    </row>
    <row r="866" spans="3:29" ht="13.5">
      <c r="C866" s="1526" t="s">
        <v>4827</v>
      </c>
      <c r="D866" s="1523">
        <v>0</v>
      </c>
      <c r="E866" s="1523">
        <v>0</v>
      </c>
      <c r="F866" s="1524">
        <v>0</v>
      </c>
      <c r="G866" s="1537" t="s">
        <v>4827</v>
      </c>
      <c r="H866" s="1521">
        <v>0</v>
      </c>
      <c r="I866" s="1521">
        <v>0</v>
      </c>
      <c r="J866" s="1538">
        <v>0</v>
      </c>
      <c r="K866" s="1525"/>
      <c r="L866" s="1519">
        <v>13071970500</v>
      </c>
      <c r="M866" s="1520">
        <v>0</v>
      </c>
      <c r="N866" s="1520">
        <v>0</v>
      </c>
      <c r="O866" s="1520">
        <v>0</v>
      </c>
      <c r="AA866" s="27"/>
      <c r="AC866" s="481"/>
    </row>
    <row r="867" spans="3:29" ht="13.5">
      <c r="C867" s="1526" t="s">
        <v>4828</v>
      </c>
      <c r="D867" s="1523">
        <v>0</v>
      </c>
      <c r="E867" s="1523">
        <v>0</v>
      </c>
      <c r="F867" s="1524">
        <v>0</v>
      </c>
      <c r="G867" s="1537" t="s">
        <v>4828</v>
      </c>
      <c r="H867" s="1521">
        <v>0</v>
      </c>
      <c r="I867" s="1521">
        <v>0</v>
      </c>
      <c r="J867" s="1538">
        <v>0</v>
      </c>
      <c r="K867" s="1525"/>
      <c r="L867" s="1519">
        <v>13071970600</v>
      </c>
      <c r="M867" s="1520">
        <v>0</v>
      </c>
      <c r="N867" s="1520">
        <v>0</v>
      </c>
      <c r="O867" s="1520">
        <v>0</v>
      </c>
      <c r="AA867" s="27"/>
      <c r="AC867" s="481"/>
    </row>
    <row r="868" spans="3:29" ht="13.5">
      <c r="C868" s="1526" t="s">
        <v>4829</v>
      </c>
      <c r="D868" s="1523">
        <v>0</v>
      </c>
      <c r="E868" s="1523">
        <v>0</v>
      </c>
      <c r="F868" s="1524">
        <v>0</v>
      </c>
      <c r="G868" s="1537" t="s">
        <v>4829</v>
      </c>
      <c r="H868" s="1521">
        <v>0</v>
      </c>
      <c r="I868" s="1521">
        <v>0</v>
      </c>
      <c r="J868" s="1538">
        <v>0</v>
      </c>
      <c r="K868" s="1525"/>
      <c r="L868" s="1519">
        <v>13071970701</v>
      </c>
      <c r="M868" s="1520">
        <v>0</v>
      </c>
      <c r="N868" s="1520">
        <v>0</v>
      </c>
      <c r="O868" s="1520">
        <v>0</v>
      </c>
      <c r="AA868" s="27"/>
      <c r="AC868" s="481"/>
    </row>
    <row r="869" spans="3:29" ht="13.5">
      <c r="C869" s="1526" t="s">
        <v>4830</v>
      </c>
      <c r="D869" s="1523">
        <v>0</v>
      </c>
      <c r="E869" s="1523">
        <v>0</v>
      </c>
      <c r="F869" s="1524">
        <v>0</v>
      </c>
      <c r="G869" s="1537" t="s">
        <v>4830</v>
      </c>
      <c r="H869" s="1521">
        <v>0</v>
      </c>
      <c r="I869" s="1521">
        <v>0</v>
      </c>
      <c r="J869" s="1538">
        <v>0</v>
      </c>
      <c r="K869" s="1525"/>
      <c r="L869" s="1519">
        <v>13071970702</v>
      </c>
      <c r="M869" s="1520">
        <v>0</v>
      </c>
      <c r="N869" s="1520">
        <v>0</v>
      </c>
      <c r="O869" s="1520">
        <v>0</v>
      </c>
      <c r="AA869" s="27"/>
      <c r="AC869" s="481"/>
    </row>
    <row r="870" spans="3:29" ht="13.5">
      <c r="C870" s="1526" t="s">
        <v>4831</v>
      </c>
      <c r="D870" s="1523">
        <v>0</v>
      </c>
      <c r="E870" s="1523">
        <v>0</v>
      </c>
      <c r="F870" s="1524">
        <v>0</v>
      </c>
      <c r="G870" s="1537" t="s">
        <v>4831</v>
      </c>
      <c r="H870" s="1521">
        <v>0</v>
      </c>
      <c r="I870" s="1521">
        <v>0</v>
      </c>
      <c r="J870" s="1538">
        <v>0</v>
      </c>
      <c r="K870" s="1525"/>
      <c r="L870" s="1519">
        <v>13071970800</v>
      </c>
      <c r="M870" s="1520">
        <v>0</v>
      </c>
      <c r="N870" s="1520">
        <v>0</v>
      </c>
      <c r="O870" s="1520">
        <v>0</v>
      </c>
      <c r="AA870" s="27"/>
      <c r="AC870" s="481"/>
    </row>
    <row r="871" spans="3:29" ht="13.5">
      <c r="C871" s="1526" t="s">
        <v>4832</v>
      </c>
      <c r="D871" s="1523">
        <v>0</v>
      </c>
      <c r="E871" s="1523">
        <v>0</v>
      </c>
      <c r="F871" s="1524">
        <v>0</v>
      </c>
      <c r="G871" s="1537" t="s">
        <v>4832</v>
      </c>
      <c r="H871" s="1521">
        <v>0</v>
      </c>
      <c r="I871" s="1521">
        <v>0</v>
      </c>
      <c r="J871" s="1538">
        <v>0</v>
      </c>
      <c r="K871" s="1525"/>
      <c r="L871" s="1519">
        <v>13071970900</v>
      </c>
      <c r="M871" s="1520">
        <v>0</v>
      </c>
      <c r="N871" s="1520">
        <v>0</v>
      </c>
      <c r="O871" s="1520">
        <v>0</v>
      </c>
      <c r="AA871" s="27"/>
      <c r="AC871" s="481"/>
    </row>
    <row r="872" spans="3:29" ht="13.5">
      <c r="C872" s="1526" t="s">
        <v>4833</v>
      </c>
      <c r="D872" s="1523">
        <v>1</v>
      </c>
      <c r="E872" s="1523">
        <v>1</v>
      </c>
      <c r="F872" s="1524">
        <v>2</v>
      </c>
      <c r="G872" s="1537" t="s">
        <v>4833</v>
      </c>
      <c r="H872" s="1521">
        <v>1</v>
      </c>
      <c r="I872" s="1521" t="s">
        <v>4099</v>
      </c>
      <c r="J872" s="1538">
        <v>1</v>
      </c>
      <c r="K872" s="1525"/>
      <c r="L872" s="1519">
        <v>13073030102</v>
      </c>
      <c r="M872" s="1520">
        <v>1</v>
      </c>
      <c r="N872" s="1520">
        <v>1</v>
      </c>
      <c r="O872" s="1520">
        <v>2</v>
      </c>
      <c r="AA872" s="27"/>
      <c r="AC872" s="481"/>
    </row>
    <row r="873" spans="3:29" ht="13.5">
      <c r="C873" s="1526" t="s">
        <v>4834</v>
      </c>
      <c r="D873" s="1523">
        <v>1</v>
      </c>
      <c r="E873" s="1523">
        <v>1</v>
      </c>
      <c r="F873" s="1524">
        <v>2</v>
      </c>
      <c r="G873" s="1537" t="s">
        <v>4834</v>
      </c>
      <c r="H873" s="1521">
        <v>1</v>
      </c>
      <c r="I873" s="1521">
        <v>1</v>
      </c>
      <c r="J873" s="1538">
        <v>2</v>
      </c>
      <c r="K873" s="1525"/>
      <c r="L873" s="1519">
        <v>13073030103</v>
      </c>
      <c r="M873" s="1520">
        <v>1</v>
      </c>
      <c r="N873" s="1520">
        <v>1</v>
      </c>
      <c r="O873" s="1520">
        <v>2</v>
      </c>
      <c r="AA873" s="27"/>
      <c r="AC873" s="481"/>
    </row>
    <row r="874" spans="3:29" ht="13.5">
      <c r="C874" s="1526" t="s">
        <v>4835</v>
      </c>
      <c r="D874" s="1523">
        <v>1</v>
      </c>
      <c r="E874" s="1523">
        <v>1</v>
      </c>
      <c r="F874" s="1524">
        <v>2</v>
      </c>
      <c r="G874" s="1537" t="s">
        <v>4835</v>
      </c>
      <c r="H874" s="1521">
        <v>1</v>
      </c>
      <c r="I874" s="1521">
        <v>1</v>
      </c>
      <c r="J874" s="1538">
        <v>2</v>
      </c>
      <c r="K874" s="1525"/>
      <c r="L874" s="1519">
        <v>13073030105</v>
      </c>
      <c r="M874" s="1520">
        <v>1</v>
      </c>
      <c r="N874" s="1520">
        <v>1</v>
      </c>
      <c r="O874" s="1520">
        <v>2</v>
      </c>
      <c r="AA874" s="27"/>
      <c r="AC874" s="481"/>
    </row>
    <row r="875" spans="3:29" ht="13.5">
      <c r="C875" s="1526" t="s">
        <v>4836</v>
      </c>
      <c r="D875" s="1523">
        <v>1</v>
      </c>
      <c r="E875" s="1523">
        <v>1</v>
      </c>
      <c r="F875" s="1524">
        <v>2</v>
      </c>
      <c r="G875" s="1537" t="s">
        <v>4836</v>
      </c>
      <c r="H875" s="1521">
        <v>1</v>
      </c>
      <c r="I875" s="1521">
        <v>1</v>
      </c>
      <c r="J875" s="1538">
        <v>2</v>
      </c>
      <c r="K875" s="1525"/>
      <c r="L875" s="1519">
        <v>13073030106</v>
      </c>
      <c r="M875" s="1520">
        <v>1</v>
      </c>
      <c r="N875" s="1520">
        <v>1</v>
      </c>
      <c r="O875" s="1520">
        <v>2</v>
      </c>
      <c r="AA875" s="27"/>
      <c r="AC875" s="481"/>
    </row>
    <row r="876" spans="3:29" ht="13.5">
      <c r="C876" s="1526" t="s">
        <v>4837</v>
      </c>
      <c r="D876" s="1523">
        <v>1</v>
      </c>
      <c r="E876" s="1523">
        <v>1</v>
      </c>
      <c r="F876" s="1524">
        <v>2</v>
      </c>
      <c r="G876" s="1537" t="s">
        <v>4837</v>
      </c>
      <c r="H876" s="1521">
        <v>0</v>
      </c>
      <c r="I876" s="1521">
        <v>1</v>
      </c>
      <c r="J876" s="1538">
        <v>1</v>
      </c>
      <c r="K876" s="1525"/>
      <c r="L876" s="1519">
        <v>13073030201</v>
      </c>
      <c r="M876" s="1520">
        <v>1</v>
      </c>
      <c r="N876" s="1520">
        <v>1</v>
      </c>
      <c r="O876" s="1520">
        <v>2</v>
      </c>
      <c r="AA876" s="27"/>
      <c r="AC876" s="481"/>
    </row>
    <row r="877" spans="3:29" ht="13.5">
      <c r="C877" s="1526" t="s">
        <v>4838</v>
      </c>
      <c r="D877" s="1523">
        <v>0</v>
      </c>
      <c r="E877" s="1523">
        <v>1</v>
      </c>
      <c r="F877" s="1524">
        <v>1</v>
      </c>
      <c r="G877" s="1537" t="s">
        <v>4838</v>
      </c>
      <c r="H877" s="1521">
        <v>0</v>
      </c>
      <c r="I877" s="1521">
        <v>1</v>
      </c>
      <c r="J877" s="1538">
        <v>1</v>
      </c>
      <c r="K877" s="1525"/>
      <c r="L877" s="1519">
        <v>13073030202</v>
      </c>
      <c r="M877" s="1520">
        <v>0</v>
      </c>
      <c r="N877" s="1520">
        <v>1</v>
      </c>
      <c r="O877" s="1520">
        <v>1</v>
      </c>
      <c r="AA877" s="27"/>
      <c r="AC877" s="481"/>
    </row>
    <row r="878" spans="3:29" ht="13.5">
      <c r="C878" s="1526" t="s">
        <v>4839</v>
      </c>
      <c r="D878" s="1523">
        <v>1</v>
      </c>
      <c r="E878" s="1523">
        <v>1</v>
      </c>
      <c r="F878" s="1524">
        <v>2</v>
      </c>
      <c r="G878" s="1537" t="s">
        <v>4839</v>
      </c>
      <c r="H878" s="1521">
        <v>1</v>
      </c>
      <c r="I878" s="1521">
        <v>1</v>
      </c>
      <c r="J878" s="1538">
        <v>2</v>
      </c>
      <c r="K878" s="1525"/>
      <c r="L878" s="1519">
        <v>13073030203</v>
      </c>
      <c r="M878" s="1520">
        <v>1</v>
      </c>
      <c r="N878" s="1520">
        <v>1</v>
      </c>
      <c r="O878" s="1520">
        <v>2</v>
      </c>
      <c r="AA878" s="27"/>
      <c r="AC878" s="481"/>
    </row>
    <row r="879" spans="3:29" ht="13.5">
      <c r="C879" s="1526" t="s">
        <v>4840</v>
      </c>
      <c r="D879" s="1523">
        <v>1</v>
      </c>
      <c r="E879" s="1523">
        <v>1</v>
      </c>
      <c r="F879" s="1524">
        <v>2</v>
      </c>
      <c r="G879" s="1537" t="s">
        <v>4840</v>
      </c>
      <c r="H879" s="1521">
        <v>1</v>
      </c>
      <c r="I879" s="1521">
        <v>1</v>
      </c>
      <c r="J879" s="1538">
        <v>2</v>
      </c>
      <c r="K879" s="1525"/>
      <c r="L879" s="1519">
        <v>13073030302</v>
      </c>
      <c r="M879" s="1520">
        <v>1</v>
      </c>
      <c r="N879" s="1520">
        <v>1</v>
      </c>
      <c r="O879" s="1520">
        <v>2</v>
      </c>
      <c r="AA879" s="27"/>
      <c r="AC879" s="481"/>
    </row>
    <row r="880" spans="3:29" ht="13.5">
      <c r="C880" s="1526" t="s">
        <v>4841</v>
      </c>
      <c r="D880" s="1523">
        <v>1</v>
      </c>
      <c r="E880" s="1523">
        <v>1</v>
      </c>
      <c r="F880" s="1524">
        <v>2</v>
      </c>
      <c r="G880" s="1537" t="s">
        <v>4841</v>
      </c>
      <c r="H880" s="1521">
        <v>1</v>
      </c>
      <c r="I880" s="1521">
        <v>1</v>
      </c>
      <c r="J880" s="1538">
        <v>2</v>
      </c>
      <c r="K880" s="1525"/>
      <c r="L880" s="1519">
        <v>13073030304</v>
      </c>
      <c r="M880" s="1520">
        <v>1</v>
      </c>
      <c r="N880" s="1520">
        <v>1</v>
      </c>
      <c r="O880" s="1520">
        <v>2</v>
      </c>
    </row>
    <row r="881" spans="3:15" ht="13.5">
      <c r="C881" s="1526" t="s">
        <v>4842</v>
      </c>
      <c r="D881" s="1523">
        <v>1</v>
      </c>
      <c r="E881" s="1523">
        <v>1</v>
      </c>
      <c r="F881" s="1524">
        <v>2</v>
      </c>
      <c r="G881" s="1537" t="s">
        <v>4842</v>
      </c>
      <c r="H881" s="1521">
        <v>1</v>
      </c>
      <c r="I881" s="1521">
        <v>1</v>
      </c>
      <c r="J881" s="1538">
        <v>2</v>
      </c>
      <c r="K881" s="1525"/>
      <c r="L881" s="1519">
        <v>13073030306</v>
      </c>
      <c r="M881" s="1520">
        <v>1</v>
      </c>
      <c r="N881" s="1520">
        <v>1</v>
      </c>
      <c r="O881" s="1520">
        <v>2</v>
      </c>
    </row>
    <row r="882" spans="3:15" ht="13.5">
      <c r="C882" s="1526" t="s">
        <v>4843</v>
      </c>
      <c r="D882" s="1523">
        <v>1</v>
      </c>
      <c r="E882" s="1523">
        <v>1</v>
      </c>
      <c r="F882" s="1524">
        <v>2</v>
      </c>
      <c r="G882" s="1537" t="s">
        <v>4843</v>
      </c>
      <c r="H882" s="1521">
        <v>1</v>
      </c>
      <c r="I882" s="1521">
        <v>1</v>
      </c>
      <c r="J882" s="1538">
        <v>2</v>
      </c>
      <c r="K882" s="1525"/>
      <c r="L882" s="1519">
        <v>13073030307</v>
      </c>
      <c r="M882" s="1520">
        <v>1</v>
      </c>
      <c r="N882" s="1520">
        <v>1</v>
      </c>
      <c r="O882" s="1520">
        <v>2</v>
      </c>
    </row>
    <row r="883" spans="3:15" ht="13.5">
      <c r="C883" s="1526" t="s">
        <v>4844</v>
      </c>
      <c r="D883" s="1523">
        <v>1</v>
      </c>
      <c r="E883" s="1523">
        <v>1</v>
      </c>
      <c r="F883" s="1524">
        <v>2</v>
      </c>
      <c r="G883" s="1537" t="s">
        <v>4844</v>
      </c>
      <c r="H883" s="1521">
        <v>1</v>
      </c>
      <c r="I883" s="1521">
        <v>1</v>
      </c>
      <c r="J883" s="1538">
        <v>2</v>
      </c>
      <c r="K883" s="1525"/>
      <c r="L883" s="1519">
        <v>13073030308</v>
      </c>
      <c r="M883" s="1520">
        <v>1</v>
      </c>
      <c r="N883" s="1520">
        <v>1</v>
      </c>
      <c r="O883" s="1520">
        <v>2</v>
      </c>
    </row>
    <row r="884" spans="3:15" ht="13.5">
      <c r="C884" s="1526" t="s">
        <v>4845</v>
      </c>
      <c r="D884" s="1523">
        <v>1</v>
      </c>
      <c r="E884" s="1523">
        <v>1</v>
      </c>
      <c r="F884" s="1524">
        <v>2</v>
      </c>
      <c r="G884" s="1537" t="s">
        <v>4845</v>
      </c>
      <c r="H884" s="1521">
        <v>1</v>
      </c>
      <c r="I884" s="1521">
        <v>1</v>
      </c>
      <c r="J884" s="1538">
        <v>2</v>
      </c>
      <c r="K884" s="1525"/>
      <c r="L884" s="1519">
        <v>13073030309</v>
      </c>
      <c r="M884" s="1520">
        <v>1</v>
      </c>
      <c r="N884" s="1520">
        <v>1</v>
      </c>
      <c r="O884" s="1520">
        <v>2</v>
      </c>
    </row>
    <row r="885" spans="3:15" ht="13.5">
      <c r="C885" s="1526" t="s">
        <v>4846</v>
      </c>
      <c r="D885" s="1523">
        <v>0</v>
      </c>
      <c r="E885" s="1523">
        <v>0</v>
      </c>
      <c r="F885" s="1524">
        <v>0</v>
      </c>
      <c r="G885" s="1537" t="s">
        <v>4846</v>
      </c>
      <c r="H885" s="1521">
        <v>0</v>
      </c>
      <c r="I885" s="1521">
        <v>0</v>
      </c>
      <c r="J885" s="1538">
        <v>0</v>
      </c>
      <c r="K885" s="1525"/>
      <c r="L885" s="1519">
        <v>13073030401</v>
      </c>
      <c r="M885" s="1520">
        <v>0</v>
      </c>
      <c r="N885" s="1520">
        <v>0</v>
      </c>
      <c r="O885" s="1520">
        <v>0</v>
      </c>
    </row>
    <row r="886" spans="3:15" ht="13.5">
      <c r="C886" s="1526" t="s">
        <v>4847</v>
      </c>
      <c r="D886" s="1523">
        <v>1</v>
      </c>
      <c r="E886" s="1523">
        <v>1</v>
      </c>
      <c r="F886" s="1524">
        <v>2</v>
      </c>
      <c r="G886" s="1537" t="s">
        <v>4847</v>
      </c>
      <c r="H886" s="1521">
        <v>1</v>
      </c>
      <c r="I886" s="1521">
        <v>1</v>
      </c>
      <c r="J886" s="1538">
        <v>2</v>
      </c>
      <c r="K886" s="1525"/>
      <c r="L886" s="1519">
        <v>13073030402</v>
      </c>
      <c r="M886" s="1520">
        <v>1</v>
      </c>
      <c r="N886" s="1520">
        <v>1</v>
      </c>
      <c r="O886" s="1520">
        <v>2</v>
      </c>
    </row>
    <row r="887" spans="3:15" ht="13.5">
      <c r="C887" s="1526" t="s">
        <v>4848</v>
      </c>
      <c r="D887" s="1523">
        <v>1</v>
      </c>
      <c r="E887" s="1523">
        <v>1</v>
      </c>
      <c r="F887" s="1524">
        <v>2</v>
      </c>
      <c r="G887" s="1537" t="s">
        <v>4848</v>
      </c>
      <c r="H887" s="1521">
        <v>1</v>
      </c>
      <c r="I887" s="1521">
        <v>0</v>
      </c>
      <c r="J887" s="1538">
        <v>1</v>
      </c>
      <c r="K887" s="1525"/>
      <c r="L887" s="1519">
        <v>13073030503</v>
      </c>
      <c r="M887" s="1520">
        <v>1</v>
      </c>
      <c r="N887" s="1520">
        <v>1</v>
      </c>
      <c r="O887" s="1520">
        <v>2</v>
      </c>
    </row>
    <row r="888" spans="3:15" ht="13.5">
      <c r="C888" s="1526" t="s">
        <v>4849</v>
      </c>
      <c r="D888" s="1523">
        <v>1</v>
      </c>
      <c r="E888" s="1523">
        <v>1</v>
      </c>
      <c r="F888" s="1524">
        <v>2</v>
      </c>
      <c r="G888" s="1537" t="s">
        <v>4849</v>
      </c>
      <c r="H888" s="1521">
        <v>0</v>
      </c>
      <c r="I888" s="1521">
        <v>1</v>
      </c>
      <c r="J888" s="1538">
        <v>1</v>
      </c>
      <c r="K888" s="1525"/>
      <c r="L888" s="1519">
        <v>13073030504</v>
      </c>
      <c r="M888" s="1520">
        <v>1</v>
      </c>
      <c r="N888" s="1520">
        <v>1</v>
      </c>
      <c r="O888" s="1520">
        <v>2</v>
      </c>
    </row>
    <row r="889" spans="3:15" ht="13.5">
      <c r="C889" s="1526" t="s">
        <v>4850</v>
      </c>
      <c r="D889" s="1523">
        <v>1</v>
      </c>
      <c r="E889" s="1523">
        <v>1</v>
      </c>
      <c r="F889" s="1524">
        <v>2</v>
      </c>
      <c r="G889" s="1537" t="s">
        <v>4850</v>
      </c>
      <c r="H889" s="1521">
        <v>0</v>
      </c>
      <c r="I889" s="1521" t="s">
        <v>4099</v>
      </c>
      <c r="J889" s="1538">
        <v>0</v>
      </c>
      <c r="K889" s="1525"/>
      <c r="L889" s="1519">
        <v>13073030505</v>
      </c>
      <c r="M889" s="1520">
        <v>1</v>
      </c>
      <c r="N889" s="1520">
        <v>1</v>
      </c>
      <c r="O889" s="1520">
        <v>2</v>
      </c>
    </row>
    <row r="890" spans="3:15" ht="13.5">
      <c r="C890" s="1526" t="s">
        <v>4851</v>
      </c>
      <c r="D890" s="1523">
        <v>0</v>
      </c>
      <c r="E890" s="1523">
        <v>1</v>
      </c>
      <c r="F890" s="1524">
        <v>1</v>
      </c>
      <c r="G890" s="1537" t="s">
        <v>4851</v>
      </c>
      <c r="H890" s="1521">
        <v>0</v>
      </c>
      <c r="I890" s="1521">
        <v>0</v>
      </c>
      <c r="J890" s="1538">
        <v>0</v>
      </c>
      <c r="K890" s="1525"/>
      <c r="L890" s="1519">
        <v>13073030506</v>
      </c>
      <c r="M890" s="1520">
        <v>0</v>
      </c>
      <c r="N890" s="1520">
        <v>1</v>
      </c>
      <c r="O890" s="1520">
        <v>1</v>
      </c>
    </row>
    <row r="891" spans="3:15" ht="13.5">
      <c r="C891" s="1526" t="s">
        <v>4852</v>
      </c>
      <c r="D891" s="1523">
        <v>0</v>
      </c>
      <c r="E891" s="1523">
        <v>0</v>
      </c>
      <c r="F891" s="1524">
        <v>0</v>
      </c>
      <c r="G891" s="1537" t="s">
        <v>4852</v>
      </c>
      <c r="H891" s="1521">
        <v>0</v>
      </c>
      <c r="I891" s="1521">
        <v>0</v>
      </c>
      <c r="J891" s="1538">
        <v>0</v>
      </c>
      <c r="K891" s="1525"/>
      <c r="L891" s="1519">
        <v>13073030603</v>
      </c>
      <c r="M891" s="1520">
        <v>0</v>
      </c>
      <c r="N891" s="1520">
        <v>0</v>
      </c>
      <c r="O891" s="1520">
        <v>0</v>
      </c>
    </row>
    <row r="892" spans="3:15" ht="13.5">
      <c r="C892" s="1526" t="s">
        <v>4853</v>
      </c>
      <c r="D892" s="1523">
        <v>0</v>
      </c>
      <c r="E892" s="1523">
        <v>0</v>
      </c>
      <c r="F892" s="1524">
        <v>0</v>
      </c>
      <c r="G892" s="1537" t="s">
        <v>4853</v>
      </c>
      <c r="H892" s="1521">
        <v>0</v>
      </c>
      <c r="I892" s="1521">
        <v>0</v>
      </c>
      <c r="J892" s="1538">
        <v>0</v>
      </c>
      <c r="K892" s="1525"/>
      <c r="L892" s="1519">
        <v>13075960100</v>
      </c>
      <c r="M892" s="1520">
        <v>0</v>
      </c>
      <c r="N892" s="1520">
        <v>0</v>
      </c>
      <c r="O892" s="1520">
        <v>0</v>
      </c>
    </row>
    <row r="893" spans="3:15" ht="13.5">
      <c r="C893" s="1526" t="s">
        <v>4854</v>
      </c>
      <c r="D893" s="1523">
        <v>0</v>
      </c>
      <c r="E893" s="1523">
        <v>0</v>
      </c>
      <c r="F893" s="1524">
        <v>0</v>
      </c>
      <c r="G893" s="1537" t="s">
        <v>4854</v>
      </c>
      <c r="H893" s="1521">
        <v>0</v>
      </c>
      <c r="I893" s="1521">
        <v>0</v>
      </c>
      <c r="J893" s="1538">
        <v>0</v>
      </c>
      <c r="K893" s="1525"/>
      <c r="L893" s="1519">
        <v>13075960200</v>
      </c>
      <c r="M893" s="1520">
        <v>0</v>
      </c>
      <c r="N893" s="1520">
        <v>0</v>
      </c>
      <c r="O893" s="1520">
        <v>0</v>
      </c>
    </row>
    <row r="894" spans="3:15" ht="13.5">
      <c r="C894" s="1526" t="s">
        <v>4855</v>
      </c>
      <c r="D894" s="1523">
        <v>0</v>
      </c>
      <c r="E894" s="1523">
        <v>0</v>
      </c>
      <c r="F894" s="1524">
        <v>0</v>
      </c>
      <c r="G894" s="1537" t="s">
        <v>4855</v>
      </c>
      <c r="H894" s="1521">
        <v>0</v>
      </c>
      <c r="I894" s="1521">
        <v>0</v>
      </c>
      <c r="J894" s="1538">
        <v>0</v>
      </c>
      <c r="K894" s="1525"/>
      <c r="L894" s="1519">
        <v>13075960300</v>
      </c>
      <c r="M894" s="1520">
        <v>0</v>
      </c>
      <c r="N894" s="1520">
        <v>0</v>
      </c>
      <c r="O894" s="1520">
        <v>0</v>
      </c>
    </row>
    <row r="895" spans="3:15" ht="13.5">
      <c r="C895" s="1526" t="s">
        <v>4856</v>
      </c>
      <c r="D895" s="1523">
        <v>0</v>
      </c>
      <c r="E895" s="1523">
        <v>0</v>
      </c>
      <c r="F895" s="1524">
        <v>0</v>
      </c>
      <c r="G895" s="1537" t="s">
        <v>4856</v>
      </c>
      <c r="H895" s="1521">
        <v>0</v>
      </c>
      <c r="I895" s="1521">
        <v>0</v>
      </c>
      <c r="J895" s="1538">
        <v>0</v>
      </c>
      <c r="K895" s="1525"/>
      <c r="L895" s="1519">
        <v>13075960400</v>
      </c>
      <c r="M895" s="1520">
        <v>0</v>
      </c>
      <c r="N895" s="1520">
        <v>0</v>
      </c>
      <c r="O895" s="1520">
        <v>0</v>
      </c>
    </row>
    <row r="896" spans="3:15" ht="13.5">
      <c r="C896" s="1526" t="s">
        <v>4857</v>
      </c>
      <c r="D896" s="1523">
        <v>1</v>
      </c>
      <c r="E896" s="1523">
        <v>1</v>
      </c>
      <c r="F896" s="1524">
        <v>2</v>
      </c>
      <c r="G896" s="1537" t="s">
        <v>4857</v>
      </c>
      <c r="H896" s="1521">
        <v>1</v>
      </c>
      <c r="I896" s="1521">
        <v>0</v>
      </c>
      <c r="J896" s="1538">
        <v>1</v>
      </c>
      <c r="K896" s="1525"/>
      <c r="L896" s="1519">
        <v>13077170100</v>
      </c>
      <c r="M896" s="1520">
        <v>1</v>
      </c>
      <c r="N896" s="1520">
        <v>1</v>
      </c>
      <c r="O896" s="1520">
        <v>2</v>
      </c>
    </row>
    <row r="897" spans="3:15" ht="13.5">
      <c r="C897" s="1526" t="s">
        <v>4858</v>
      </c>
      <c r="D897" s="1523">
        <v>1</v>
      </c>
      <c r="E897" s="1523">
        <v>0</v>
      </c>
      <c r="F897" s="1524">
        <v>1</v>
      </c>
      <c r="G897" s="1537" t="s">
        <v>4858</v>
      </c>
      <c r="H897" s="1521">
        <v>1</v>
      </c>
      <c r="I897" s="1521">
        <v>0</v>
      </c>
      <c r="J897" s="1538">
        <v>1</v>
      </c>
      <c r="K897" s="1525"/>
      <c r="L897" s="1519">
        <v>13077170200</v>
      </c>
      <c r="M897" s="1520">
        <v>1</v>
      </c>
      <c r="N897" s="1520">
        <v>0</v>
      </c>
      <c r="O897" s="1520">
        <v>1</v>
      </c>
    </row>
    <row r="898" spans="3:15" ht="13.5">
      <c r="C898" s="1526" t="s">
        <v>4859</v>
      </c>
      <c r="D898" s="1523">
        <v>1</v>
      </c>
      <c r="E898" s="1523">
        <v>1</v>
      </c>
      <c r="F898" s="1524">
        <v>2</v>
      </c>
      <c r="G898" s="1537" t="s">
        <v>4859</v>
      </c>
      <c r="H898" s="1521">
        <v>1</v>
      </c>
      <c r="I898" s="1521">
        <v>1</v>
      </c>
      <c r="J898" s="1538">
        <v>2</v>
      </c>
      <c r="K898" s="1525"/>
      <c r="L898" s="1519">
        <v>13077170303</v>
      </c>
      <c r="M898" s="1520">
        <v>1</v>
      </c>
      <c r="N898" s="1520">
        <v>1</v>
      </c>
      <c r="O898" s="1520">
        <v>2</v>
      </c>
    </row>
    <row r="899" spans="3:15" ht="13.5">
      <c r="C899" s="1526" t="s">
        <v>4860</v>
      </c>
      <c r="D899" s="1523">
        <v>1</v>
      </c>
      <c r="E899" s="1523">
        <v>1</v>
      </c>
      <c r="F899" s="1524">
        <v>2</v>
      </c>
      <c r="G899" s="1537" t="s">
        <v>4860</v>
      </c>
      <c r="H899" s="1521">
        <v>1</v>
      </c>
      <c r="I899" s="1521">
        <v>1</v>
      </c>
      <c r="J899" s="1538">
        <v>2</v>
      </c>
      <c r="K899" s="1525"/>
      <c r="L899" s="1519">
        <v>13077170304</v>
      </c>
      <c r="M899" s="1520">
        <v>1</v>
      </c>
      <c r="N899" s="1520">
        <v>1</v>
      </c>
      <c r="O899" s="1520">
        <v>2</v>
      </c>
    </row>
    <row r="900" spans="3:15" ht="13.5">
      <c r="C900" s="1526" t="s">
        <v>4861</v>
      </c>
      <c r="D900" s="1523">
        <v>0</v>
      </c>
      <c r="E900" s="1523">
        <v>0</v>
      </c>
      <c r="F900" s="1524">
        <v>0</v>
      </c>
      <c r="G900" s="1537" t="s">
        <v>4861</v>
      </c>
      <c r="H900" s="1521">
        <v>0</v>
      </c>
      <c r="I900" s="1521">
        <v>0</v>
      </c>
      <c r="J900" s="1538">
        <v>0</v>
      </c>
      <c r="K900" s="1525"/>
      <c r="L900" s="1519">
        <v>13077170305</v>
      </c>
      <c r="M900" s="1520">
        <v>0</v>
      </c>
      <c r="N900" s="1520">
        <v>0</v>
      </c>
      <c r="O900" s="1520">
        <v>0</v>
      </c>
    </row>
    <row r="901" spans="3:15" ht="13.5">
      <c r="C901" s="1526" t="s">
        <v>4862</v>
      </c>
      <c r="D901" s="1523">
        <v>1</v>
      </c>
      <c r="E901" s="1523">
        <v>1</v>
      </c>
      <c r="F901" s="1524">
        <v>2</v>
      </c>
      <c r="G901" s="1537" t="s">
        <v>4862</v>
      </c>
      <c r="H901" s="1521">
        <v>1</v>
      </c>
      <c r="I901" s="1521">
        <v>1</v>
      </c>
      <c r="J901" s="1538">
        <v>2</v>
      </c>
      <c r="K901" s="1525"/>
      <c r="L901" s="1519">
        <v>13077170306</v>
      </c>
      <c r="M901" s="1520">
        <v>1</v>
      </c>
      <c r="N901" s="1520">
        <v>1</v>
      </c>
      <c r="O901" s="1520">
        <v>2</v>
      </c>
    </row>
    <row r="902" spans="3:15" ht="13.5">
      <c r="C902" s="1526" t="s">
        <v>4863</v>
      </c>
      <c r="D902" s="1523">
        <v>1</v>
      </c>
      <c r="E902" s="1523">
        <v>1</v>
      </c>
      <c r="F902" s="1524">
        <v>2</v>
      </c>
      <c r="G902" s="1537" t="s">
        <v>4863</v>
      </c>
      <c r="H902" s="1521">
        <v>1</v>
      </c>
      <c r="I902" s="1521">
        <v>1</v>
      </c>
      <c r="J902" s="1538">
        <v>2</v>
      </c>
      <c r="K902" s="1525"/>
      <c r="L902" s="1519">
        <v>13077170402</v>
      </c>
      <c r="M902" s="1520">
        <v>1</v>
      </c>
      <c r="N902" s="1520">
        <v>1</v>
      </c>
      <c r="O902" s="1520">
        <v>2</v>
      </c>
    </row>
    <row r="903" spans="3:15" ht="13.5">
      <c r="C903" s="1526" t="s">
        <v>4864</v>
      </c>
      <c r="D903" s="1523">
        <v>1</v>
      </c>
      <c r="E903" s="1523">
        <v>1</v>
      </c>
      <c r="F903" s="1524">
        <v>2</v>
      </c>
      <c r="G903" s="1537" t="s">
        <v>4864</v>
      </c>
      <c r="H903" s="1521">
        <v>1</v>
      </c>
      <c r="I903" s="1521">
        <v>1</v>
      </c>
      <c r="J903" s="1538">
        <v>2</v>
      </c>
      <c r="K903" s="1525"/>
      <c r="L903" s="1519">
        <v>13077170403</v>
      </c>
      <c r="M903" s="1520">
        <v>1</v>
      </c>
      <c r="N903" s="1520">
        <v>1</v>
      </c>
      <c r="O903" s="1520">
        <v>2</v>
      </c>
    </row>
    <row r="904" spans="3:15" ht="13.5">
      <c r="C904" s="1526" t="s">
        <v>4865</v>
      </c>
      <c r="D904" s="1523">
        <v>1</v>
      </c>
      <c r="E904" s="1523">
        <v>1</v>
      </c>
      <c r="F904" s="1524">
        <v>2</v>
      </c>
      <c r="G904" s="1537" t="s">
        <v>4865</v>
      </c>
      <c r="H904" s="1521">
        <v>1</v>
      </c>
      <c r="I904" s="1521">
        <v>1</v>
      </c>
      <c r="J904" s="1538">
        <v>2</v>
      </c>
      <c r="K904" s="1525"/>
      <c r="L904" s="1519">
        <v>13077170404</v>
      </c>
      <c r="M904" s="1520">
        <v>1</v>
      </c>
      <c r="N904" s="1520">
        <v>1</v>
      </c>
      <c r="O904" s="1520">
        <v>2</v>
      </c>
    </row>
    <row r="905" spans="3:15" ht="13.5">
      <c r="C905" s="1526" t="s">
        <v>4866</v>
      </c>
      <c r="D905" s="1523">
        <v>1</v>
      </c>
      <c r="E905" s="1523">
        <v>1</v>
      </c>
      <c r="F905" s="1524">
        <v>2</v>
      </c>
      <c r="G905" s="1537" t="s">
        <v>4866</v>
      </c>
      <c r="H905" s="1521">
        <v>1</v>
      </c>
      <c r="I905" s="1521">
        <v>1</v>
      </c>
      <c r="J905" s="1538">
        <v>2</v>
      </c>
      <c r="K905" s="1525"/>
      <c r="L905" s="1519">
        <v>13077170405</v>
      </c>
      <c r="M905" s="1520">
        <v>1</v>
      </c>
      <c r="N905" s="1520">
        <v>1</v>
      </c>
      <c r="O905" s="1520">
        <v>2</v>
      </c>
    </row>
    <row r="906" spans="3:15" ht="13.5">
      <c r="C906" s="1526" t="s">
        <v>4867</v>
      </c>
      <c r="D906" s="1523">
        <v>1</v>
      </c>
      <c r="E906" s="1523">
        <v>1</v>
      </c>
      <c r="F906" s="1524">
        <v>2</v>
      </c>
      <c r="G906" s="1537" t="s">
        <v>4867</v>
      </c>
      <c r="H906" s="1521">
        <v>1</v>
      </c>
      <c r="I906" s="1521">
        <v>1</v>
      </c>
      <c r="J906" s="1538">
        <v>2</v>
      </c>
      <c r="K906" s="1525"/>
      <c r="L906" s="1519">
        <v>13077170406</v>
      </c>
      <c r="M906" s="1520">
        <v>1</v>
      </c>
      <c r="N906" s="1520">
        <v>1</v>
      </c>
      <c r="O906" s="1520">
        <v>2</v>
      </c>
    </row>
    <row r="907" spans="3:15" ht="13.5">
      <c r="C907" s="1526" t="s">
        <v>4868</v>
      </c>
      <c r="D907" s="1523">
        <v>1</v>
      </c>
      <c r="E907" s="1523">
        <v>1</v>
      </c>
      <c r="F907" s="1524">
        <v>2</v>
      </c>
      <c r="G907" s="1537" t="s">
        <v>4868</v>
      </c>
      <c r="H907" s="1521">
        <v>1</v>
      </c>
      <c r="I907" s="1521">
        <v>1</v>
      </c>
      <c r="J907" s="1538">
        <v>2</v>
      </c>
      <c r="K907" s="1525"/>
      <c r="L907" s="1519">
        <v>13077170501</v>
      </c>
      <c r="M907" s="1520">
        <v>1</v>
      </c>
      <c r="N907" s="1520">
        <v>1</v>
      </c>
      <c r="O907" s="1520">
        <v>2</v>
      </c>
    </row>
    <row r="908" spans="3:15" ht="13.5">
      <c r="C908" s="1526" t="s">
        <v>4869</v>
      </c>
      <c r="D908" s="1523">
        <v>1</v>
      </c>
      <c r="E908" s="1523">
        <v>1</v>
      </c>
      <c r="F908" s="1524">
        <v>2</v>
      </c>
      <c r="G908" s="1537" t="s">
        <v>4869</v>
      </c>
      <c r="H908" s="1521">
        <v>1</v>
      </c>
      <c r="I908" s="1521">
        <v>1</v>
      </c>
      <c r="J908" s="1538">
        <v>2</v>
      </c>
      <c r="K908" s="1525"/>
      <c r="L908" s="1519">
        <v>13077170502</v>
      </c>
      <c r="M908" s="1520">
        <v>1</v>
      </c>
      <c r="N908" s="1520">
        <v>1</v>
      </c>
      <c r="O908" s="1520">
        <v>2</v>
      </c>
    </row>
    <row r="909" spans="3:15" ht="13.5">
      <c r="C909" s="1526" t="s">
        <v>4870</v>
      </c>
      <c r="D909" s="1523">
        <v>1</v>
      </c>
      <c r="E909" s="1523">
        <v>1</v>
      </c>
      <c r="F909" s="1524">
        <v>2</v>
      </c>
      <c r="G909" s="1537" t="s">
        <v>4870</v>
      </c>
      <c r="H909" s="1521">
        <v>1</v>
      </c>
      <c r="I909" s="1521">
        <v>1</v>
      </c>
      <c r="J909" s="1538">
        <v>2</v>
      </c>
      <c r="K909" s="1525"/>
      <c r="L909" s="1519">
        <v>13077170503</v>
      </c>
      <c r="M909" s="1520">
        <v>1</v>
      </c>
      <c r="N909" s="1520">
        <v>1</v>
      </c>
      <c r="O909" s="1520">
        <v>2</v>
      </c>
    </row>
    <row r="910" spans="3:15" ht="13.5">
      <c r="C910" s="1526" t="s">
        <v>4871</v>
      </c>
      <c r="D910" s="1523">
        <v>0</v>
      </c>
      <c r="E910" s="1523">
        <v>0</v>
      </c>
      <c r="F910" s="1524">
        <v>0</v>
      </c>
      <c r="G910" s="1537" t="s">
        <v>4871</v>
      </c>
      <c r="H910" s="1521">
        <v>0</v>
      </c>
      <c r="I910" s="1521">
        <v>0</v>
      </c>
      <c r="J910" s="1538">
        <v>0</v>
      </c>
      <c r="K910" s="1525"/>
      <c r="L910" s="1519">
        <v>13077170601</v>
      </c>
      <c r="M910" s="1520">
        <v>0</v>
      </c>
      <c r="N910" s="1520">
        <v>0</v>
      </c>
      <c r="O910" s="1520">
        <v>0</v>
      </c>
    </row>
    <row r="911" spans="3:15" ht="13.5">
      <c r="C911" s="1526" t="s">
        <v>4872</v>
      </c>
      <c r="D911" s="1523">
        <v>1</v>
      </c>
      <c r="E911" s="1523">
        <v>1</v>
      </c>
      <c r="F911" s="1524">
        <v>2</v>
      </c>
      <c r="G911" s="1537" t="s">
        <v>4872</v>
      </c>
      <c r="H911" s="1521">
        <v>1</v>
      </c>
      <c r="I911" s="1521" t="s">
        <v>4099</v>
      </c>
      <c r="J911" s="1538">
        <v>1</v>
      </c>
      <c r="K911" s="1525"/>
      <c r="L911" s="1519">
        <v>13077170602</v>
      </c>
      <c r="M911" s="1520">
        <v>1</v>
      </c>
      <c r="N911" s="1520">
        <v>1</v>
      </c>
      <c r="O911" s="1520">
        <v>2</v>
      </c>
    </row>
    <row r="912" spans="3:15" ht="13.5">
      <c r="C912" s="1526" t="s">
        <v>4873</v>
      </c>
      <c r="D912" s="1523">
        <v>1</v>
      </c>
      <c r="E912" s="1523">
        <v>1</v>
      </c>
      <c r="F912" s="1524">
        <v>2</v>
      </c>
      <c r="G912" s="1537" t="s">
        <v>4873</v>
      </c>
      <c r="H912" s="1521">
        <v>1</v>
      </c>
      <c r="I912" s="1521">
        <v>1</v>
      </c>
      <c r="J912" s="1538">
        <v>2</v>
      </c>
      <c r="K912" s="1525"/>
      <c r="L912" s="1519">
        <v>13077170603</v>
      </c>
      <c r="M912" s="1520">
        <v>1</v>
      </c>
      <c r="N912" s="1520">
        <v>1</v>
      </c>
      <c r="O912" s="1520">
        <v>2</v>
      </c>
    </row>
    <row r="913" spans="3:15" ht="13.5">
      <c r="C913" s="1526" t="s">
        <v>4874</v>
      </c>
      <c r="D913" s="1523">
        <v>0</v>
      </c>
      <c r="E913" s="1523">
        <v>0</v>
      </c>
      <c r="F913" s="1524">
        <v>0</v>
      </c>
      <c r="G913" s="1537" t="s">
        <v>4874</v>
      </c>
      <c r="H913" s="1521">
        <v>0</v>
      </c>
      <c r="I913" s="1521">
        <v>0</v>
      </c>
      <c r="J913" s="1538">
        <v>0</v>
      </c>
      <c r="K913" s="1525"/>
      <c r="L913" s="1519">
        <v>13077170700</v>
      </c>
      <c r="M913" s="1520">
        <v>0</v>
      </c>
      <c r="N913" s="1520">
        <v>0</v>
      </c>
      <c r="O913" s="1520">
        <v>0</v>
      </c>
    </row>
    <row r="914" spans="3:15" ht="13.5">
      <c r="C914" s="1526" t="s">
        <v>4875</v>
      </c>
      <c r="D914" s="1523">
        <v>0</v>
      </c>
      <c r="E914" s="1523">
        <v>1</v>
      </c>
      <c r="F914" s="1524">
        <v>1</v>
      </c>
      <c r="G914" s="1537" t="s">
        <v>4875</v>
      </c>
      <c r="H914" s="1521">
        <v>0</v>
      </c>
      <c r="I914" s="1521">
        <v>0</v>
      </c>
      <c r="J914" s="1538">
        <v>0</v>
      </c>
      <c r="K914" s="1525"/>
      <c r="L914" s="1519">
        <v>13077170801</v>
      </c>
      <c r="M914" s="1520">
        <v>0</v>
      </c>
      <c r="N914" s="1520">
        <v>1</v>
      </c>
      <c r="O914" s="1520">
        <v>1</v>
      </c>
    </row>
    <row r="915" spans="3:15" ht="13.5">
      <c r="C915" s="1526" t="s">
        <v>4876</v>
      </c>
      <c r="D915" s="1523">
        <v>1</v>
      </c>
      <c r="E915" s="1523">
        <v>1</v>
      </c>
      <c r="F915" s="1524">
        <v>2</v>
      </c>
      <c r="G915" s="1537" t="s">
        <v>4876</v>
      </c>
      <c r="H915" s="1521">
        <v>1</v>
      </c>
      <c r="I915" s="1521">
        <v>1</v>
      </c>
      <c r="J915" s="1538">
        <v>2</v>
      </c>
      <c r="K915" s="1525"/>
      <c r="L915" s="1519">
        <v>13077170802</v>
      </c>
      <c r="M915" s="1520">
        <v>1</v>
      </c>
      <c r="N915" s="1520">
        <v>1</v>
      </c>
      <c r="O915" s="1520">
        <v>2</v>
      </c>
    </row>
    <row r="916" spans="3:15" ht="13.5">
      <c r="C916" s="1526" t="s">
        <v>4877</v>
      </c>
      <c r="D916" s="1523">
        <v>0</v>
      </c>
      <c r="E916" s="1523">
        <v>0</v>
      </c>
      <c r="F916" s="1524">
        <v>0</v>
      </c>
      <c r="G916" s="1537" t="s">
        <v>4877</v>
      </c>
      <c r="H916" s="1521">
        <v>0</v>
      </c>
      <c r="I916" s="1521">
        <v>0</v>
      </c>
      <c r="J916" s="1538">
        <v>0</v>
      </c>
      <c r="K916" s="1525"/>
      <c r="L916" s="1519">
        <v>13079070100</v>
      </c>
      <c r="M916" s="1520">
        <v>0</v>
      </c>
      <c r="N916" s="1520">
        <v>0</v>
      </c>
      <c r="O916" s="1520">
        <v>0</v>
      </c>
    </row>
    <row r="917" spans="3:15" ht="13.5">
      <c r="C917" s="1526" t="s">
        <v>4878</v>
      </c>
      <c r="D917" s="1523">
        <v>0</v>
      </c>
      <c r="E917" s="1523">
        <v>1</v>
      </c>
      <c r="F917" s="1524">
        <v>1</v>
      </c>
      <c r="G917" s="1537" t="s">
        <v>4878</v>
      </c>
      <c r="H917" s="1521">
        <v>0</v>
      </c>
      <c r="I917" s="1521">
        <v>1</v>
      </c>
      <c r="J917" s="1538">
        <v>1</v>
      </c>
      <c r="K917" s="1525"/>
      <c r="L917" s="1519">
        <v>13079070201</v>
      </c>
      <c r="M917" s="1520">
        <v>0</v>
      </c>
      <c r="N917" s="1520">
        <v>1</v>
      </c>
      <c r="O917" s="1520">
        <v>1</v>
      </c>
    </row>
    <row r="918" spans="3:15" ht="13.5">
      <c r="C918" s="1526" t="s">
        <v>4879</v>
      </c>
      <c r="D918" s="1523">
        <v>0</v>
      </c>
      <c r="E918" s="1523">
        <v>1</v>
      </c>
      <c r="F918" s="1524">
        <v>1</v>
      </c>
      <c r="G918" s="1537" t="s">
        <v>4879</v>
      </c>
      <c r="H918" s="1521">
        <v>0</v>
      </c>
      <c r="I918" s="1521">
        <v>0</v>
      </c>
      <c r="J918" s="1538">
        <v>0</v>
      </c>
      <c r="K918" s="1525"/>
      <c r="L918" s="1519">
        <v>13079070202</v>
      </c>
      <c r="M918" s="1520">
        <v>0</v>
      </c>
      <c r="N918" s="1520">
        <v>1</v>
      </c>
      <c r="O918" s="1520">
        <v>1</v>
      </c>
    </row>
    <row r="919" spans="3:15" ht="13.5">
      <c r="C919" s="1526" t="s">
        <v>4880</v>
      </c>
      <c r="D919" s="1523">
        <v>0</v>
      </c>
      <c r="E919" s="1523">
        <v>0</v>
      </c>
      <c r="F919" s="1524">
        <v>0</v>
      </c>
      <c r="G919" s="1537" t="s">
        <v>4880</v>
      </c>
      <c r="H919" s="1521">
        <v>0</v>
      </c>
      <c r="I919" s="1521">
        <v>0</v>
      </c>
      <c r="J919" s="1538">
        <v>0</v>
      </c>
      <c r="K919" s="1525"/>
      <c r="L919" s="1519">
        <v>13081010100</v>
      </c>
      <c r="M919" s="1520">
        <v>0</v>
      </c>
      <c r="N919" s="1520">
        <v>0</v>
      </c>
      <c r="O919" s="1520">
        <v>0</v>
      </c>
    </row>
    <row r="920" spans="3:15" ht="13.5">
      <c r="C920" s="1526" t="s">
        <v>4881</v>
      </c>
      <c r="D920" s="1523">
        <v>0</v>
      </c>
      <c r="E920" s="1523">
        <v>0</v>
      </c>
      <c r="F920" s="1524">
        <v>0</v>
      </c>
      <c r="G920" s="1537" t="s">
        <v>4881</v>
      </c>
      <c r="H920" s="1521">
        <v>0</v>
      </c>
      <c r="I920" s="1521">
        <v>0</v>
      </c>
      <c r="J920" s="1538">
        <v>0</v>
      </c>
      <c r="K920" s="1525"/>
      <c r="L920" s="1519">
        <v>13081010201</v>
      </c>
      <c r="M920" s="1520">
        <v>0</v>
      </c>
      <c r="N920" s="1520">
        <v>0</v>
      </c>
      <c r="O920" s="1520">
        <v>0</v>
      </c>
    </row>
    <row r="921" spans="3:15" ht="13.5">
      <c r="C921" s="1526" t="s">
        <v>4882</v>
      </c>
      <c r="D921" s="1523">
        <v>0</v>
      </c>
      <c r="E921" s="1523">
        <v>0</v>
      </c>
      <c r="F921" s="1524">
        <v>0</v>
      </c>
      <c r="G921" s="1537" t="s">
        <v>4882</v>
      </c>
      <c r="H921" s="1521">
        <v>0</v>
      </c>
      <c r="I921" s="1521">
        <v>0</v>
      </c>
      <c r="J921" s="1538">
        <v>0</v>
      </c>
      <c r="K921" s="1525"/>
      <c r="L921" s="1519">
        <v>13081010202</v>
      </c>
      <c r="M921" s="1520">
        <v>0</v>
      </c>
      <c r="N921" s="1520">
        <v>0</v>
      </c>
      <c r="O921" s="1520">
        <v>0</v>
      </c>
    </row>
    <row r="922" spans="3:15" ht="13.5">
      <c r="C922" s="1526" t="s">
        <v>4883</v>
      </c>
      <c r="D922" s="1523">
        <v>0</v>
      </c>
      <c r="E922" s="1523">
        <v>0</v>
      </c>
      <c r="F922" s="1524">
        <v>0</v>
      </c>
      <c r="G922" s="1537" t="s">
        <v>4883</v>
      </c>
      <c r="H922" s="1521">
        <v>0</v>
      </c>
      <c r="I922" s="1521">
        <v>0</v>
      </c>
      <c r="J922" s="1538">
        <v>0</v>
      </c>
      <c r="K922" s="1525"/>
      <c r="L922" s="1519">
        <v>13081010300</v>
      </c>
      <c r="M922" s="1520">
        <v>0</v>
      </c>
      <c r="N922" s="1520">
        <v>0</v>
      </c>
      <c r="O922" s="1520">
        <v>0</v>
      </c>
    </row>
    <row r="923" spans="3:15" ht="13.5">
      <c r="C923" s="1526" t="s">
        <v>4884</v>
      </c>
      <c r="D923" s="1523">
        <v>0</v>
      </c>
      <c r="E923" s="1523">
        <v>0</v>
      </c>
      <c r="F923" s="1524">
        <v>0</v>
      </c>
      <c r="G923" s="1537" t="s">
        <v>4884</v>
      </c>
      <c r="H923" s="1521">
        <v>0</v>
      </c>
      <c r="I923" s="1521">
        <v>0</v>
      </c>
      <c r="J923" s="1538">
        <v>0</v>
      </c>
      <c r="K923" s="1525"/>
      <c r="L923" s="1519">
        <v>13081010400</v>
      </c>
      <c r="M923" s="1520">
        <v>0</v>
      </c>
      <c r="N923" s="1520">
        <v>0</v>
      </c>
      <c r="O923" s="1520">
        <v>0</v>
      </c>
    </row>
    <row r="924" spans="3:15" ht="13.5">
      <c r="C924" s="1526" t="s">
        <v>4885</v>
      </c>
      <c r="D924" s="1523">
        <v>0</v>
      </c>
      <c r="E924" s="1523">
        <v>0</v>
      </c>
      <c r="F924" s="1524">
        <v>0</v>
      </c>
      <c r="G924" s="1537" t="s">
        <v>4885</v>
      </c>
      <c r="H924" s="1521">
        <v>0</v>
      </c>
      <c r="I924" s="1521">
        <v>0</v>
      </c>
      <c r="J924" s="1538">
        <v>0</v>
      </c>
      <c r="K924" s="1525"/>
      <c r="L924" s="1519">
        <v>13081010500</v>
      </c>
      <c r="M924" s="1520">
        <v>0</v>
      </c>
      <c r="N924" s="1520">
        <v>0</v>
      </c>
      <c r="O924" s="1520">
        <v>0</v>
      </c>
    </row>
    <row r="925" spans="3:15" ht="13.5">
      <c r="C925" s="1526" t="s">
        <v>4886</v>
      </c>
      <c r="D925" s="1523">
        <v>0</v>
      </c>
      <c r="E925" s="1523">
        <v>0</v>
      </c>
      <c r="F925" s="1524">
        <v>0</v>
      </c>
      <c r="G925" s="1537" t="s">
        <v>4886</v>
      </c>
      <c r="H925" s="1521">
        <v>0</v>
      </c>
      <c r="I925" s="1521">
        <v>0</v>
      </c>
      <c r="J925" s="1538">
        <v>0</v>
      </c>
      <c r="K925" s="1525"/>
      <c r="L925" s="1519">
        <v>13083040101</v>
      </c>
      <c r="M925" s="1520">
        <v>0</v>
      </c>
      <c r="N925" s="1520">
        <v>0</v>
      </c>
      <c r="O925" s="1520">
        <v>0</v>
      </c>
    </row>
    <row r="926" spans="3:15" ht="13.5">
      <c r="C926" s="1526" t="s">
        <v>4887</v>
      </c>
      <c r="D926" s="1523">
        <v>1</v>
      </c>
      <c r="E926" s="1523">
        <v>1</v>
      </c>
      <c r="F926" s="1524">
        <v>2</v>
      </c>
      <c r="G926" s="1537" t="s">
        <v>4887</v>
      </c>
      <c r="H926" s="1521">
        <v>0</v>
      </c>
      <c r="I926" s="1521">
        <v>1</v>
      </c>
      <c r="J926" s="1538">
        <v>1</v>
      </c>
      <c r="K926" s="1525"/>
      <c r="L926" s="1519">
        <v>13083040102</v>
      </c>
      <c r="M926" s="1520">
        <v>1</v>
      </c>
      <c r="N926" s="1520">
        <v>1</v>
      </c>
      <c r="O926" s="1520">
        <v>2</v>
      </c>
    </row>
    <row r="927" spans="3:15" ht="13.5">
      <c r="C927" s="1526" t="s">
        <v>4888</v>
      </c>
      <c r="D927" s="1523">
        <v>0</v>
      </c>
      <c r="E927" s="1523">
        <v>0</v>
      </c>
      <c r="F927" s="1524">
        <v>0</v>
      </c>
      <c r="G927" s="1537" t="s">
        <v>4888</v>
      </c>
      <c r="H927" s="1521">
        <v>0</v>
      </c>
      <c r="I927" s="1521">
        <v>0</v>
      </c>
      <c r="J927" s="1538">
        <v>0</v>
      </c>
      <c r="K927" s="1525"/>
      <c r="L927" s="1519">
        <v>13083040200</v>
      </c>
      <c r="M927" s="1520">
        <v>0</v>
      </c>
      <c r="N927" s="1520">
        <v>0</v>
      </c>
      <c r="O927" s="1520">
        <v>0</v>
      </c>
    </row>
    <row r="928" spans="3:15" ht="13.5">
      <c r="C928" s="1526" t="s">
        <v>4889</v>
      </c>
      <c r="D928" s="1523">
        <v>1</v>
      </c>
      <c r="E928" s="1523">
        <v>1</v>
      </c>
      <c r="F928" s="1524">
        <v>2</v>
      </c>
      <c r="G928" s="1537" t="s">
        <v>4889</v>
      </c>
      <c r="H928" s="1521">
        <v>0</v>
      </c>
      <c r="I928" s="1521">
        <v>1</v>
      </c>
      <c r="J928" s="1538">
        <v>1</v>
      </c>
      <c r="K928" s="1525"/>
      <c r="L928" s="1519">
        <v>13083040300</v>
      </c>
      <c r="M928" s="1520">
        <v>1</v>
      </c>
      <c r="N928" s="1520">
        <v>1</v>
      </c>
      <c r="O928" s="1520">
        <v>2</v>
      </c>
    </row>
    <row r="929" spans="3:15" ht="13.5">
      <c r="C929" s="1526" t="s">
        <v>4890</v>
      </c>
      <c r="D929" s="1523">
        <v>1</v>
      </c>
      <c r="E929" s="1523">
        <v>1</v>
      </c>
      <c r="F929" s="1524">
        <v>2</v>
      </c>
      <c r="G929" s="1537" t="s">
        <v>4890</v>
      </c>
      <c r="H929" s="1521">
        <v>1</v>
      </c>
      <c r="I929" s="1521">
        <v>1</v>
      </c>
      <c r="J929" s="1538">
        <v>2</v>
      </c>
      <c r="K929" s="1525"/>
      <c r="L929" s="1519">
        <v>13085970100</v>
      </c>
      <c r="M929" s="1520">
        <v>1</v>
      </c>
      <c r="N929" s="1520">
        <v>1</v>
      </c>
      <c r="O929" s="1520">
        <v>2</v>
      </c>
    </row>
    <row r="930" spans="3:15" ht="13.5">
      <c r="C930" s="1526" t="s">
        <v>4891</v>
      </c>
      <c r="D930" s="1523">
        <v>1</v>
      </c>
      <c r="E930" s="1523">
        <v>1</v>
      </c>
      <c r="F930" s="1524">
        <v>2</v>
      </c>
      <c r="G930" s="1537" t="s">
        <v>4891</v>
      </c>
      <c r="H930" s="1521">
        <v>1</v>
      </c>
      <c r="I930" s="1521">
        <v>1</v>
      </c>
      <c r="J930" s="1538">
        <v>2</v>
      </c>
      <c r="K930" s="1525"/>
      <c r="L930" s="1519">
        <v>13085970201</v>
      </c>
      <c r="M930" s="1520">
        <v>1</v>
      </c>
      <c r="N930" s="1520">
        <v>1</v>
      </c>
      <c r="O930" s="1520">
        <v>2</v>
      </c>
    </row>
    <row r="931" spans="3:15" ht="13.5">
      <c r="C931" s="1526" t="s">
        <v>4892</v>
      </c>
      <c r="D931" s="1523">
        <v>0</v>
      </c>
      <c r="E931" s="1523">
        <v>1</v>
      </c>
      <c r="F931" s="1524">
        <v>1</v>
      </c>
      <c r="G931" s="1537" t="s">
        <v>4892</v>
      </c>
      <c r="H931" s="1521">
        <v>1</v>
      </c>
      <c r="I931" s="1521">
        <v>0</v>
      </c>
      <c r="J931" s="1538">
        <v>1</v>
      </c>
      <c r="K931" s="1525"/>
      <c r="L931" s="1519">
        <v>13085970202</v>
      </c>
      <c r="M931" s="1520">
        <v>1</v>
      </c>
      <c r="N931" s="1520">
        <v>1</v>
      </c>
      <c r="O931" s="1520">
        <v>1</v>
      </c>
    </row>
    <row r="932" spans="3:15" ht="13.5">
      <c r="C932" s="1526" t="s">
        <v>4893</v>
      </c>
      <c r="D932" s="1523">
        <v>1</v>
      </c>
      <c r="E932" s="1523">
        <v>0</v>
      </c>
      <c r="F932" s="1524">
        <v>1</v>
      </c>
      <c r="G932" s="1537" t="s">
        <v>4893</v>
      </c>
      <c r="H932" s="1521">
        <v>0</v>
      </c>
      <c r="I932" s="1521">
        <v>0</v>
      </c>
      <c r="J932" s="1538">
        <v>0</v>
      </c>
      <c r="K932" s="1525"/>
      <c r="L932" s="1519">
        <v>13087970100</v>
      </c>
      <c r="M932" s="1520">
        <v>1</v>
      </c>
      <c r="N932" s="1520">
        <v>0</v>
      </c>
      <c r="O932" s="1520">
        <v>1</v>
      </c>
    </row>
    <row r="933" spans="3:15" ht="13.5">
      <c r="C933" s="1526" t="s">
        <v>4894</v>
      </c>
      <c r="D933" s="1523">
        <v>0</v>
      </c>
      <c r="E933" s="1523">
        <v>0</v>
      </c>
      <c r="F933" s="1524">
        <v>0</v>
      </c>
      <c r="G933" s="1537" t="s">
        <v>4894</v>
      </c>
      <c r="H933" s="1521">
        <v>0</v>
      </c>
      <c r="I933" s="1521">
        <v>0</v>
      </c>
      <c r="J933" s="1538">
        <v>0</v>
      </c>
      <c r="K933" s="1525"/>
      <c r="L933" s="1519">
        <v>13087970200</v>
      </c>
      <c r="M933" s="1520">
        <v>0</v>
      </c>
      <c r="N933" s="1520">
        <v>0</v>
      </c>
      <c r="O933" s="1520">
        <v>0</v>
      </c>
    </row>
    <row r="934" spans="3:15" ht="13.5">
      <c r="C934" s="1526" t="s">
        <v>4895</v>
      </c>
      <c r="D934" s="1523">
        <v>0</v>
      </c>
      <c r="E934" s="1523">
        <v>0</v>
      </c>
      <c r="F934" s="1524">
        <v>0</v>
      </c>
      <c r="G934" s="1537" t="s">
        <v>4895</v>
      </c>
      <c r="H934" s="1521">
        <v>0</v>
      </c>
      <c r="I934" s="1521">
        <v>0</v>
      </c>
      <c r="J934" s="1538">
        <v>0</v>
      </c>
      <c r="K934" s="1525"/>
      <c r="L934" s="1519">
        <v>13087970300</v>
      </c>
      <c r="M934" s="1520">
        <v>0</v>
      </c>
      <c r="N934" s="1520">
        <v>0</v>
      </c>
      <c r="O934" s="1520">
        <v>0</v>
      </c>
    </row>
    <row r="935" spans="3:15" ht="13.5">
      <c r="C935" s="1526" t="s">
        <v>4896</v>
      </c>
      <c r="D935" s="1523">
        <v>0</v>
      </c>
      <c r="E935" s="1523">
        <v>0</v>
      </c>
      <c r="F935" s="1524">
        <v>0</v>
      </c>
      <c r="G935" s="1537" t="s">
        <v>4896</v>
      </c>
      <c r="H935" s="1521">
        <v>0</v>
      </c>
      <c r="I935" s="1521">
        <v>0</v>
      </c>
      <c r="J935" s="1538">
        <v>0</v>
      </c>
      <c r="K935" s="1525"/>
      <c r="L935" s="1519">
        <v>13087970400</v>
      </c>
      <c r="M935" s="1520">
        <v>0</v>
      </c>
      <c r="N935" s="1520">
        <v>0</v>
      </c>
      <c r="O935" s="1520">
        <v>0</v>
      </c>
    </row>
    <row r="936" spans="3:15" ht="13.5">
      <c r="C936" s="1526" t="s">
        <v>4897</v>
      </c>
      <c r="D936" s="1523">
        <v>1</v>
      </c>
      <c r="E936" s="1523">
        <v>0</v>
      </c>
      <c r="F936" s="1524">
        <v>1</v>
      </c>
      <c r="G936" s="1537" t="s">
        <v>4897</v>
      </c>
      <c r="H936" s="1521">
        <v>0</v>
      </c>
      <c r="I936" s="1521">
        <v>1</v>
      </c>
      <c r="J936" s="1538">
        <v>1</v>
      </c>
      <c r="K936" s="1525"/>
      <c r="L936" s="1519">
        <v>13087970600</v>
      </c>
      <c r="M936" s="1520">
        <v>1</v>
      </c>
      <c r="N936" s="1520">
        <v>1</v>
      </c>
      <c r="O936" s="1520">
        <v>1</v>
      </c>
    </row>
    <row r="937" spans="3:15" ht="13.5">
      <c r="C937" s="1526" t="s">
        <v>4898</v>
      </c>
      <c r="D937" s="1523">
        <v>0</v>
      </c>
      <c r="E937" s="1523">
        <v>0</v>
      </c>
      <c r="F937" s="1524">
        <v>0</v>
      </c>
      <c r="G937" s="1537" t="s">
        <v>4898</v>
      </c>
      <c r="H937" s="1521">
        <v>0</v>
      </c>
      <c r="I937" s="1521">
        <v>0</v>
      </c>
      <c r="J937" s="1538">
        <v>0</v>
      </c>
      <c r="K937" s="1525"/>
      <c r="L937" s="1519">
        <v>13087970700</v>
      </c>
      <c r="M937" s="1520">
        <v>0</v>
      </c>
      <c r="N937" s="1520">
        <v>0</v>
      </c>
      <c r="O937" s="1520">
        <v>0</v>
      </c>
    </row>
    <row r="938" spans="3:15" ht="13.5">
      <c r="C938" s="1526" t="s">
        <v>4899</v>
      </c>
      <c r="D938" s="1523">
        <v>0</v>
      </c>
      <c r="E938" s="1523">
        <v>0</v>
      </c>
      <c r="F938" s="1524">
        <v>0</v>
      </c>
      <c r="G938" s="1537" t="s">
        <v>4899</v>
      </c>
      <c r="H938" s="1521">
        <v>0</v>
      </c>
      <c r="I938" s="1521">
        <v>0</v>
      </c>
      <c r="J938" s="1538">
        <v>0</v>
      </c>
      <c r="K938" s="1525"/>
      <c r="L938" s="1519">
        <v>13087970800</v>
      </c>
      <c r="M938" s="1520">
        <v>0</v>
      </c>
      <c r="N938" s="1520">
        <v>0</v>
      </c>
      <c r="O938" s="1520">
        <v>0</v>
      </c>
    </row>
    <row r="939" spans="3:15" ht="13.5">
      <c r="C939" s="1526" t="s">
        <v>4900</v>
      </c>
      <c r="D939" s="1523">
        <v>1</v>
      </c>
      <c r="E939" s="1523">
        <v>1</v>
      </c>
      <c r="F939" s="1524">
        <v>2</v>
      </c>
      <c r="G939" s="1537" t="s">
        <v>4900</v>
      </c>
      <c r="H939" s="1521">
        <v>1</v>
      </c>
      <c r="I939" s="1521">
        <v>1</v>
      </c>
      <c r="J939" s="1538">
        <v>2</v>
      </c>
      <c r="K939" s="1525"/>
      <c r="L939" s="1519">
        <v>13089020100</v>
      </c>
      <c r="M939" s="1520">
        <v>1</v>
      </c>
      <c r="N939" s="1520">
        <v>1</v>
      </c>
      <c r="O939" s="1520">
        <v>2</v>
      </c>
    </row>
    <row r="940" spans="3:15" ht="13.5">
      <c r="C940" s="1526" t="s">
        <v>4901</v>
      </c>
      <c r="D940" s="1523">
        <v>1</v>
      </c>
      <c r="E940" s="1523">
        <v>1</v>
      </c>
      <c r="F940" s="1524">
        <v>2</v>
      </c>
      <c r="G940" s="1537" t="s">
        <v>4901</v>
      </c>
      <c r="H940" s="1521">
        <v>1</v>
      </c>
      <c r="I940" s="1521">
        <v>1</v>
      </c>
      <c r="J940" s="1538">
        <v>2</v>
      </c>
      <c r="K940" s="1525"/>
      <c r="L940" s="1519">
        <v>13089020200</v>
      </c>
      <c r="M940" s="1520">
        <v>1</v>
      </c>
      <c r="N940" s="1520">
        <v>1</v>
      </c>
      <c r="O940" s="1520">
        <v>2</v>
      </c>
    </row>
    <row r="941" spans="3:15" ht="13.5">
      <c r="C941" s="1526" t="s">
        <v>4902</v>
      </c>
      <c r="D941" s="1523">
        <v>1</v>
      </c>
      <c r="E941" s="1523">
        <v>1</v>
      </c>
      <c r="F941" s="1524">
        <v>2</v>
      </c>
      <c r="G941" s="1537" t="s">
        <v>4902</v>
      </c>
      <c r="H941" s="1521">
        <v>1</v>
      </c>
      <c r="I941" s="1521" t="s">
        <v>4099</v>
      </c>
      <c r="J941" s="1538">
        <v>1</v>
      </c>
      <c r="K941" s="1525"/>
      <c r="L941" s="1519">
        <v>13089020300</v>
      </c>
      <c r="M941" s="1520">
        <v>1</v>
      </c>
      <c r="N941" s="1520">
        <v>1</v>
      </c>
      <c r="O941" s="1520">
        <v>2</v>
      </c>
    </row>
    <row r="942" spans="3:15" ht="13.5">
      <c r="C942" s="1526" t="s">
        <v>4903</v>
      </c>
      <c r="D942" s="1523">
        <v>1</v>
      </c>
      <c r="E942" s="1523">
        <v>1</v>
      </c>
      <c r="F942" s="1524">
        <v>2</v>
      </c>
      <c r="G942" s="1537" t="s">
        <v>4903</v>
      </c>
      <c r="H942" s="1521">
        <v>1</v>
      </c>
      <c r="I942" s="1521" t="s">
        <v>4099</v>
      </c>
      <c r="J942" s="1538">
        <v>1</v>
      </c>
      <c r="K942" s="1525"/>
      <c r="L942" s="1519">
        <v>13089020400</v>
      </c>
      <c r="M942" s="1520">
        <v>1</v>
      </c>
      <c r="N942" s="1520">
        <v>1</v>
      </c>
      <c r="O942" s="1520">
        <v>2</v>
      </c>
    </row>
    <row r="943" spans="3:15" ht="13.5">
      <c r="C943" s="1526" t="s">
        <v>4904</v>
      </c>
      <c r="D943" s="1523">
        <v>0</v>
      </c>
      <c r="E943" s="1523">
        <v>0</v>
      </c>
      <c r="F943" s="1524">
        <v>0</v>
      </c>
      <c r="G943" s="1537" t="s">
        <v>4904</v>
      </c>
      <c r="H943" s="1521">
        <v>0</v>
      </c>
      <c r="I943" s="1521">
        <v>0</v>
      </c>
      <c r="J943" s="1538">
        <v>0</v>
      </c>
      <c r="K943" s="1525"/>
      <c r="L943" s="1519">
        <v>13089020500</v>
      </c>
      <c r="M943" s="1520">
        <v>0</v>
      </c>
      <c r="N943" s="1520">
        <v>0</v>
      </c>
      <c r="O943" s="1520">
        <v>0</v>
      </c>
    </row>
    <row r="944" spans="3:15" ht="13.5">
      <c r="C944" s="1526" t="s">
        <v>4905</v>
      </c>
      <c r="D944" s="1523">
        <v>0</v>
      </c>
      <c r="E944" s="1523">
        <v>0</v>
      </c>
      <c r="F944" s="1524">
        <v>0</v>
      </c>
      <c r="G944" s="1537" t="s">
        <v>4905</v>
      </c>
      <c r="H944" s="1521">
        <v>0</v>
      </c>
      <c r="I944" s="1521">
        <v>0</v>
      </c>
      <c r="J944" s="1538">
        <v>0</v>
      </c>
      <c r="K944" s="1525"/>
      <c r="L944" s="1519">
        <v>13089020600</v>
      </c>
      <c r="M944" s="1520">
        <v>0</v>
      </c>
      <c r="N944" s="1520">
        <v>0</v>
      </c>
      <c r="O944" s="1520">
        <v>0</v>
      </c>
    </row>
    <row r="945" spans="3:15" ht="13.5">
      <c r="C945" s="1526" t="s">
        <v>4906</v>
      </c>
      <c r="D945" s="1523">
        <v>1</v>
      </c>
      <c r="E945" s="1523">
        <v>0</v>
      </c>
      <c r="F945" s="1524">
        <v>1</v>
      </c>
      <c r="G945" s="1537" t="s">
        <v>4906</v>
      </c>
      <c r="H945" s="1521">
        <v>1</v>
      </c>
      <c r="I945" s="1521">
        <v>1</v>
      </c>
      <c r="J945" s="1538">
        <v>2</v>
      </c>
      <c r="K945" s="1525"/>
      <c r="L945" s="1519">
        <v>13089020700</v>
      </c>
      <c r="M945" s="1520">
        <v>1</v>
      </c>
      <c r="N945" s="1520">
        <v>1</v>
      </c>
      <c r="O945" s="1520">
        <v>2</v>
      </c>
    </row>
    <row r="946" spans="3:15" ht="13.5">
      <c r="C946" s="1526" t="s">
        <v>4907</v>
      </c>
      <c r="D946" s="1523">
        <v>1</v>
      </c>
      <c r="E946" s="1523">
        <v>1</v>
      </c>
      <c r="F946" s="1524">
        <v>2</v>
      </c>
      <c r="G946" s="1537" t="s">
        <v>4907</v>
      </c>
      <c r="H946" s="1521">
        <v>1</v>
      </c>
      <c r="I946" s="1521">
        <v>1</v>
      </c>
      <c r="J946" s="1538">
        <v>2</v>
      </c>
      <c r="K946" s="1525"/>
      <c r="L946" s="1519">
        <v>13089020801</v>
      </c>
      <c r="M946" s="1520">
        <v>1</v>
      </c>
      <c r="N946" s="1520">
        <v>1</v>
      </c>
      <c r="O946" s="1520">
        <v>2</v>
      </c>
    </row>
    <row r="947" spans="3:15" ht="13.5">
      <c r="C947" s="1526" t="s">
        <v>4908</v>
      </c>
      <c r="D947" s="1523">
        <v>1</v>
      </c>
      <c r="E947" s="1523">
        <v>0</v>
      </c>
      <c r="F947" s="1524">
        <v>1</v>
      </c>
      <c r="G947" s="1537" t="s">
        <v>4908</v>
      </c>
      <c r="H947" s="1521">
        <v>1</v>
      </c>
      <c r="I947" s="1521">
        <v>0</v>
      </c>
      <c r="J947" s="1538">
        <v>1</v>
      </c>
      <c r="K947" s="1525"/>
      <c r="L947" s="1519">
        <v>13089020802</v>
      </c>
      <c r="M947" s="1520">
        <v>1</v>
      </c>
      <c r="N947" s="1520">
        <v>0</v>
      </c>
      <c r="O947" s="1520">
        <v>1</v>
      </c>
    </row>
    <row r="948" spans="3:15" ht="13.5">
      <c r="C948" s="1526" t="s">
        <v>4909</v>
      </c>
      <c r="D948" s="1523">
        <v>1</v>
      </c>
      <c r="E948" s="1523">
        <v>0</v>
      </c>
      <c r="F948" s="1524">
        <v>1</v>
      </c>
      <c r="G948" s="1537" t="s">
        <v>4909</v>
      </c>
      <c r="H948" s="1521">
        <v>1</v>
      </c>
      <c r="I948" s="1521">
        <v>0</v>
      </c>
      <c r="J948" s="1538">
        <v>1</v>
      </c>
      <c r="K948" s="1525"/>
      <c r="L948" s="1519">
        <v>13089020900</v>
      </c>
      <c r="M948" s="1520">
        <v>1</v>
      </c>
      <c r="N948" s="1520">
        <v>0</v>
      </c>
      <c r="O948" s="1520">
        <v>1</v>
      </c>
    </row>
    <row r="949" spans="3:15" ht="13.5">
      <c r="C949" s="1526" t="s">
        <v>4910</v>
      </c>
      <c r="D949" s="1523">
        <v>1</v>
      </c>
      <c r="E949" s="1523">
        <v>1</v>
      </c>
      <c r="F949" s="1524">
        <v>2</v>
      </c>
      <c r="G949" s="1537" t="s">
        <v>4910</v>
      </c>
      <c r="H949" s="1521">
        <v>1</v>
      </c>
      <c r="I949" s="1521">
        <v>1</v>
      </c>
      <c r="J949" s="1538">
        <v>2</v>
      </c>
      <c r="K949" s="1525"/>
      <c r="L949" s="1519">
        <v>13089021101</v>
      </c>
      <c r="M949" s="1520">
        <v>1</v>
      </c>
      <c r="N949" s="1520">
        <v>1</v>
      </c>
      <c r="O949" s="1520">
        <v>2</v>
      </c>
    </row>
    <row r="950" spans="3:15" ht="13.5">
      <c r="C950" s="1526" t="s">
        <v>4911</v>
      </c>
      <c r="D950" s="1523">
        <v>1</v>
      </c>
      <c r="E950" s="1523">
        <v>1</v>
      </c>
      <c r="F950" s="1524">
        <v>2</v>
      </c>
      <c r="G950" s="1537" t="s">
        <v>4911</v>
      </c>
      <c r="H950" s="1521">
        <v>1</v>
      </c>
      <c r="I950" s="1521">
        <v>1</v>
      </c>
      <c r="J950" s="1538">
        <v>2</v>
      </c>
      <c r="K950" s="1525"/>
      <c r="L950" s="1519">
        <v>13089021102</v>
      </c>
      <c r="M950" s="1520">
        <v>1</v>
      </c>
      <c r="N950" s="1520">
        <v>1</v>
      </c>
      <c r="O950" s="1520">
        <v>2</v>
      </c>
    </row>
    <row r="951" spans="3:15" ht="13.5">
      <c r="C951" s="1526" t="s">
        <v>4912</v>
      </c>
      <c r="D951" s="1523">
        <v>1</v>
      </c>
      <c r="E951" s="1523">
        <v>1</v>
      </c>
      <c r="F951" s="1524">
        <v>2</v>
      </c>
      <c r="G951" s="1537" t="s">
        <v>4912</v>
      </c>
      <c r="H951" s="1521">
        <v>1</v>
      </c>
      <c r="I951" s="1521">
        <v>1</v>
      </c>
      <c r="J951" s="1538">
        <v>2</v>
      </c>
      <c r="K951" s="1525"/>
      <c r="L951" s="1519">
        <v>13089021202</v>
      </c>
      <c r="M951" s="1520">
        <v>1</v>
      </c>
      <c r="N951" s="1520">
        <v>1</v>
      </c>
      <c r="O951" s="1520">
        <v>2</v>
      </c>
    </row>
    <row r="952" spans="3:15" ht="13.5">
      <c r="C952" s="1526" t="s">
        <v>4913</v>
      </c>
      <c r="D952" s="1523">
        <v>0</v>
      </c>
      <c r="E952" s="1523">
        <v>0</v>
      </c>
      <c r="F952" s="1524">
        <v>0</v>
      </c>
      <c r="G952" s="1537" t="s">
        <v>4913</v>
      </c>
      <c r="H952" s="1521">
        <v>0</v>
      </c>
      <c r="I952" s="1521" t="s">
        <v>4099</v>
      </c>
      <c r="J952" s="1538">
        <v>0</v>
      </c>
      <c r="K952" s="1525"/>
      <c r="L952" s="1519">
        <v>13089021204</v>
      </c>
      <c r="M952" s="1520">
        <v>0</v>
      </c>
      <c r="N952" s="1520">
        <v>0</v>
      </c>
      <c r="O952" s="1520">
        <v>0</v>
      </c>
    </row>
    <row r="953" spans="3:15" ht="13.5">
      <c r="C953" s="1526" t="s">
        <v>4914</v>
      </c>
      <c r="D953" s="1523">
        <v>1</v>
      </c>
      <c r="E953" s="1523">
        <v>1</v>
      </c>
      <c r="F953" s="1524">
        <v>2</v>
      </c>
      <c r="G953" s="1537" t="s">
        <v>4914</v>
      </c>
      <c r="H953" s="1521">
        <v>1</v>
      </c>
      <c r="I953" s="1521">
        <v>1</v>
      </c>
      <c r="J953" s="1538">
        <v>2</v>
      </c>
      <c r="K953" s="1525"/>
      <c r="L953" s="1519">
        <v>13089021208</v>
      </c>
      <c r="M953" s="1520">
        <v>1</v>
      </c>
      <c r="N953" s="1520">
        <v>1</v>
      </c>
      <c r="O953" s="1520">
        <v>2</v>
      </c>
    </row>
    <row r="954" spans="3:15" ht="13.5">
      <c r="C954" s="1526" t="s">
        <v>4915</v>
      </c>
      <c r="D954" s="1523">
        <v>1</v>
      </c>
      <c r="E954" s="1523">
        <v>1</v>
      </c>
      <c r="F954" s="1524">
        <v>2</v>
      </c>
      <c r="G954" s="1537" t="s">
        <v>4915</v>
      </c>
      <c r="H954" s="1521">
        <v>1</v>
      </c>
      <c r="I954" s="1521">
        <v>1</v>
      </c>
      <c r="J954" s="1538">
        <v>2</v>
      </c>
      <c r="K954" s="1525"/>
      <c r="L954" s="1519">
        <v>13089021209</v>
      </c>
      <c r="M954" s="1520">
        <v>1</v>
      </c>
      <c r="N954" s="1520">
        <v>1</v>
      </c>
      <c r="O954" s="1520">
        <v>2</v>
      </c>
    </row>
    <row r="955" spans="3:15" ht="13.5">
      <c r="C955" s="1526" t="s">
        <v>4916</v>
      </c>
      <c r="D955" s="1523">
        <v>1</v>
      </c>
      <c r="E955" s="1523">
        <v>1</v>
      </c>
      <c r="F955" s="1524">
        <v>2</v>
      </c>
      <c r="G955" s="1537" t="s">
        <v>4916</v>
      </c>
      <c r="H955" s="1521">
        <v>1</v>
      </c>
      <c r="I955" s="1521">
        <v>1</v>
      </c>
      <c r="J955" s="1538">
        <v>2</v>
      </c>
      <c r="K955" s="1525"/>
      <c r="L955" s="1519">
        <v>13089021210</v>
      </c>
      <c r="M955" s="1520">
        <v>1</v>
      </c>
      <c r="N955" s="1520">
        <v>1</v>
      </c>
      <c r="O955" s="1520">
        <v>2</v>
      </c>
    </row>
    <row r="956" spans="3:15" ht="13.5">
      <c r="C956" s="1526" t="s">
        <v>4917</v>
      </c>
      <c r="D956" s="1523">
        <v>1</v>
      </c>
      <c r="E956" s="1523">
        <v>1</v>
      </c>
      <c r="F956" s="1524">
        <v>2</v>
      </c>
      <c r="G956" s="1537" t="s">
        <v>4917</v>
      </c>
      <c r="H956" s="1521">
        <v>1</v>
      </c>
      <c r="I956" s="1521">
        <v>1</v>
      </c>
      <c r="J956" s="1538">
        <v>2</v>
      </c>
      <c r="K956" s="1525"/>
      <c r="L956" s="1519">
        <v>13089021211</v>
      </c>
      <c r="M956" s="1520">
        <v>1</v>
      </c>
      <c r="N956" s="1520">
        <v>1</v>
      </c>
      <c r="O956" s="1520">
        <v>2</v>
      </c>
    </row>
    <row r="957" spans="3:15" ht="13.5">
      <c r="C957" s="1526" t="s">
        <v>4918</v>
      </c>
      <c r="D957" s="1523">
        <v>1</v>
      </c>
      <c r="E957" s="1523">
        <v>1</v>
      </c>
      <c r="F957" s="1524">
        <v>2</v>
      </c>
      <c r="G957" s="1537" t="s">
        <v>4918</v>
      </c>
      <c r="H957" s="1521">
        <v>1</v>
      </c>
      <c r="I957" s="1521">
        <v>1</v>
      </c>
      <c r="J957" s="1538">
        <v>2</v>
      </c>
      <c r="K957" s="1525"/>
      <c r="L957" s="1519">
        <v>13089021213</v>
      </c>
      <c r="M957" s="1520">
        <v>1</v>
      </c>
      <c r="N957" s="1520">
        <v>1</v>
      </c>
      <c r="O957" s="1520">
        <v>2</v>
      </c>
    </row>
    <row r="958" spans="3:15" ht="13.5">
      <c r="C958" s="1526" t="s">
        <v>4919</v>
      </c>
      <c r="D958" s="1523">
        <v>1</v>
      </c>
      <c r="E958" s="1523">
        <v>1</v>
      </c>
      <c r="F958" s="1524">
        <v>2</v>
      </c>
      <c r="G958" s="1537" t="s">
        <v>4919</v>
      </c>
      <c r="H958" s="1521">
        <v>1</v>
      </c>
      <c r="I958" s="1521" t="s">
        <v>4099</v>
      </c>
      <c r="J958" s="1538">
        <v>1</v>
      </c>
      <c r="K958" s="1525"/>
      <c r="L958" s="1519">
        <v>13089021214</v>
      </c>
      <c r="M958" s="1520">
        <v>1</v>
      </c>
      <c r="N958" s="1520">
        <v>1</v>
      </c>
      <c r="O958" s="1520">
        <v>2</v>
      </c>
    </row>
    <row r="959" spans="3:15" ht="13.5">
      <c r="C959" s="1526" t="s">
        <v>4920</v>
      </c>
      <c r="D959" s="1523">
        <v>1</v>
      </c>
      <c r="E959" s="1523">
        <v>1</v>
      </c>
      <c r="F959" s="1524">
        <v>2</v>
      </c>
      <c r="G959" s="1537" t="s">
        <v>4920</v>
      </c>
      <c r="H959" s="1521">
        <v>1</v>
      </c>
      <c r="I959" s="1521">
        <v>1</v>
      </c>
      <c r="J959" s="1538">
        <v>2</v>
      </c>
      <c r="K959" s="1525"/>
      <c r="L959" s="1519">
        <v>13089021215</v>
      </c>
      <c r="M959" s="1520">
        <v>1</v>
      </c>
      <c r="N959" s="1520">
        <v>1</v>
      </c>
      <c r="O959" s="1520">
        <v>2</v>
      </c>
    </row>
    <row r="960" spans="3:15" ht="13.5">
      <c r="C960" s="1526" t="s">
        <v>4921</v>
      </c>
      <c r="D960" s="1523">
        <v>1</v>
      </c>
      <c r="E960" s="1523">
        <v>1</v>
      </c>
      <c r="F960" s="1524">
        <v>2</v>
      </c>
      <c r="G960" s="1537" t="s">
        <v>4921</v>
      </c>
      <c r="H960" s="1521">
        <v>1</v>
      </c>
      <c r="I960" s="1521">
        <v>1</v>
      </c>
      <c r="J960" s="1538">
        <v>2</v>
      </c>
      <c r="K960" s="1525"/>
      <c r="L960" s="1519">
        <v>13089021216</v>
      </c>
      <c r="M960" s="1520">
        <v>1</v>
      </c>
      <c r="N960" s="1520">
        <v>1</v>
      </c>
      <c r="O960" s="1520">
        <v>2</v>
      </c>
    </row>
    <row r="961" spans="3:15" ht="13.5">
      <c r="C961" s="1526" t="s">
        <v>4922</v>
      </c>
      <c r="D961" s="1523">
        <v>1</v>
      </c>
      <c r="E961" s="1523">
        <v>1</v>
      </c>
      <c r="F961" s="1524">
        <v>2</v>
      </c>
      <c r="G961" s="1537" t="s">
        <v>4922</v>
      </c>
      <c r="H961" s="1521">
        <v>1</v>
      </c>
      <c r="I961" s="1521">
        <v>1</v>
      </c>
      <c r="J961" s="1538">
        <v>2</v>
      </c>
      <c r="K961" s="1525"/>
      <c r="L961" s="1519">
        <v>13089021217</v>
      </c>
      <c r="M961" s="1520">
        <v>1</v>
      </c>
      <c r="N961" s="1520">
        <v>1</v>
      </c>
      <c r="O961" s="1520">
        <v>2</v>
      </c>
    </row>
    <row r="962" spans="3:15" ht="13.5">
      <c r="C962" s="1526" t="s">
        <v>4923</v>
      </c>
      <c r="D962" s="1523">
        <v>1</v>
      </c>
      <c r="E962" s="1523">
        <v>1</v>
      </c>
      <c r="F962" s="1524">
        <v>2</v>
      </c>
      <c r="G962" s="1537" t="s">
        <v>4923</v>
      </c>
      <c r="H962" s="1521">
        <v>1</v>
      </c>
      <c r="I962" s="1521">
        <v>1</v>
      </c>
      <c r="J962" s="1538">
        <v>2</v>
      </c>
      <c r="K962" s="1525"/>
      <c r="L962" s="1519">
        <v>13089021218</v>
      </c>
      <c r="M962" s="1520">
        <v>1</v>
      </c>
      <c r="N962" s="1520">
        <v>1</v>
      </c>
      <c r="O962" s="1520">
        <v>2</v>
      </c>
    </row>
    <row r="963" spans="3:15" ht="13.5">
      <c r="C963" s="1526" t="s">
        <v>4924</v>
      </c>
      <c r="D963" s="1523">
        <v>0</v>
      </c>
      <c r="E963" s="1523">
        <v>0</v>
      </c>
      <c r="F963" s="1524">
        <v>0</v>
      </c>
      <c r="G963" s="1537" t="s">
        <v>4924</v>
      </c>
      <c r="H963" s="1521">
        <v>1</v>
      </c>
      <c r="I963" s="1521">
        <v>0</v>
      </c>
      <c r="J963" s="1538">
        <v>1</v>
      </c>
      <c r="K963" s="1525"/>
      <c r="L963" s="1519">
        <v>13089021301</v>
      </c>
      <c r="M963" s="1520">
        <v>1</v>
      </c>
      <c r="N963" s="1520">
        <v>0</v>
      </c>
      <c r="O963" s="1520">
        <v>1</v>
      </c>
    </row>
    <row r="964" spans="3:15" ht="13.5">
      <c r="C964" s="1526" t="s">
        <v>4925</v>
      </c>
      <c r="D964" s="1523">
        <v>0</v>
      </c>
      <c r="E964" s="1523">
        <v>0</v>
      </c>
      <c r="F964" s="1524">
        <v>0</v>
      </c>
      <c r="G964" s="1537" t="s">
        <v>4925</v>
      </c>
      <c r="H964" s="1521">
        <v>0</v>
      </c>
      <c r="I964" s="1521">
        <v>0</v>
      </c>
      <c r="J964" s="1538">
        <v>0</v>
      </c>
      <c r="K964" s="1525"/>
      <c r="L964" s="1519">
        <v>13089021303</v>
      </c>
      <c r="M964" s="1520">
        <v>0</v>
      </c>
      <c r="N964" s="1520">
        <v>0</v>
      </c>
      <c r="O964" s="1520">
        <v>0</v>
      </c>
    </row>
    <row r="965" spans="3:15" ht="13.5">
      <c r="C965" s="1526" t="s">
        <v>4926</v>
      </c>
      <c r="D965" s="1523">
        <v>0</v>
      </c>
      <c r="E965" s="1523">
        <v>0</v>
      </c>
      <c r="F965" s="1524">
        <v>0</v>
      </c>
      <c r="G965" s="1537" t="s">
        <v>4926</v>
      </c>
      <c r="H965" s="1521">
        <v>1</v>
      </c>
      <c r="I965" s="1521">
        <v>0</v>
      </c>
      <c r="J965" s="1538">
        <v>1</v>
      </c>
      <c r="K965" s="1525"/>
      <c r="L965" s="1519">
        <v>13089021305</v>
      </c>
      <c r="M965" s="1520">
        <v>1</v>
      </c>
      <c r="N965" s="1520">
        <v>0</v>
      </c>
      <c r="O965" s="1520">
        <v>1</v>
      </c>
    </row>
    <row r="966" spans="3:15" ht="13.5">
      <c r="C966" s="1526" t="s">
        <v>4927</v>
      </c>
      <c r="D966" s="1523">
        <v>1</v>
      </c>
      <c r="E966" s="1523">
        <v>0</v>
      </c>
      <c r="F966" s="1524">
        <v>1</v>
      </c>
      <c r="G966" s="1537" t="s">
        <v>4927</v>
      </c>
      <c r="H966" s="1521">
        <v>1</v>
      </c>
      <c r="I966" s="1521">
        <v>0</v>
      </c>
      <c r="J966" s="1538">
        <v>1</v>
      </c>
      <c r="K966" s="1525"/>
      <c r="L966" s="1519">
        <v>13089021306</v>
      </c>
      <c r="M966" s="1520">
        <v>1</v>
      </c>
      <c r="N966" s="1520">
        <v>0</v>
      </c>
      <c r="O966" s="1520">
        <v>1</v>
      </c>
    </row>
    <row r="967" spans="3:15" ht="13.5">
      <c r="C967" s="1526" t="s">
        <v>4928</v>
      </c>
      <c r="D967" s="1523">
        <v>0</v>
      </c>
      <c r="E967" s="1523">
        <v>0</v>
      </c>
      <c r="F967" s="1524">
        <v>0</v>
      </c>
      <c r="G967" s="1537" t="s">
        <v>4928</v>
      </c>
      <c r="H967" s="1521">
        <v>1</v>
      </c>
      <c r="I967" s="1521">
        <v>0</v>
      </c>
      <c r="J967" s="1538">
        <v>1</v>
      </c>
      <c r="K967" s="1525"/>
      <c r="L967" s="1519">
        <v>13089021307</v>
      </c>
      <c r="M967" s="1520">
        <v>1</v>
      </c>
      <c r="N967" s="1520">
        <v>0</v>
      </c>
      <c r="O967" s="1520">
        <v>1</v>
      </c>
    </row>
    <row r="968" spans="3:15" ht="13.5">
      <c r="C968" s="1526" t="s">
        <v>4929</v>
      </c>
      <c r="D968" s="1523">
        <v>1</v>
      </c>
      <c r="E968" s="1523">
        <v>0</v>
      </c>
      <c r="F968" s="1524">
        <v>1</v>
      </c>
      <c r="G968" s="1537" t="s">
        <v>4929</v>
      </c>
      <c r="H968" s="1521">
        <v>1</v>
      </c>
      <c r="I968" s="1521">
        <v>0</v>
      </c>
      <c r="J968" s="1538">
        <v>1</v>
      </c>
      <c r="K968" s="1525"/>
      <c r="L968" s="1519">
        <v>13089021308</v>
      </c>
      <c r="M968" s="1520">
        <v>1</v>
      </c>
      <c r="N968" s="1520">
        <v>0</v>
      </c>
      <c r="O968" s="1520">
        <v>1</v>
      </c>
    </row>
    <row r="969" spans="3:15" ht="13.5">
      <c r="C969" s="1526" t="s">
        <v>4930</v>
      </c>
      <c r="D969" s="1523">
        <v>1</v>
      </c>
      <c r="E969" s="1523">
        <v>1</v>
      </c>
      <c r="F969" s="1524">
        <v>2</v>
      </c>
      <c r="G969" s="1537" t="s">
        <v>4930</v>
      </c>
      <c r="H969" s="1521">
        <v>1</v>
      </c>
      <c r="I969" s="1521">
        <v>1</v>
      </c>
      <c r="J969" s="1538">
        <v>2</v>
      </c>
      <c r="K969" s="1525"/>
      <c r="L969" s="1519">
        <v>13089021405</v>
      </c>
      <c r="M969" s="1520">
        <v>1</v>
      </c>
      <c r="N969" s="1520">
        <v>1</v>
      </c>
      <c r="O969" s="1520">
        <v>2</v>
      </c>
    </row>
    <row r="970" spans="3:15" ht="13.5">
      <c r="C970" s="1526" t="s">
        <v>4931</v>
      </c>
      <c r="D970" s="1523">
        <v>0</v>
      </c>
      <c r="E970" s="1523">
        <v>0</v>
      </c>
      <c r="F970" s="1524">
        <v>0</v>
      </c>
      <c r="G970" s="1537" t="s">
        <v>4931</v>
      </c>
      <c r="H970" s="1521">
        <v>1</v>
      </c>
      <c r="I970" s="1521" t="s">
        <v>4099</v>
      </c>
      <c r="J970" s="1538">
        <v>1</v>
      </c>
      <c r="K970" s="1525"/>
      <c r="L970" s="1519">
        <v>13089021409</v>
      </c>
      <c r="M970" s="1520">
        <v>1</v>
      </c>
      <c r="N970" s="1520">
        <v>0</v>
      </c>
      <c r="O970" s="1520">
        <v>1</v>
      </c>
    </row>
    <row r="971" spans="3:15" ht="13.5">
      <c r="C971" s="1526" t="s">
        <v>4932</v>
      </c>
      <c r="D971" s="1523">
        <v>1</v>
      </c>
      <c r="E971" s="1523">
        <v>0</v>
      </c>
      <c r="F971" s="1524">
        <v>1</v>
      </c>
      <c r="G971" s="1537" t="s">
        <v>4932</v>
      </c>
      <c r="H971" s="1521">
        <v>1</v>
      </c>
      <c r="I971" s="1521" t="s">
        <v>4099</v>
      </c>
      <c r="J971" s="1538">
        <v>1</v>
      </c>
      <c r="K971" s="1525"/>
      <c r="L971" s="1519">
        <v>13089021410</v>
      </c>
      <c r="M971" s="1520">
        <v>1</v>
      </c>
      <c r="N971" s="1520">
        <v>0</v>
      </c>
      <c r="O971" s="1520">
        <v>1</v>
      </c>
    </row>
    <row r="972" spans="3:15" ht="13.5">
      <c r="C972" s="1526" t="s">
        <v>4933</v>
      </c>
      <c r="D972" s="1523">
        <v>1</v>
      </c>
      <c r="E972" s="1523">
        <v>1</v>
      </c>
      <c r="F972" s="1524">
        <v>2</v>
      </c>
      <c r="G972" s="1537" t="s">
        <v>4933</v>
      </c>
      <c r="H972" s="1521">
        <v>1</v>
      </c>
      <c r="I972" s="1521">
        <v>1</v>
      </c>
      <c r="J972" s="1538">
        <v>2</v>
      </c>
      <c r="K972" s="1525"/>
      <c r="L972" s="1519">
        <v>13089021411</v>
      </c>
      <c r="M972" s="1520">
        <v>1</v>
      </c>
      <c r="N972" s="1520">
        <v>1</v>
      </c>
      <c r="O972" s="1520">
        <v>2</v>
      </c>
    </row>
    <row r="973" spans="3:15" ht="13.5">
      <c r="C973" s="1526" t="s">
        <v>4934</v>
      </c>
      <c r="D973" s="1523">
        <v>1</v>
      </c>
      <c r="E973" s="1523">
        <v>1</v>
      </c>
      <c r="F973" s="1524">
        <v>2</v>
      </c>
      <c r="G973" s="1537" t="s">
        <v>4934</v>
      </c>
      <c r="H973" s="1521">
        <v>1</v>
      </c>
      <c r="I973" s="1521">
        <v>1</v>
      </c>
      <c r="J973" s="1538">
        <v>2</v>
      </c>
      <c r="K973" s="1525"/>
      <c r="L973" s="1519">
        <v>13089021412</v>
      </c>
      <c r="M973" s="1520">
        <v>1</v>
      </c>
      <c r="N973" s="1520">
        <v>1</v>
      </c>
      <c r="O973" s="1520">
        <v>2</v>
      </c>
    </row>
    <row r="974" spans="3:15" ht="13.5">
      <c r="C974" s="1526" t="s">
        <v>4935</v>
      </c>
      <c r="D974" s="1523">
        <v>0</v>
      </c>
      <c r="E974" s="1523">
        <v>0</v>
      </c>
      <c r="F974" s="1524">
        <v>0</v>
      </c>
      <c r="G974" s="1537" t="s">
        <v>4935</v>
      </c>
      <c r="H974" s="1521">
        <v>1</v>
      </c>
      <c r="I974" s="1521">
        <v>0</v>
      </c>
      <c r="J974" s="1538">
        <v>1</v>
      </c>
      <c r="K974" s="1525"/>
      <c r="L974" s="1519">
        <v>13089021413</v>
      </c>
      <c r="M974" s="1520">
        <v>1</v>
      </c>
      <c r="N974" s="1520">
        <v>0</v>
      </c>
      <c r="O974" s="1520">
        <v>1</v>
      </c>
    </row>
    <row r="975" spans="3:15" ht="13.5">
      <c r="C975" s="1526" t="s">
        <v>4936</v>
      </c>
      <c r="D975" s="1523">
        <v>1</v>
      </c>
      <c r="E975" s="1523">
        <v>0</v>
      </c>
      <c r="F975" s="1524">
        <v>1</v>
      </c>
      <c r="G975" s="1537" t="s">
        <v>4936</v>
      </c>
      <c r="H975" s="1521">
        <v>0</v>
      </c>
      <c r="I975" s="1521">
        <v>0</v>
      </c>
      <c r="J975" s="1538">
        <v>0</v>
      </c>
      <c r="K975" s="1525"/>
      <c r="L975" s="1519">
        <v>13089021414</v>
      </c>
      <c r="M975" s="1520">
        <v>1</v>
      </c>
      <c r="N975" s="1520">
        <v>0</v>
      </c>
      <c r="O975" s="1520">
        <v>1</v>
      </c>
    </row>
    <row r="976" spans="3:15" ht="13.5">
      <c r="C976" s="1526" t="s">
        <v>4937</v>
      </c>
      <c r="D976" s="1523">
        <v>1</v>
      </c>
      <c r="E976" s="1523">
        <v>1</v>
      </c>
      <c r="F976" s="1524">
        <v>2</v>
      </c>
      <c r="G976" s="1537" t="s">
        <v>4937</v>
      </c>
      <c r="H976" s="1521">
        <v>1</v>
      </c>
      <c r="I976" s="1521" t="s">
        <v>4099</v>
      </c>
      <c r="J976" s="1538">
        <v>1</v>
      </c>
      <c r="K976" s="1525"/>
      <c r="L976" s="1519">
        <v>13089021415</v>
      </c>
      <c r="M976" s="1520">
        <v>1</v>
      </c>
      <c r="N976" s="1520">
        <v>1</v>
      </c>
      <c r="O976" s="1520">
        <v>2</v>
      </c>
    </row>
    <row r="977" spans="3:15" ht="13.5">
      <c r="C977" s="1526" t="s">
        <v>4938</v>
      </c>
      <c r="D977" s="1523">
        <v>1</v>
      </c>
      <c r="E977" s="1523">
        <v>0</v>
      </c>
      <c r="F977" s="1524">
        <v>1</v>
      </c>
      <c r="G977" s="1537" t="s">
        <v>4938</v>
      </c>
      <c r="H977" s="1521">
        <v>1</v>
      </c>
      <c r="I977" s="1521">
        <v>0</v>
      </c>
      <c r="J977" s="1538">
        <v>1</v>
      </c>
      <c r="K977" s="1525"/>
      <c r="L977" s="1519">
        <v>13089021416</v>
      </c>
      <c r="M977" s="1520">
        <v>1</v>
      </c>
      <c r="N977" s="1520">
        <v>0</v>
      </c>
      <c r="O977" s="1520">
        <v>1</v>
      </c>
    </row>
    <row r="978" spans="3:15" ht="13.5">
      <c r="C978" s="1526" t="s">
        <v>4939</v>
      </c>
      <c r="D978" s="1523">
        <v>0</v>
      </c>
      <c r="E978" s="1523">
        <v>0</v>
      </c>
      <c r="F978" s="1524">
        <v>0</v>
      </c>
      <c r="G978" s="1537" t="s">
        <v>4939</v>
      </c>
      <c r="H978" s="1521">
        <v>1</v>
      </c>
      <c r="I978" s="1521" t="s">
        <v>4099</v>
      </c>
      <c r="J978" s="1538">
        <v>1</v>
      </c>
      <c r="K978" s="1525"/>
      <c r="L978" s="1519">
        <v>13089021417</v>
      </c>
      <c r="M978" s="1520">
        <v>1</v>
      </c>
      <c r="N978" s="1520">
        <v>0</v>
      </c>
      <c r="O978" s="1520">
        <v>1</v>
      </c>
    </row>
    <row r="979" spans="3:15" ht="13.5">
      <c r="C979" s="1526" t="s">
        <v>4940</v>
      </c>
      <c r="D979" s="1523">
        <v>1</v>
      </c>
      <c r="E979" s="1523">
        <v>1</v>
      </c>
      <c r="F979" s="1524">
        <v>2</v>
      </c>
      <c r="G979" s="1537" t="s">
        <v>4940</v>
      </c>
      <c r="H979" s="1521">
        <v>1</v>
      </c>
      <c r="I979" s="1521">
        <v>1</v>
      </c>
      <c r="J979" s="1538">
        <v>2</v>
      </c>
      <c r="K979" s="1525"/>
      <c r="L979" s="1519">
        <v>13089021502</v>
      </c>
      <c r="M979" s="1520">
        <v>1</v>
      </c>
      <c r="N979" s="1520">
        <v>1</v>
      </c>
      <c r="O979" s="1520">
        <v>2</v>
      </c>
    </row>
    <row r="980" spans="3:15" ht="13.5">
      <c r="C980" s="1526" t="s">
        <v>4941</v>
      </c>
      <c r="D980" s="1523">
        <v>1</v>
      </c>
      <c r="E980" s="1523">
        <v>0</v>
      </c>
      <c r="F980" s="1524">
        <v>1</v>
      </c>
      <c r="G980" s="1537" t="s">
        <v>4941</v>
      </c>
      <c r="H980" s="1521">
        <v>1</v>
      </c>
      <c r="I980" s="1521">
        <v>1</v>
      </c>
      <c r="J980" s="1538">
        <v>2</v>
      </c>
      <c r="K980" s="1525"/>
      <c r="L980" s="1519">
        <v>13089021503</v>
      </c>
      <c r="M980" s="1520">
        <v>1</v>
      </c>
      <c r="N980" s="1520">
        <v>1</v>
      </c>
      <c r="O980" s="1520">
        <v>2</v>
      </c>
    </row>
    <row r="981" spans="3:15" ht="13.5">
      <c r="C981" s="1526" t="s">
        <v>4942</v>
      </c>
      <c r="D981" s="1523">
        <v>1</v>
      </c>
      <c r="E981" s="1523">
        <v>1</v>
      </c>
      <c r="F981" s="1524">
        <v>2</v>
      </c>
      <c r="G981" s="1537" t="s">
        <v>4942</v>
      </c>
      <c r="H981" s="1521">
        <v>1</v>
      </c>
      <c r="I981" s="1521" t="s">
        <v>4099</v>
      </c>
      <c r="J981" s="1538">
        <v>1</v>
      </c>
      <c r="K981" s="1525"/>
      <c r="L981" s="1519">
        <v>13089021504</v>
      </c>
      <c r="M981" s="1520">
        <v>1</v>
      </c>
      <c r="N981" s="1520">
        <v>1</v>
      </c>
      <c r="O981" s="1520">
        <v>2</v>
      </c>
    </row>
    <row r="982" spans="3:15" ht="13.5">
      <c r="C982" s="1526" t="s">
        <v>4943</v>
      </c>
      <c r="D982" s="1523">
        <v>1</v>
      </c>
      <c r="E982" s="1523">
        <v>1</v>
      </c>
      <c r="F982" s="1524">
        <v>2</v>
      </c>
      <c r="G982" s="1537" t="s">
        <v>4943</v>
      </c>
      <c r="H982" s="1521">
        <v>1</v>
      </c>
      <c r="I982" s="1521">
        <v>1</v>
      </c>
      <c r="J982" s="1538">
        <v>2</v>
      </c>
      <c r="K982" s="1525"/>
      <c r="L982" s="1519">
        <v>13089021602</v>
      </c>
      <c r="M982" s="1520">
        <v>1</v>
      </c>
      <c r="N982" s="1520">
        <v>1</v>
      </c>
      <c r="O982" s="1520">
        <v>2</v>
      </c>
    </row>
    <row r="983" spans="3:15" ht="13.5">
      <c r="C983" s="1526" t="s">
        <v>4944</v>
      </c>
      <c r="D983" s="1523">
        <v>1</v>
      </c>
      <c r="E983" s="1523">
        <v>1</v>
      </c>
      <c r="F983" s="1524">
        <v>2</v>
      </c>
      <c r="G983" s="1537" t="s">
        <v>4944</v>
      </c>
      <c r="H983" s="1521">
        <v>1</v>
      </c>
      <c r="I983" s="1521">
        <v>1</v>
      </c>
      <c r="J983" s="1538">
        <v>2</v>
      </c>
      <c r="K983" s="1525"/>
      <c r="L983" s="1519">
        <v>13089021603</v>
      </c>
      <c r="M983" s="1520">
        <v>1</v>
      </c>
      <c r="N983" s="1520">
        <v>1</v>
      </c>
      <c r="O983" s="1520">
        <v>2</v>
      </c>
    </row>
    <row r="984" spans="3:15" ht="13.5">
      <c r="C984" s="1526" t="s">
        <v>4945</v>
      </c>
      <c r="D984" s="1523">
        <v>1</v>
      </c>
      <c r="E984" s="1523">
        <v>1</v>
      </c>
      <c r="F984" s="1524">
        <v>2</v>
      </c>
      <c r="G984" s="1537" t="s">
        <v>4945</v>
      </c>
      <c r="H984" s="1521">
        <v>1</v>
      </c>
      <c r="I984" s="1521">
        <v>1</v>
      </c>
      <c r="J984" s="1538">
        <v>2</v>
      </c>
      <c r="K984" s="1525"/>
      <c r="L984" s="1519">
        <v>13089021604</v>
      </c>
      <c r="M984" s="1520">
        <v>1</v>
      </c>
      <c r="N984" s="1520">
        <v>1</v>
      </c>
      <c r="O984" s="1520">
        <v>2</v>
      </c>
    </row>
    <row r="985" spans="3:15" ht="13.5">
      <c r="C985" s="1526" t="s">
        <v>4946</v>
      </c>
      <c r="D985" s="1523">
        <v>1</v>
      </c>
      <c r="E985" s="1523">
        <v>1</v>
      </c>
      <c r="F985" s="1524">
        <v>2</v>
      </c>
      <c r="G985" s="1537" t="s">
        <v>4946</v>
      </c>
      <c r="H985" s="1521">
        <v>1</v>
      </c>
      <c r="I985" s="1521">
        <v>1</v>
      </c>
      <c r="J985" s="1538">
        <v>2</v>
      </c>
      <c r="K985" s="1525"/>
      <c r="L985" s="1519">
        <v>13089021605</v>
      </c>
      <c r="M985" s="1520">
        <v>1</v>
      </c>
      <c r="N985" s="1520">
        <v>1</v>
      </c>
      <c r="O985" s="1520">
        <v>2</v>
      </c>
    </row>
    <row r="986" spans="3:15" ht="13.5">
      <c r="C986" s="1526" t="s">
        <v>4947</v>
      </c>
      <c r="D986" s="1523">
        <v>1</v>
      </c>
      <c r="E986" s="1523">
        <v>1</v>
      </c>
      <c r="F986" s="1524">
        <v>2</v>
      </c>
      <c r="G986" s="1537" t="s">
        <v>4947</v>
      </c>
      <c r="H986" s="1521">
        <v>1</v>
      </c>
      <c r="I986" s="1521">
        <v>1</v>
      </c>
      <c r="J986" s="1538">
        <v>2</v>
      </c>
      <c r="K986" s="1525"/>
      <c r="L986" s="1519">
        <v>13089021703</v>
      </c>
      <c r="M986" s="1520">
        <v>1</v>
      </c>
      <c r="N986" s="1520">
        <v>1</v>
      </c>
      <c r="O986" s="1520">
        <v>2</v>
      </c>
    </row>
    <row r="987" spans="3:15" ht="13.5">
      <c r="C987" s="1526" t="s">
        <v>4948</v>
      </c>
      <c r="D987" s="1523">
        <v>1</v>
      </c>
      <c r="E987" s="1523">
        <v>1</v>
      </c>
      <c r="F987" s="1524">
        <v>2</v>
      </c>
      <c r="G987" s="1537" t="s">
        <v>4948</v>
      </c>
      <c r="H987" s="1521">
        <v>1</v>
      </c>
      <c r="I987" s="1521">
        <v>1</v>
      </c>
      <c r="J987" s="1538">
        <v>2</v>
      </c>
      <c r="K987" s="1525"/>
      <c r="L987" s="1519">
        <v>13089021704</v>
      </c>
      <c r="M987" s="1520">
        <v>1</v>
      </c>
      <c r="N987" s="1520">
        <v>1</v>
      </c>
      <c r="O987" s="1520">
        <v>2</v>
      </c>
    </row>
    <row r="988" spans="3:15" ht="13.5">
      <c r="C988" s="1526" t="s">
        <v>4949</v>
      </c>
      <c r="D988" s="1523">
        <v>1</v>
      </c>
      <c r="E988" s="1523">
        <v>0</v>
      </c>
      <c r="F988" s="1524">
        <v>1</v>
      </c>
      <c r="G988" s="1537" t="s">
        <v>4949</v>
      </c>
      <c r="H988" s="1521">
        <v>1</v>
      </c>
      <c r="I988" s="1521">
        <v>1</v>
      </c>
      <c r="J988" s="1538">
        <v>2</v>
      </c>
      <c r="K988" s="1525"/>
      <c r="L988" s="1519">
        <v>13089021705</v>
      </c>
      <c r="M988" s="1520">
        <v>1</v>
      </c>
      <c r="N988" s="1520">
        <v>1</v>
      </c>
      <c r="O988" s="1520">
        <v>2</v>
      </c>
    </row>
    <row r="989" spans="3:15" ht="13.5">
      <c r="C989" s="1526" t="s">
        <v>4950</v>
      </c>
      <c r="D989" s="1523">
        <v>1</v>
      </c>
      <c r="E989" s="1523">
        <v>1</v>
      </c>
      <c r="F989" s="1524">
        <v>2</v>
      </c>
      <c r="G989" s="1537" t="s">
        <v>4950</v>
      </c>
      <c r="H989" s="1521">
        <v>1</v>
      </c>
      <c r="I989" s="1521">
        <v>1</v>
      </c>
      <c r="J989" s="1538">
        <v>2</v>
      </c>
      <c r="K989" s="1525"/>
      <c r="L989" s="1519">
        <v>13089021706</v>
      </c>
      <c r="M989" s="1520">
        <v>1</v>
      </c>
      <c r="N989" s="1520">
        <v>1</v>
      </c>
      <c r="O989" s="1520">
        <v>2</v>
      </c>
    </row>
    <row r="990" spans="3:15" ht="13.5">
      <c r="C990" s="1526" t="s">
        <v>4951</v>
      </c>
      <c r="D990" s="1523">
        <v>1</v>
      </c>
      <c r="E990" s="1523">
        <v>0</v>
      </c>
      <c r="F990" s="1524">
        <v>1</v>
      </c>
      <c r="G990" s="1537" t="s">
        <v>4951</v>
      </c>
      <c r="H990" s="1521">
        <v>1</v>
      </c>
      <c r="I990" s="1521">
        <v>0</v>
      </c>
      <c r="J990" s="1538">
        <v>1</v>
      </c>
      <c r="K990" s="1525"/>
      <c r="L990" s="1519">
        <v>13089021805</v>
      </c>
      <c r="M990" s="1520">
        <v>1</v>
      </c>
      <c r="N990" s="1520">
        <v>0</v>
      </c>
      <c r="O990" s="1520">
        <v>1</v>
      </c>
    </row>
    <row r="991" spans="3:15" ht="13.5">
      <c r="C991" s="1526" t="s">
        <v>4952</v>
      </c>
      <c r="D991" s="1523">
        <v>1</v>
      </c>
      <c r="E991" s="1523">
        <v>0</v>
      </c>
      <c r="F991" s="1524">
        <v>1</v>
      </c>
      <c r="G991" s="1537" t="s">
        <v>4952</v>
      </c>
      <c r="H991" s="1521">
        <v>1</v>
      </c>
      <c r="I991" s="1521">
        <v>0</v>
      </c>
      <c r="J991" s="1538">
        <v>1</v>
      </c>
      <c r="K991" s="1525"/>
      <c r="L991" s="1519">
        <v>13089021806</v>
      </c>
      <c r="M991" s="1520">
        <v>1</v>
      </c>
      <c r="N991" s="1520">
        <v>0</v>
      </c>
      <c r="O991" s="1520">
        <v>1</v>
      </c>
    </row>
    <row r="992" spans="3:15" ht="13.5">
      <c r="C992" s="1526" t="s">
        <v>4953</v>
      </c>
      <c r="D992" s="1523">
        <v>1</v>
      </c>
      <c r="E992" s="1523">
        <v>1</v>
      </c>
      <c r="F992" s="1524">
        <v>2</v>
      </c>
      <c r="G992" s="1537" t="s">
        <v>4953</v>
      </c>
      <c r="H992" s="1521">
        <v>1</v>
      </c>
      <c r="I992" s="1521">
        <v>1</v>
      </c>
      <c r="J992" s="1538">
        <v>2</v>
      </c>
      <c r="K992" s="1525"/>
      <c r="L992" s="1519">
        <v>13089021808</v>
      </c>
      <c r="M992" s="1520">
        <v>1</v>
      </c>
      <c r="N992" s="1520">
        <v>1</v>
      </c>
      <c r="O992" s="1520">
        <v>2</v>
      </c>
    </row>
    <row r="993" spans="3:15" ht="13.5">
      <c r="C993" s="1526" t="s">
        <v>4954</v>
      </c>
      <c r="D993" s="1523">
        <v>1</v>
      </c>
      <c r="E993" s="1523">
        <v>1</v>
      </c>
      <c r="F993" s="1524">
        <v>2</v>
      </c>
      <c r="G993" s="1537" t="s">
        <v>4954</v>
      </c>
      <c r="H993" s="1521">
        <v>1</v>
      </c>
      <c r="I993" s="1521">
        <v>1</v>
      </c>
      <c r="J993" s="1538">
        <v>2</v>
      </c>
      <c r="K993" s="1525"/>
      <c r="L993" s="1519">
        <v>13089021809</v>
      </c>
      <c r="M993" s="1520">
        <v>1</v>
      </c>
      <c r="N993" s="1520">
        <v>1</v>
      </c>
      <c r="O993" s="1520">
        <v>2</v>
      </c>
    </row>
    <row r="994" spans="3:15" ht="13.5">
      <c r="C994" s="1526" t="s">
        <v>4955</v>
      </c>
      <c r="D994" s="1523">
        <v>1</v>
      </c>
      <c r="E994" s="1523">
        <v>1</v>
      </c>
      <c r="F994" s="1524">
        <v>2</v>
      </c>
      <c r="G994" s="1537" t="s">
        <v>4955</v>
      </c>
      <c r="H994" s="1521">
        <v>1</v>
      </c>
      <c r="I994" s="1521">
        <v>1</v>
      </c>
      <c r="J994" s="1538">
        <v>2</v>
      </c>
      <c r="K994" s="1525"/>
      <c r="L994" s="1519">
        <v>13089021810</v>
      </c>
      <c r="M994" s="1520">
        <v>1</v>
      </c>
      <c r="N994" s="1520">
        <v>1</v>
      </c>
      <c r="O994" s="1520">
        <v>2</v>
      </c>
    </row>
    <row r="995" spans="3:15" ht="13.5">
      <c r="C995" s="1526" t="s">
        <v>4956</v>
      </c>
      <c r="D995" s="1523">
        <v>1</v>
      </c>
      <c r="E995" s="1523">
        <v>0</v>
      </c>
      <c r="F995" s="1524">
        <v>1</v>
      </c>
      <c r="G995" s="1537" t="s">
        <v>4956</v>
      </c>
      <c r="H995" s="1521">
        <v>1</v>
      </c>
      <c r="I995" s="1521">
        <v>1</v>
      </c>
      <c r="J995" s="1538">
        <v>2</v>
      </c>
      <c r="K995" s="1525"/>
      <c r="L995" s="1519">
        <v>13089021812</v>
      </c>
      <c r="M995" s="1520">
        <v>1</v>
      </c>
      <c r="N995" s="1520">
        <v>1</v>
      </c>
      <c r="O995" s="1520">
        <v>2</v>
      </c>
    </row>
    <row r="996" spans="3:15" ht="13.5">
      <c r="C996" s="1526" t="s">
        <v>4957</v>
      </c>
      <c r="D996" s="1523">
        <v>0</v>
      </c>
      <c r="E996" s="1523">
        <v>0</v>
      </c>
      <c r="F996" s="1524">
        <v>0</v>
      </c>
      <c r="G996" s="1537" t="s">
        <v>4957</v>
      </c>
      <c r="H996" s="1521">
        <v>0</v>
      </c>
      <c r="I996" s="1521" t="s">
        <v>4099</v>
      </c>
      <c r="J996" s="1538">
        <v>0</v>
      </c>
      <c r="K996" s="1525"/>
      <c r="L996" s="1519">
        <v>13089021813</v>
      </c>
      <c r="M996" s="1520">
        <v>0</v>
      </c>
      <c r="N996" s="1520">
        <v>0</v>
      </c>
      <c r="O996" s="1520">
        <v>0</v>
      </c>
    </row>
    <row r="997" spans="3:15" ht="13.5">
      <c r="C997" s="1526" t="s">
        <v>4958</v>
      </c>
      <c r="D997" s="1523">
        <v>0</v>
      </c>
      <c r="E997" s="1523">
        <v>0</v>
      </c>
      <c r="F997" s="1524">
        <v>0</v>
      </c>
      <c r="G997" s="1537" t="s">
        <v>4958</v>
      </c>
      <c r="H997" s="1521">
        <v>0</v>
      </c>
      <c r="I997" s="1521">
        <v>0</v>
      </c>
      <c r="J997" s="1538">
        <v>0</v>
      </c>
      <c r="K997" s="1525"/>
      <c r="L997" s="1519">
        <v>13089021814</v>
      </c>
      <c r="M997" s="1520">
        <v>0</v>
      </c>
      <c r="N997" s="1520">
        <v>0</v>
      </c>
      <c r="O997" s="1520">
        <v>0</v>
      </c>
    </row>
    <row r="998" spans="3:15" ht="13.5">
      <c r="C998" s="1526" t="s">
        <v>4959</v>
      </c>
      <c r="D998" s="1523">
        <v>0</v>
      </c>
      <c r="E998" s="1523">
        <v>0</v>
      </c>
      <c r="F998" s="1524">
        <v>0</v>
      </c>
      <c r="G998" s="1537" t="s">
        <v>4959</v>
      </c>
      <c r="H998" s="1521">
        <v>0</v>
      </c>
      <c r="I998" s="1521">
        <v>0</v>
      </c>
      <c r="J998" s="1538">
        <v>0</v>
      </c>
      <c r="K998" s="1525"/>
      <c r="L998" s="1519">
        <v>13089021906</v>
      </c>
      <c r="M998" s="1520">
        <v>0</v>
      </c>
      <c r="N998" s="1520">
        <v>0</v>
      </c>
      <c r="O998" s="1520">
        <v>0</v>
      </c>
    </row>
    <row r="999" spans="3:15" ht="13.5">
      <c r="C999" s="1526" t="s">
        <v>4960</v>
      </c>
      <c r="D999" s="1523">
        <v>0</v>
      </c>
      <c r="E999" s="1523">
        <v>0</v>
      </c>
      <c r="F999" s="1524">
        <v>0</v>
      </c>
      <c r="G999" s="1537" t="s">
        <v>4960</v>
      </c>
      <c r="H999" s="1521">
        <v>0</v>
      </c>
      <c r="I999" s="1521">
        <v>1</v>
      </c>
      <c r="J999" s="1538">
        <v>1</v>
      </c>
      <c r="K999" s="1525"/>
      <c r="L999" s="1519">
        <v>13089021907</v>
      </c>
      <c r="M999" s="1520">
        <v>0</v>
      </c>
      <c r="N999" s="1520">
        <v>1</v>
      </c>
      <c r="O999" s="1520">
        <v>1</v>
      </c>
    </row>
    <row r="1000" spans="3:15" ht="13.5">
      <c r="C1000" s="1526" t="s">
        <v>4961</v>
      </c>
      <c r="D1000" s="1523">
        <v>0</v>
      </c>
      <c r="E1000" s="1523">
        <v>0</v>
      </c>
      <c r="F1000" s="1524">
        <v>0</v>
      </c>
      <c r="G1000" s="1537" t="s">
        <v>4961</v>
      </c>
      <c r="H1000" s="1521">
        <v>0</v>
      </c>
      <c r="I1000" s="1521">
        <v>0</v>
      </c>
      <c r="J1000" s="1538">
        <v>0</v>
      </c>
      <c r="K1000" s="1525"/>
      <c r="L1000" s="1519">
        <v>13089021908</v>
      </c>
      <c r="M1000" s="1520">
        <v>0</v>
      </c>
      <c r="N1000" s="1520">
        <v>0</v>
      </c>
      <c r="O1000" s="1520">
        <v>0</v>
      </c>
    </row>
    <row r="1001" spans="3:15" ht="13.5">
      <c r="C1001" s="1526" t="s">
        <v>4962</v>
      </c>
      <c r="D1001" s="1523">
        <v>0</v>
      </c>
      <c r="E1001" s="1523">
        <v>0</v>
      </c>
      <c r="F1001" s="1524">
        <v>0</v>
      </c>
      <c r="G1001" s="1537" t="s">
        <v>4962</v>
      </c>
      <c r="H1001" s="1521">
        <v>0</v>
      </c>
      <c r="I1001" s="1521">
        <v>0</v>
      </c>
      <c r="J1001" s="1538">
        <v>0</v>
      </c>
      <c r="K1001" s="1525"/>
      <c r="L1001" s="1519">
        <v>13089021909</v>
      </c>
      <c r="M1001" s="1520">
        <v>0</v>
      </c>
      <c r="N1001" s="1520">
        <v>0</v>
      </c>
      <c r="O1001" s="1520">
        <v>0</v>
      </c>
    </row>
    <row r="1002" spans="3:15" ht="13.5">
      <c r="C1002" s="1526" t="s">
        <v>4963</v>
      </c>
      <c r="D1002" s="1523">
        <v>0</v>
      </c>
      <c r="E1002" s="1523">
        <v>0</v>
      </c>
      <c r="F1002" s="1524">
        <v>0</v>
      </c>
      <c r="G1002" s="1537" t="s">
        <v>4963</v>
      </c>
      <c r="H1002" s="1521">
        <v>0</v>
      </c>
      <c r="I1002" s="1521">
        <v>0</v>
      </c>
      <c r="J1002" s="1538">
        <v>0</v>
      </c>
      <c r="K1002" s="1525"/>
      <c r="L1002" s="1519">
        <v>13089021910</v>
      </c>
      <c r="M1002" s="1520">
        <v>0</v>
      </c>
      <c r="N1002" s="1520">
        <v>0</v>
      </c>
      <c r="O1002" s="1520">
        <v>0</v>
      </c>
    </row>
    <row r="1003" spans="3:15" ht="13.5">
      <c r="C1003" s="1526" t="s">
        <v>4964</v>
      </c>
      <c r="D1003" s="1523">
        <v>0</v>
      </c>
      <c r="E1003" s="1523">
        <v>0</v>
      </c>
      <c r="F1003" s="1524">
        <v>0</v>
      </c>
      <c r="G1003" s="1537" t="s">
        <v>4964</v>
      </c>
      <c r="H1003" s="1521">
        <v>0</v>
      </c>
      <c r="I1003" s="1521" t="s">
        <v>4099</v>
      </c>
      <c r="J1003" s="1538">
        <v>0</v>
      </c>
      <c r="K1003" s="1525"/>
      <c r="L1003" s="1519">
        <v>13089021911</v>
      </c>
      <c r="M1003" s="1520">
        <v>0</v>
      </c>
      <c r="N1003" s="1520">
        <v>0</v>
      </c>
      <c r="O1003" s="1520">
        <v>0</v>
      </c>
    </row>
    <row r="1004" spans="3:15" ht="13.5">
      <c r="C1004" s="1526" t="s">
        <v>4965</v>
      </c>
      <c r="D1004" s="1523">
        <v>1</v>
      </c>
      <c r="E1004" s="1523">
        <v>1</v>
      </c>
      <c r="F1004" s="1524">
        <v>2</v>
      </c>
      <c r="G1004" s="1537" t="s">
        <v>4965</v>
      </c>
      <c r="H1004" s="1521">
        <v>1</v>
      </c>
      <c r="I1004" s="1521">
        <v>1</v>
      </c>
      <c r="J1004" s="1538">
        <v>2</v>
      </c>
      <c r="K1004" s="1525"/>
      <c r="L1004" s="1519">
        <v>13089021912</v>
      </c>
      <c r="M1004" s="1520">
        <v>1</v>
      </c>
      <c r="N1004" s="1520">
        <v>1</v>
      </c>
      <c r="O1004" s="1520">
        <v>2</v>
      </c>
    </row>
    <row r="1005" spans="3:15" ht="13.5">
      <c r="C1005" s="1526" t="s">
        <v>4966</v>
      </c>
      <c r="D1005" s="1523">
        <v>0</v>
      </c>
      <c r="E1005" s="1523">
        <v>0</v>
      </c>
      <c r="F1005" s="1524">
        <v>0</v>
      </c>
      <c r="G1005" s="1537" t="s">
        <v>4966</v>
      </c>
      <c r="H1005" s="1521">
        <v>0</v>
      </c>
      <c r="I1005" s="1521">
        <v>0</v>
      </c>
      <c r="J1005" s="1538">
        <v>0</v>
      </c>
      <c r="K1005" s="1525"/>
      <c r="L1005" s="1519">
        <v>13089021913</v>
      </c>
      <c r="M1005" s="1520">
        <v>0</v>
      </c>
      <c r="N1005" s="1520">
        <v>0</v>
      </c>
      <c r="O1005" s="1520">
        <v>0</v>
      </c>
    </row>
    <row r="1006" spans="3:15" ht="13.5">
      <c r="C1006" s="1526" t="s">
        <v>4967</v>
      </c>
      <c r="D1006" s="1523">
        <v>1</v>
      </c>
      <c r="E1006" s="1523">
        <v>1</v>
      </c>
      <c r="F1006" s="1524">
        <v>2</v>
      </c>
      <c r="G1006" s="1537" t="s">
        <v>4967</v>
      </c>
      <c r="H1006" s="1521">
        <v>1</v>
      </c>
      <c r="I1006" s="1521">
        <v>1</v>
      </c>
      <c r="J1006" s="1538">
        <v>2</v>
      </c>
      <c r="K1006" s="1525"/>
      <c r="L1006" s="1519">
        <v>13089022001</v>
      </c>
      <c r="M1006" s="1520">
        <v>1</v>
      </c>
      <c r="N1006" s="1520">
        <v>1</v>
      </c>
      <c r="O1006" s="1520">
        <v>2</v>
      </c>
    </row>
    <row r="1007" spans="3:15" ht="13.5">
      <c r="C1007" s="1526" t="s">
        <v>4968</v>
      </c>
      <c r="D1007" s="1523">
        <v>0</v>
      </c>
      <c r="E1007" s="1523">
        <v>0</v>
      </c>
      <c r="F1007" s="1524">
        <v>0</v>
      </c>
      <c r="G1007" s="1537" t="s">
        <v>4968</v>
      </c>
      <c r="H1007" s="1521">
        <v>0</v>
      </c>
      <c r="I1007" s="1521">
        <v>1</v>
      </c>
      <c r="J1007" s="1538">
        <v>1</v>
      </c>
      <c r="K1007" s="1525"/>
      <c r="L1007" s="1519">
        <v>13089022004</v>
      </c>
      <c r="M1007" s="1520">
        <v>0</v>
      </c>
      <c r="N1007" s="1520">
        <v>1</v>
      </c>
      <c r="O1007" s="1520">
        <v>1</v>
      </c>
    </row>
    <row r="1008" spans="3:15" ht="13.5">
      <c r="C1008" s="1526" t="s">
        <v>4969</v>
      </c>
      <c r="D1008" s="1523">
        <v>0</v>
      </c>
      <c r="E1008" s="1523">
        <v>0</v>
      </c>
      <c r="F1008" s="1524">
        <v>0</v>
      </c>
      <c r="G1008" s="1537" t="s">
        <v>4969</v>
      </c>
      <c r="H1008" s="1521">
        <v>0</v>
      </c>
      <c r="I1008" s="1521">
        <v>0</v>
      </c>
      <c r="J1008" s="1538">
        <v>0</v>
      </c>
      <c r="K1008" s="1525"/>
      <c r="L1008" s="1519">
        <v>13089022005</v>
      </c>
      <c r="M1008" s="1520">
        <v>0</v>
      </c>
      <c r="N1008" s="1520">
        <v>0</v>
      </c>
      <c r="O1008" s="1520">
        <v>0</v>
      </c>
    </row>
    <row r="1009" spans="3:15" ht="13.5">
      <c r="C1009" s="1526" t="s">
        <v>4970</v>
      </c>
      <c r="D1009" s="1523">
        <v>0</v>
      </c>
      <c r="E1009" s="1523">
        <v>0</v>
      </c>
      <c r="F1009" s="1524">
        <v>0</v>
      </c>
      <c r="G1009" s="1537" t="s">
        <v>4970</v>
      </c>
      <c r="H1009" s="1521">
        <v>0</v>
      </c>
      <c r="I1009" s="1521">
        <v>0</v>
      </c>
      <c r="J1009" s="1538">
        <v>0</v>
      </c>
      <c r="K1009" s="1525"/>
      <c r="L1009" s="1519">
        <v>13089022007</v>
      </c>
      <c r="M1009" s="1520">
        <v>0</v>
      </c>
      <c r="N1009" s="1520">
        <v>0</v>
      </c>
      <c r="O1009" s="1520">
        <v>0</v>
      </c>
    </row>
    <row r="1010" spans="3:15" ht="13.5">
      <c r="C1010" s="1526" t="s">
        <v>4971</v>
      </c>
      <c r="D1010" s="1523">
        <v>0</v>
      </c>
      <c r="E1010" s="1523">
        <v>0</v>
      </c>
      <c r="F1010" s="1524">
        <v>0</v>
      </c>
      <c r="G1010" s="1537" t="s">
        <v>4971</v>
      </c>
      <c r="H1010" s="1521">
        <v>0</v>
      </c>
      <c r="I1010" s="1521">
        <v>0</v>
      </c>
      <c r="J1010" s="1538">
        <v>0</v>
      </c>
      <c r="K1010" s="1525"/>
      <c r="L1010" s="1519">
        <v>13089022008</v>
      </c>
      <c r="M1010" s="1520">
        <v>0</v>
      </c>
      <c r="N1010" s="1520">
        <v>0</v>
      </c>
      <c r="O1010" s="1520">
        <v>0</v>
      </c>
    </row>
    <row r="1011" spans="3:15" ht="13.5">
      <c r="C1011" s="1526" t="s">
        <v>4972</v>
      </c>
      <c r="D1011" s="1523">
        <v>0</v>
      </c>
      <c r="E1011" s="1523">
        <v>0</v>
      </c>
      <c r="F1011" s="1524">
        <v>0</v>
      </c>
      <c r="G1011" s="1537" t="s">
        <v>4972</v>
      </c>
      <c r="H1011" s="1521">
        <v>0</v>
      </c>
      <c r="I1011" s="1521" t="s">
        <v>4099</v>
      </c>
      <c r="J1011" s="1538">
        <v>0</v>
      </c>
      <c r="K1011" s="1525"/>
      <c r="L1011" s="1519">
        <v>13089022009</v>
      </c>
      <c r="M1011" s="1520">
        <v>0</v>
      </c>
      <c r="N1011" s="1520">
        <v>0</v>
      </c>
      <c r="O1011" s="1520">
        <v>0</v>
      </c>
    </row>
    <row r="1012" spans="3:15" ht="13.5">
      <c r="C1012" s="1526" t="s">
        <v>4973</v>
      </c>
      <c r="D1012" s="1523">
        <v>0</v>
      </c>
      <c r="E1012" s="1523">
        <v>0</v>
      </c>
      <c r="F1012" s="1524">
        <v>0</v>
      </c>
      <c r="G1012" s="1537" t="s">
        <v>4973</v>
      </c>
      <c r="H1012" s="1521">
        <v>0</v>
      </c>
      <c r="I1012" s="1521">
        <v>0</v>
      </c>
      <c r="J1012" s="1538">
        <v>0</v>
      </c>
      <c r="K1012" s="1525"/>
      <c r="L1012" s="1519">
        <v>13089022010</v>
      </c>
      <c r="M1012" s="1520">
        <v>0</v>
      </c>
      <c r="N1012" s="1520">
        <v>0</v>
      </c>
      <c r="O1012" s="1520">
        <v>0</v>
      </c>
    </row>
    <row r="1013" spans="3:15" ht="13.5">
      <c r="C1013" s="1526" t="s">
        <v>4974</v>
      </c>
      <c r="D1013" s="1523">
        <v>0</v>
      </c>
      <c r="E1013" s="1523">
        <v>0</v>
      </c>
      <c r="F1013" s="1524">
        <v>0</v>
      </c>
      <c r="G1013" s="1537" t="s">
        <v>4974</v>
      </c>
      <c r="H1013" s="1521">
        <v>0</v>
      </c>
      <c r="I1013" s="1521">
        <v>0</v>
      </c>
      <c r="J1013" s="1538">
        <v>0</v>
      </c>
      <c r="K1013" s="1525"/>
      <c r="L1013" s="1519">
        <v>13089022100</v>
      </c>
      <c r="M1013" s="1520">
        <v>0</v>
      </c>
      <c r="N1013" s="1520">
        <v>0</v>
      </c>
      <c r="O1013" s="1520">
        <v>0</v>
      </c>
    </row>
    <row r="1014" spans="3:15" ht="13.5">
      <c r="C1014" s="1526" t="s">
        <v>4975</v>
      </c>
      <c r="D1014" s="1523">
        <v>0</v>
      </c>
      <c r="E1014" s="1523">
        <v>0</v>
      </c>
      <c r="F1014" s="1524">
        <v>0</v>
      </c>
      <c r="G1014" s="1537" t="s">
        <v>4975</v>
      </c>
      <c r="H1014" s="1521">
        <v>1</v>
      </c>
      <c r="I1014" s="1521">
        <v>0</v>
      </c>
      <c r="J1014" s="1538">
        <v>1</v>
      </c>
      <c r="K1014" s="1525"/>
      <c r="L1014" s="1519">
        <v>13089022203</v>
      </c>
      <c r="M1014" s="1520">
        <v>1</v>
      </c>
      <c r="N1014" s="1520">
        <v>0</v>
      </c>
      <c r="O1014" s="1520">
        <v>1</v>
      </c>
    </row>
    <row r="1015" spans="3:15" ht="13.5">
      <c r="C1015" s="1526" t="s">
        <v>4976</v>
      </c>
      <c r="D1015" s="1523">
        <v>0</v>
      </c>
      <c r="E1015" s="1523">
        <v>0</v>
      </c>
      <c r="F1015" s="1524">
        <v>0</v>
      </c>
      <c r="G1015" s="1537" t="s">
        <v>4976</v>
      </c>
      <c r="H1015" s="1521">
        <v>1</v>
      </c>
      <c r="I1015" s="1521">
        <v>0</v>
      </c>
      <c r="J1015" s="1538">
        <v>1</v>
      </c>
      <c r="K1015" s="1525"/>
      <c r="L1015" s="1519">
        <v>13089022204</v>
      </c>
      <c r="M1015" s="1520">
        <v>1</v>
      </c>
      <c r="N1015" s="1520">
        <v>0</v>
      </c>
      <c r="O1015" s="1520">
        <v>1</v>
      </c>
    </row>
    <row r="1016" spans="3:15" ht="13.5">
      <c r="C1016" s="1526" t="s">
        <v>4977</v>
      </c>
      <c r="D1016" s="1523">
        <v>1</v>
      </c>
      <c r="E1016" s="1523">
        <v>1</v>
      </c>
      <c r="F1016" s="1524">
        <v>2</v>
      </c>
      <c r="G1016" s="1537" t="s">
        <v>4977</v>
      </c>
      <c r="H1016" s="1521">
        <v>1</v>
      </c>
      <c r="I1016" s="1521">
        <v>1</v>
      </c>
      <c r="J1016" s="1538">
        <v>2</v>
      </c>
      <c r="K1016" s="1525"/>
      <c r="L1016" s="1519">
        <v>13089022301</v>
      </c>
      <c r="M1016" s="1520">
        <v>1</v>
      </c>
      <c r="N1016" s="1520">
        <v>1</v>
      </c>
      <c r="O1016" s="1520">
        <v>2</v>
      </c>
    </row>
    <row r="1017" spans="3:15" ht="13.5">
      <c r="C1017" s="1526" t="s">
        <v>4978</v>
      </c>
      <c r="D1017" s="1523">
        <v>1</v>
      </c>
      <c r="E1017" s="1523">
        <v>1</v>
      </c>
      <c r="F1017" s="1524">
        <v>2</v>
      </c>
      <c r="G1017" s="1537" t="s">
        <v>4978</v>
      </c>
      <c r="H1017" s="1521">
        <v>1</v>
      </c>
      <c r="I1017" s="1521">
        <v>1</v>
      </c>
      <c r="J1017" s="1538">
        <v>2</v>
      </c>
      <c r="K1017" s="1525"/>
      <c r="L1017" s="1519">
        <v>13089022302</v>
      </c>
      <c r="M1017" s="1520">
        <v>1</v>
      </c>
      <c r="N1017" s="1520">
        <v>1</v>
      </c>
      <c r="O1017" s="1520">
        <v>2</v>
      </c>
    </row>
    <row r="1018" spans="3:15" ht="13.5">
      <c r="C1018" s="1526" t="s">
        <v>4979</v>
      </c>
      <c r="D1018" s="1523">
        <v>1</v>
      </c>
      <c r="E1018" s="1523">
        <v>1</v>
      </c>
      <c r="F1018" s="1524">
        <v>2</v>
      </c>
      <c r="G1018" s="1537" t="s">
        <v>4979</v>
      </c>
      <c r="H1018" s="1521">
        <v>1</v>
      </c>
      <c r="I1018" s="1521">
        <v>1</v>
      </c>
      <c r="J1018" s="1538">
        <v>2</v>
      </c>
      <c r="K1018" s="1525"/>
      <c r="L1018" s="1519">
        <v>13089022401</v>
      </c>
      <c r="M1018" s="1520">
        <v>1</v>
      </c>
      <c r="N1018" s="1520">
        <v>1</v>
      </c>
      <c r="O1018" s="1520">
        <v>2</v>
      </c>
    </row>
    <row r="1019" spans="3:15" ht="13.5">
      <c r="C1019" s="1526" t="s">
        <v>4980</v>
      </c>
      <c r="D1019" s="1523">
        <v>0</v>
      </c>
      <c r="E1019" s="1523">
        <v>0</v>
      </c>
      <c r="F1019" s="1524">
        <v>0</v>
      </c>
      <c r="G1019" s="1537" t="s">
        <v>4980</v>
      </c>
      <c r="H1019" s="1521">
        <v>0</v>
      </c>
      <c r="I1019" s="1521" t="s">
        <v>4099</v>
      </c>
      <c r="J1019" s="1538">
        <v>0</v>
      </c>
      <c r="K1019" s="1525"/>
      <c r="L1019" s="1519">
        <v>13089022402</v>
      </c>
      <c r="M1019" s="1520">
        <v>0</v>
      </c>
      <c r="N1019" s="1520">
        <v>0</v>
      </c>
      <c r="O1019" s="1520">
        <v>0</v>
      </c>
    </row>
    <row r="1020" spans="3:15" ht="13.5">
      <c r="C1020" s="1526" t="s">
        <v>4981</v>
      </c>
      <c r="D1020" s="1523">
        <v>1</v>
      </c>
      <c r="E1020" s="1523">
        <v>1</v>
      </c>
      <c r="F1020" s="1524">
        <v>2</v>
      </c>
      <c r="G1020" s="1537" t="s">
        <v>4981</v>
      </c>
      <c r="H1020" s="1521">
        <v>1</v>
      </c>
      <c r="I1020" s="1521">
        <v>1</v>
      </c>
      <c r="J1020" s="1538">
        <v>2</v>
      </c>
      <c r="K1020" s="1525"/>
      <c r="L1020" s="1519">
        <v>13089022403</v>
      </c>
      <c r="M1020" s="1520">
        <v>1</v>
      </c>
      <c r="N1020" s="1520">
        <v>1</v>
      </c>
      <c r="O1020" s="1520">
        <v>2</v>
      </c>
    </row>
    <row r="1021" spans="3:15" ht="13.5">
      <c r="C1021" s="1526" t="s">
        <v>4982</v>
      </c>
      <c r="D1021" s="1523">
        <v>1</v>
      </c>
      <c r="E1021" s="1523">
        <v>1</v>
      </c>
      <c r="F1021" s="1524">
        <v>2</v>
      </c>
      <c r="G1021" s="1537" t="s">
        <v>4982</v>
      </c>
      <c r="H1021" s="1521">
        <v>1</v>
      </c>
      <c r="I1021" s="1521">
        <v>1</v>
      </c>
      <c r="J1021" s="1538">
        <v>2</v>
      </c>
      <c r="K1021" s="1525"/>
      <c r="L1021" s="1519">
        <v>13089022500</v>
      </c>
      <c r="M1021" s="1520">
        <v>1</v>
      </c>
      <c r="N1021" s="1520">
        <v>1</v>
      </c>
      <c r="O1021" s="1520">
        <v>2</v>
      </c>
    </row>
    <row r="1022" spans="3:15" ht="13.5">
      <c r="C1022" s="1526" t="s">
        <v>4983</v>
      </c>
      <c r="D1022" s="1523">
        <v>1</v>
      </c>
      <c r="E1022" s="1523">
        <v>1</v>
      </c>
      <c r="F1022" s="1524">
        <v>2</v>
      </c>
      <c r="G1022" s="1537" t="s">
        <v>4983</v>
      </c>
      <c r="H1022" s="1521">
        <v>1</v>
      </c>
      <c r="I1022" s="1521">
        <v>1</v>
      </c>
      <c r="J1022" s="1538">
        <v>2</v>
      </c>
      <c r="K1022" s="1525"/>
      <c r="L1022" s="1519">
        <v>13089022600</v>
      </c>
      <c r="M1022" s="1520">
        <v>1</v>
      </c>
      <c r="N1022" s="1520">
        <v>1</v>
      </c>
      <c r="O1022" s="1520">
        <v>2</v>
      </c>
    </row>
    <row r="1023" spans="3:15" ht="13.5">
      <c r="C1023" s="1526" t="s">
        <v>4984</v>
      </c>
      <c r="D1023" s="1523">
        <v>1</v>
      </c>
      <c r="E1023" s="1523">
        <v>1</v>
      </c>
      <c r="F1023" s="1524">
        <v>2</v>
      </c>
      <c r="G1023" s="1537" t="s">
        <v>4984</v>
      </c>
      <c r="H1023" s="1521">
        <v>1</v>
      </c>
      <c r="I1023" s="1521">
        <v>1</v>
      </c>
      <c r="J1023" s="1538">
        <v>2</v>
      </c>
      <c r="K1023" s="1525"/>
      <c r="L1023" s="1519">
        <v>13089022700</v>
      </c>
      <c r="M1023" s="1520">
        <v>1</v>
      </c>
      <c r="N1023" s="1520">
        <v>1</v>
      </c>
      <c r="O1023" s="1520">
        <v>2</v>
      </c>
    </row>
    <row r="1024" spans="3:15" ht="13.5">
      <c r="C1024" s="1526" t="s">
        <v>4985</v>
      </c>
      <c r="D1024" s="1523">
        <v>1</v>
      </c>
      <c r="E1024" s="1523">
        <v>1</v>
      </c>
      <c r="F1024" s="1524">
        <v>2</v>
      </c>
      <c r="G1024" s="1537" t="s">
        <v>4985</v>
      </c>
      <c r="H1024" s="1521">
        <v>1</v>
      </c>
      <c r="I1024" s="1521">
        <v>1</v>
      </c>
      <c r="J1024" s="1538">
        <v>2</v>
      </c>
      <c r="K1024" s="1525"/>
      <c r="L1024" s="1519">
        <v>13089022800</v>
      </c>
      <c r="M1024" s="1520">
        <v>1</v>
      </c>
      <c r="N1024" s="1520">
        <v>1</v>
      </c>
      <c r="O1024" s="1520">
        <v>2</v>
      </c>
    </row>
    <row r="1025" spans="3:15" ht="13.5">
      <c r="C1025" s="1526" t="s">
        <v>4986</v>
      </c>
      <c r="D1025" s="1523">
        <v>1</v>
      </c>
      <c r="E1025" s="1523">
        <v>1</v>
      </c>
      <c r="F1025" s="1524">
        <v>2</v>
      </c>
      <c r="G1025" s="1537" t="s">
        <v>4986</v>
      </c>
      <c r="H1025" s="1521">
        <v>1</v>
      </c>
      <c r="I1025" s="1521">
        <v>1</v>
      </c>
      <c r="J1025" s="1538">
        <v>2</v>
      </c>
      <c r="K1025" s="1525"/>
      <c r="L1025" s="1519">
        <v>13089022900</v>
      </c>
      <c r="M1025" s="1520">
        <v>1</v>
      </c>
      <c r="N1025" s="1520">
        <v>1</v>
      </c>
      <c r="O1025" s="1520">
        <v>2</v>
      </c>
    </row>
    <row r="1026" spans="3:15" ht="13.5">
      <c r="C1026" s="1526" t="s">
        <v>4987</v>
      </c>
      <c r="D1026" s="1523">
        <v>1</v>
      </c>
      <c r="E1026" s="1523">
        <v>1</v>
      </c>
      <c r="F1026" s="1524">
        <v>2</v>
      </c>
      <c r="G1026" s="1537" t="s">
        <v>4987</v>
      </c>
      <c r="H1026" s="1521">
        <v>1</v>
      </c>
      <c r="I1026" s="1521">
        <v>1</v>
      </c>
      <c r="J1026" s="1538">
        <v>2</v>
      </c>
      <c r="K1026" s="1525"/>
      <c r="L1026" s="1519">
        <v>13089023000</v>
      </c>
      <c r="M1026" s="1520">
        <v>1</v>
      </c>
      <c r="N1026" s="1520">
        <v>1</v>
      </c>
      <c r="O1026" s="1520">
        <v>2</v>
      </c>
    </row>
    <row r="1027" spans="3:15" ht="13.5">
      <c r="C1027" s="1526" t="s">
        <v>4988</v>
      </c>
      <c r="D1027" s="1523">
        <v>0</v>
      </c>
      <c r="E1027" s="1523">
        <v>0</v>
      </c>
      <c r="F1027" s="1524">
        <v>0</v>
      </c>
      <c r="G1027" s="1537" t="s">
        <v>4988</v>
      </c>
      <c r="H1027" s="1521">
        <v>0</v>
      </c>
      <c r="I1027" s="1521">
        <v>0</v>
      </c>
      <c r="J1027" s="1538">
        <v>0</v>
      </c>
      <c r="K1027" s="1525"/>
      <c r="L1027" s="1519">
        <v>13089023101</v>
      </c>
      <c r="M1027" s="1520">
        <v>0</v>
      </c>
      <c r="N1027" s="1520">
        <v>0</v>
      </c>
      <c r="O1027" s="1520">
        <v>0</v>
      </c>
    </row>
    <row r="1028" spans="3:15" ht="13.5">
      <c r="C1028" s="1526" t="s">
        <v>4989</v>
      </c>
      <c r="D1028" s="1523">
        <v>0</v>
      </c>
      <c r="E1028" s="1523">
        <v>0</v>
      </c>
      <c r="F1028" s="1524">
        <v>0</v>
      </c>
      <c r="G1028" s="1537" t="s">
        <v>4989</v>
      </c>
      <c r="H1028" s="1521">
        <v>1</v>
      </c>
      <c r="I1028" s="1521">
        <v>0</v>
      </c>
      <c r="J1028" s="1538">
        <v>1</v>
      </c>
      <c r="K1028" s="1525"/>
      <c r="L1028" s="1519">
        <v>13089023102</v>
      </c>
      <c r="M1028" s="1520">
        <v>1</v>
      </c>
      <c r="N1028" s="1520">
        <v>0</v>
      </c>
      <c r="O1028" s="1520">
        <v>1</v>
      </c>
    </row>
    <row r="1029" spans="3:15" ht="13.5">
      <c r="C1029" s="1526" t="s">
        <v>4990</v>
      </c>
      <c r="D1029" s="1523">
        <v>0</v>
      </c>
      <c r="E1029" s="1523">
        <v>0</v>
      </c>
      <c r="F1029" s="1524">
        <v>0</v>
      </c>
      <c r="G1029" s="1537" t="s">
        <v>4990</v>
      </c>
      <c r="H1029" s="1521">
        <v>0</v>
      </c>
      <c r="I1029" s="1521">
        <v>0</v>
      </c>
      <c r="J1029" s="1538">
        <v>0</v>
      </c>
      <c r="K1029" s="1525"/>
      <c r="L1029" s="1519">
        <v>13089023107</v>
      </c>
      <c r="M1029" s="1520">
        <v>0</v>
      </c>
      <c r="N1029" s="1520">
        <v>0</v>
      </c>
      <c r="O1029" s="1520">
        <v>0</v>
      </c>
    </row>
    <row r="1030" spans="3:15" ht="13.5">
      <c r="C1030" s="1526" t="s">
        <v>4991</v>
      </c>
      <c r="D1030" s="1523">
        <v>0</v>
      </c>
      <c r="E1030" s="1523">
        <v>0</v>
      </c>
      <c r="F1030" s="1524">
        <v>0</v>
      </c>
      <c r="G1030" s="1537" t="s">
        <v>4991</v>
      </c>
      <c r="H1030" s="1521">
        <v>0</v>
      </c>
      <c r="I1030" s="1521">
        <v>0</v>
      </c>
      <c r="J1030" s="1538">
        <v>0</v>
      </c>
      <c r="K1030" s="1525"/>
      <c r="L1030" s="1519">
        <v>13089023108</v>
      </c>
      <c r="M1030" s="1520">
        <v>0</v>
      </c>
      <c r="N1030" s="1520">
        <v>0</v>
      </c>
      <c r="O1030" s="1520">
        <v>0</v>
      </c>
    </row>
    <row r="1031" spans="3:15" ht="13.5">
      <c r="C1031" s="1526" t="s">
        <v>4992</v>
      </c>
      <c r="D1031" s="1523">
        <v>0</v>
      </c>
      <c r="E1031" s="1523">
        <v>0</v>
      </c>
      <c r="F1031" s="1524">
        <v>0</v>
      </c>
      <c r="G1031" s="1537" t="s">
        <v>4992</v>
      </c>
      <c r="H1031" s="1521">
        <v>0</v>
      </c>
      <c r="I1031" s="1521">
        <v>0</v>
      </c>
      <c r="J1031" s="1538">
        <v>0</v>
      </c>
      <c r="K1031" s="1525"/>
      <c r="L1031" s="1519">
        <v>13089023111</v>
      </c>
      <c r="M1031" s="1520">
        <v>0</v>
      </c>
      <c r="N1031" s="1520">
        <v>0</v>
      </c>
      <c r="O1031" s="1520">
        <v>0</v>
      </c>
    </row>
    <row r="1032" spans="3:15" ht="13.5">
      <c r="C1032" s="1526" t="s">
        <v>4993</v>
      </c>
      <c r="D1032" s="1523">
        <v>0</v>
      </c>
      <c r="E1032" s="1523">
        <v>0</v>
      </c>
      <c r="F1032" s="1524">
        <v>0</v>
      </c>
      <c r="G1032" s="1537" t="s">
        <v>4993</v>
      </c>
      <c r="H1032" s="1521">
        <v>0</v>
      </c>
      <c r="I1032" s="1521" t="s">
        <v>4099</v>
      </c>
      <c r="J1032" s="1538">
        <v>0</v>
      </c>
      <c r="K1032" s="1525"/>
      <c r="L1032" s="1519">
        <v>13089023112</v>
      </c>
      <c r="M1032" s="1520">
        <v>0</v>
      </c>
      <c r="N1032" s="1520">
        <v>0</v>
      </c>
      <c r="O1032" s="1520">
        <v>0</v>
      </c>
    </row>
    <row r="1033" spans="3:15" ht="13.5">
      <c r="C1033" s="1526" t="s">
        <v>4994</v>
      </c>
      <c r="D1033" s="1523">
        <v>0</v>
      </c>
      <c r="E1033" s="1523">
        <v>0</v>
      </c>
      <c r="F1033" s="1524">
        <v>0</v>
      </c>
      <c r="G1033" s="1537" t="s">
        <v>4994</v>
      </c>
      <c r="H1033" s="1521">
        <v>0</v>
      </c>
      <c r="I1033" s="1521">
        <v>0</v>
      </c>
      <c r="J1033" s="1538">
        <v>0</v>
      </c>
      <c r="K1033" s="1525"/>
      <c r="L1033" s="1519">
        <v>13089023113</v>
      </c>
      <c r="M1033" s="1520">
        <v>0</v>
      </c>
      <c r="N1033" s="1520">
        <v>0</v>
      </c>
      <c r="O1033" s="1520">
        <v>0</v>
      </c>
    </row>
    <row r="1034" spans="3:15" ht="13.5">
      <c r="C1034" s="1526" t="s">
        <v>4995</v>
      </c>
      <c r="D1034" s="1523">
        <v>0</v>
      </c>
      <c r="E1034" s="1523">
        <v>0</v>
      </c>
      <c r="F1034" s="1524">
        <v>0</v>
      </c>
      <c r="G1034" s="1537" t="s">
        <v>4995</v>
      </c>
      <c r="H1034" s="1521">
        <v>0</v>
      </c>
      <c r="I1034" s="1521">
        <v>0</v>
      </c>
      <c r="J1034" s="1538">
        <v>0</v>
      </c>
      <c r="K1034" s="1525"/>
      <c r="L1034" s="1519">
        <v>13089023114</v>
      </c>
      <c r="M1034" s="1520">
        <v>0</v>
      </c>
      <c r="N1034" s="1520">
        <v>0</v>
      </c>
      <c r="O1034" s="1520">
        <v>0</v>
      </c>
    </row>
    <row r="1035" spans="3:15" ht="13.5">
      <c r="C1035" s="1526" t="s">
        <v>4996</v>
      </c>
      <c r="D1035" s="1523" t="s">
        <v>4099</v>
      </c>
      <c r="E1035" s="1523" t="s">
        <v>4099</v>
      </c>
      <c r="F1035" s="1524">
        <v>0</v>
      </c>
      <c r="G1035" s="1537" t="s">
        <v>4996</v>
      </c>
      <c r="H1035" s="1521" t="s">
        <v>4099</v>
      </c>
      <c r="I1035" s="1521" t="s">
        <v>4099</v>
      </c>
      <c r="J1035" s="1538">
        <v>0</v>
      </c>
      <c r="K1035" s="1525"/>
      <c r="L1035" s="1519">
        <v>13089023115</v>
      </c>
      <c r="M1035" s="1520">
        <v>0</v>
      </c>
      <c r="N1035" s="1520">
        <v>0</v>
      </c>
      <c r="O1035" s="1520">
        <v>0</v>
      </c>
    </row>
    <row r="1036" spans="3:15" ht="13.5">
      <c r="C1036" s="1526" t="s">
        <v>4997</v>
      </c>
      <c r="D1036" s="1523">
        <v>0</v>
      </c>
      <c r="E1036" s="1523">
        <v>0</v>
      </c>
      <c r="F1036" s="1524">
        <v>0</v>
      </c>
      <c r="G1036" s="1537" t="s">
        <v>4997</v>
      </c>
      <c r="H1036" s="1521">
        <v>0</v>
      </c>
      <c r="I1036" s="1521">
        <v>0</v>
      </c>
      <c r="J1036" s="1538">
        <v>0</v>
      </c>
      <c r="K1036" s="1525"/>
      <c r="L1036" s="1519">
        <v>13089023204</v>
      </c>
      <c r="M1036" s="1520">
        <v>0</v>
      </c>
      <c r="N1036" s="1520">
        <v>0</v>
      </c>
      <c r="O1036" s="1520">
        <v>0</v>
      </c>
    </row>
    <row r="1037" spans="3:15" ht="13.5">
      <c r="C1037" s="1526" t="s">
        <v>4998</v>
      </c>
      <c r="D1037" s="1523">
        <v>0</v>
      </c>
      <c r="E1037" s="1523">
        <v>0</v>
      </c>
      <c r="F1037" s="1524">
        <v>0</v>
      </c>
      <c r="G1037" s="1537" t="s">
        <v>4998</v>
      </c>
      <c r="H1037" s="1521">
        <v>0</v>
      </c>
      <c r="I1037" s="1521">
        <v>1</v>
      </c>
      <c r="J1037" s="1538">
        <v>1</v>
      </c>
      <c r="K1037" s="1525"/>
      <c r="L1037" s="1519">
        <v>13089023206</v>
      </c>
      <c r="M1037" s="1520">
        <v>0</v>
      </c>
      <c r="N1037" s="1520">
        <v>1</v>
      </c>
      <c r="O1037" s="1520">
        <v>1</v>
      </c>
    </row>
    <row r="1038" spans="3:15" ht="13.5">
      <c r="C1038" s="1526" t="s">
        <v>4999</v>
      </c>
      <c r="D1038" s="1523">
        <v>0</v>
      </c>
      <c r="E1038" s="1523">
        <v>0</v>
      </c>
      <c r="F1038" s="1524">
        <v>0</v>
      </c>
      <c r="G1038" s="1537" t="s">
        <v>4999</v>
      </c>
      <c r="H1038" s="1521">
        <v>0</v>
      </c>
      <c r="I1038" s="1521">
        <v>0</v>
      </c>
      <c r="J1038" s="1538">
        <v>0</v>
      </c>
      <c r="K1038" s="1525"/>
      <c r="L1038" s="1519">
        <v>13089023208</v>
      </c>
      <c r="M1038" s="1520">
        <v>0</v>
      </c>
      <c r="N1038" s="1520">
        <v>0</v>
      </c>
      <c r="O1038" s="1520">
        <v>0</v>
      </c>
    </row>
    <row r="1039" spans="3:15" ht="13.5">
      <c r="C1039" s="1526" t="s">
        <v>5000</v>
      </c>
      <c r="D1039" s="1523">
        <v>0</v>
      </c>
      <c r="E1039" s="1523">
        <v>0</v>
      </c>
      <c r="F1039" s="1524">
        <v>0</v>
      </c>
      <c r="G1039" s="1537" t="s">
        <v>5000</v>
      </c>
      <c r="H1039" s="1521">
        <v>0</v>
      </c>
      <c r="I1039" s="1521">
        <v>0</v>
      </c>
      <c r="J1039" s="1538">
        <v>0</v>
      </c>
      <c r="K1039" s="1525"/>
      <c r="L1039" s="1519">
        <v>13089023209</v>
      </c>
      <c r="M1039" s="1520">
        <v>0</v>
      </c>
      <c r="N1039" s="1520">
        <v>0</v>
      </c>
      <c r="O1039" s="1520">
        <v>0</v>
      </c>
    </row>
    <row r="1040" spans="3:15" ht="13.5">
      <c r="C1040" s="1526" t="s">
        <v>5001</v>
      </c>
      <c r="D1040" s="1523">
        <v>0</v>
      </c>
      <c r="E1040" s="1523">
        <v>0</v>
      </c>
      <c r="F1040" s="1524">
        <v>0</v>
      </c>
      <c r="G1040" s="1537" t="s">
        <v>5001</v>
      </c>
      <c r="H1040" s="1521">
        <v>0</v>
      </c>
      <c r="I1040" s="1521">
        <v>0</v>
      </c>
      <c r="J1040" s="1538">
        <v>0</v>
      </c>
      <c r="K1040" s="1525"/>
      <c r="L1040" s="1519">
        <v>13089023210</v>
      </c>
      <c r="M1040" s="1520">
        <v>0</v>
      </c>
      <c r="N1040" s="1520">
        <v>0</v>
      </c>
      <c r="O1040" s="1520">
        <v>0</v>
      </c>
    </row>
    <row r="1041" spans="3:15" ht="13.5">
      <c r="C1041" s="1526" t="s">
        <v>5002</v>
      </c>
      <c r="D1041" s="1523">
        <v>0</v>
      </c>
      <c r="E1041" s="1523">
        <v>0</v>
      </c>
      <c r="F1041" s="1524">
        <v>0</v>
      </c>
      <c r="G1041" s="1537" t="s">
        <v>5002</v>
      </c>
      <c r="H1041" s="1521">
        <v>0</v>
      </c>
      <c r="I1041" s="1521">
        <v>0</v>
      </c>
      <c r="J1041" s="1538">
        <v>0</v>
      </c>
      <c r="K1041" s="1525"/>
      <c r="L1041" s="1519">
        <v>13089023211</v>
      </c>
      <c r="M1041" s="1520">
        <v>0</v>
      </c>
      <c r="N1041" s="1520">
        <v>0</v>
      </c>
      <c r="O1041" s="1520">
        <v>0</v>
      </c>
    </row>
    <row r="1042" spans="3:15" ht="13.5">
      <c r="C1042" s="1526" t="s">
        <v>5003</v>
      </c>
      <c r="D1042" s="1523">
        <v>0</v>
      </c>
      <c r="E1042" s="1523">
        <v>0</v>
      </c>
      <c r="F1042" s="1524">
        <v>0</v>
      </c>
      <c r="G1042" s="1537" t="s">
        <v>5003</v>
      </c>
      <c r="H1042" s="1521">
        <v>0</v>
      </c>
      <c r="I1042" s="1521">
        <v>0</v>
      </c>
      <c r="J1042" s="1538">
        <v>0</v>
      </c>
      <c r="K1042" s="1525"/>
      <c r="L1042" s="1519">
        <v>13089023212</v>
      </c>
      <c r="M1042" s="1520">
        <v>0</v>
      </c>
      <c r="N1042" s="1520">
        <v>0</v>
      </c>
      <c r="O1042" s="1520">
        <v>0</v>
      </c>
    </row>
    <row r="1043" spans="3:15" ht="13.5">
      <c r="C1043" s="1526" t="s">
        <v>5004</v>
      </c>
      <c r="D1043" s="1523">
        <v>0</v>
      </c>
      <c r="E1043" s="1523">
        <v>0</v>
      </c>
      <c r="F1043" s="1524">
        <v>0</v>
      </c>
      <c r="G1043" s="1537" t="s">
        <v>5004</v>
      </c>
      <c r="H1043" s="1521">
        <v>0</v>
      </c>
      <c r="I1043" s="1521">
        <v>0</v>
      </c>
      <c r="J1043" s="1538">
        <v>0</v>
      </c>
      <c r="K1043" s="1525"/>
      <c r="L1043" s="1519">
        <v>13089023213</v>
      </c>
      <c r="M1043" s="1520">
        <v>0</v>
      </c>
      <c r="N1043" s="1520">
        <v>0</v>
      </c>
      <c r="O1043" s="1520">
        <v>0</v>
      </c>
    </row>
    <row r="1044" spans="3:15" ht="13.5">
      <c r="C1044" s="1526" t="s">
        <v>5005</v>
      </c>
      <c r="D1044" s="1523">
        <v>0</v>
      </c>
      <c r="E1044" s="1523">
        <v>0</v>
      </c>
      <c r="F1044" s="1524">
        <v>0</v>
      </c>
      <c r="G1044" s="1537" t="s">
        <v>5005</v>
      </c>
      <c r="H1044" s="1521">
        <v>0</v>
      </c>
      <c r="I1044" s="1521" t="s">
        <v>4099</v>
      </c>
      <c r="J1044" s="1538">
        <v>0</v>
      </c>
      <c r="K1044" s="1525"/>
      <c r="L1044" s="1519">
        <v>13089023214</v>
      </c>
      <c r="M1044" s="1520">
        <v>0</v>
      </c>
      <c r="N1044" s="1520">
        <v>0</v>
      </c>
      <c r="O1044" s="1520">
        <v>0</v>
      </c>
    </row>
    <row r="1045" spans="3:15" ht="13.5">
      <c r="C1045" s="1526" t="s">
        <v>5006</v>
      </c>
      <c r="D1045" s="1523">
        <v>0</v>
      </c>
      <c r="E1045" s="1523">
        <v>0</v>
      </c>
      <c r="F1045" s="1524">
        <v>0</v>
      </c>
      <c r="G1045" s="1537" t="s">
        <v>5006</v>
      </c>
      <c r="H1045" s="1521">
        <v>0</v>
      </c>
      <c r="I1045" s="1521">
        <v>0</v>
      </c>
      <c r="J1045" s="1538">
        <v>0</v>
      </c>
      <c r="K1045" s="1525"/>
      <c r="L1045" s="1519">
        <v>13089023303</v>
      </c>
      <c r="M1045" s="1520">
        <v>0</v>
      </c>
      <c r="N1045" s="1520">
        <v>0</v>
      </c>
      <c r="O1045" s="1520">
        <v>0</v>
      </c>
    </row>
    <row r="1046" spans="3:15" ht="13.5">
      <c r="C1046" s="1526" t="s">
        <v>5007</v>
      </c>
      <c r="D1046" s="1523">
        <v>1</v>
      </c>
      <c r="E1046" s="1523">
        <v>1</v>
      </c>
      <c r="F1046" s="1524">
        <v>2</v>
      </c>
      <c r="G1046" s="1537" t="s">
        <v>5007</v>
      </c>
      <c r="H1046" s="1521">
        <v>0</v>
      </c>
      <c r="I1046" s="1521">
        <v>1</v>
      </c>
      <c r="J1046" s="1538">
        <v>1</v>
      </c>
      <c r="K1046" s="1525"/>
      <c r="L1046" s="1519">
        <v>13089023306</v>
      </c>
      <c r="M1046" s="1520">
        <v>1</v>
      </c>
      <c r="N1046" s="1520">
        <v>1</v>
      </c>
      <c r="O1046" s="1520">
        <v>2</v>
      </c>
    </row>
    <row r="1047" spans="3:15" ht="13.5">
      <c r="C1047" s="1526" t="s">
        <v>5008</v>
      </c>
      <c r="D1047" s="1523">
        <v>0</v>
      </c>
      <c r="E1047" s="1523">
        <v>0</v>
      </c>
      <c r="F1047" s="1524">
        <v>0</v>
      </c>
      <c r="G1047" s="1537" t="s">
        <v>5008</v>
      </c>
      <c r="H1047" s="1521">
        <v>0</v>
      </c>
      <c r="I1047" s="1521">
        <v>0</v>
      </c>
      <c r="J1047" s="1538">
        <v>0</v>
      </c>
      <c r="K1047" s="1525"/>
      <c r="L1047" s="1519">
        <v>13089023309</v>
      </c>
      <c r="M1047" s="1520">
        <v>0</v>
      </c>
      <c r="N1047" s="1520">
        <v>0</v>
      </c>
      <c r="O1047" s="1520">
        <v>0</v>
      </c>
    </row>
    <row r="1048" spans="3:15" ht="13.5">
      <c r="C1048" s="1526" t="s">
        <v>5009</v>
      </c>
      <c r="D1048" s="1523">
        <v>0</v>
      </c>
      <c r="E1048" s="1523">
        <v>0</v>
      </c>
      <c r="F1048" s="1524">
        <v>0</v>
      </c>
      <c r="G1048" s="1537" t="s">
        <v>5009</v>
      </c>
      <c r="H1048" s="1521">
        <v>0</v>
      </c>
      <c r="I1048" s="1521">
        <v>0</v>
      </c>
      <c r="J1048" s="1538">
        <v>0</v>
      </c>
      <c r="K1048" s="1525"/>
      <c r="L1048" s="1519">
        <v>13089023310</v>
      </c>
      <c r="M1048" s="1520">
        <v>0</v>
      </c>
      <c r="N1048" s="1520">
        <v>0</v>
      </c>
      <c r="O1048" s="1520">
        <v>0</v>
      </c>
    </row>
    <row r="1049" spans="3:15" ht="13.5">
      <c r="C1049" s="1526" t="s">
        <v>5010</v>
      </c>
      <c r="D1049" s="1523">
        <v>1</v>
      </c>
      <c r="E1049" s="1523">
        <v>0</v>
      </c>
      <c r="F1049" s="1524">
        <v>1</v>
      </c>
      <c r="G1049" s="1537" t="s">
        <v>5010</v>
      </c>
      <c r="H1049" s="1521">
        <v>1</v>
      </c>
      <c r="I1049" s="1521">
        <v>0</v>
      </c>
      <c r="J1049" s="1538">
        <v>1</v>
      </c>
      <c r="K1049" s="1525"/>
      <c r="L1049" s="1519">
        <v>13089023311</v>
      </c>
      <c r="M1049" s="1520">
        <v>1</v>
      </c>
      <c r="N1049" s="1520">
        <v>0</v>
      </c>
      <c r="O1049" s="1520">
        <v>1</v>
      </c>
    </row>
    <row r="1050" spans="3:15" ht="13.5">
      <c r="C1050" s="1526" t="s">
        <v>5011</v>
      </c>
      <c r="D1050" s="1523">
        <v>0</v>
      </c>
      <c r="E1050" s="1523">
        <v>0</v>
      </c>
      <c r="F1050" s="1524">
        <v>0</v>
      </c>
      <c r="G1050" s="1537" t="s">
        <v>5011</v>
      </c>
      <c r="H1050" s="1521">
        <v>0</v>
      </c>
      <c r="I1050" s="1521">
        <v>0</v>
      </c>
      <c r="J1050" s="1538">
        <v>0</v>
      </c>
      <c r="K1050" s="1525"/>
      <c r="L1050" s="1519">
        <v>13089023312</v>
      </c>
      <c r="M1050" s="1520">
        <v>0</v>
      </c>
      <c r="N1050" s="1520">
        <v>0</v>
      </c>
      <c r="O1050" s="1520">
        <v>0</v>
      </c>
    </row>
    <row r="1051" spans="3:15" ht="13.5">
      <c r="C1051" s="1526" t="s">
        <v>5012</v>
      </c>
      <c r="D1051" s="1523">
        <v>0</v>
      </c>
      <c r="E1051" s="1523">
        <v>0</v>
      </c>
      <c r="F1051" s="1524">
        <v>0</v>
      </c>
      <c r="G1051" s="1537" t="s">
        <v>5012</v>
      </c>
      <c r="H1051" s="1521">
        <v>0</v>
      </c>
      <c r="I1051" s="1521">
        <v>0</v>
      </c>
      <c r="J1051" s="1538">
        <v>0</v>
      </c>
      <c r="K1051" s="1525"/>
      <c r="L1051" s="1519">
        <v>13089023313</v>
      </c>
      <c r="M1051" s="1520">
        <v>0</v>
      </c>
      <c r="N1051" s="1520">
        <v>0</v>
      </c>
      <c r="O1051" s="1520">
        <v>0</v>
      </c>
    </row>
    <row r="1052" spans="3:15" ht="13.5">
      <c r="C1052" s="1526" t="s">
        <v>5013</v>
      </c>
      <c r="D1052" s="1523">
        <v>0</v>
      </c>
      <c r="E1052" s="1523">
        <v>0</v>
      </c>
      <c r="F1052" s="1524">
        <v>0</v>
      </c>
      <c r="G1052" s="1537" t="s">
        <v>5013</v>
      </c>
      <c r="H1052" s="1521">
        <v>0</v>
      </c>
      <c r="I1052" s="1521">
        <v>0</v>
      </c>
      <c r="J1052" s="1538">
        <v>0</v>
      </c>
      <c r="K1052" s="1525"/>
      <c r="L1052" s="1519">
        <v>13089023314</v>
      </c>
      <c r="M1052" s="1520">
        <v>0</v>
      </c>
      <c r="N1052" s="1520">
        <v>0</v>
      </c>
      <c r="O1052" s="1520">
        <v>0</v>
      </c>
    </row>
    <row r="1053" spans="3:15" ht="13.5">
      <c r="C1053" s="1526" t="s">
        <v>5014</v>
      </c>
      <c r="D1053" s="1523">
        <v>1</v>
      </c>
      <c r="E1053" s="1523">
        <v>1</v>
      </c>
      <c r="F1053" s="1524">
        <v>2</v>
      </c>
      <c r="G1053" s="1537" t="s">
        <v>5014</v>
      </c>
      <c r="H1053" s="1521">
        <v>1</v>
      </c>
      <c r="I1053" s="1521">
        <v>0</v>
      </c>
      <c r="J1053" s="1538">
        <v>1</v>
      </c>
      <c r="K1053" s="1525"/>
      <c r="L1053" s="1519">
        <v>13089023315</v>
      </c>
      <c r="M1053" s="1520">
        <v>1</v>
      </c>
      <c r="N1053" s="1520">
        <v>1</v>
      </c>
      <c r="O1053" s="1520">
        <v>2</v>
      </c>
    </row>
    <row r="1054" spans="3:15" ht="13.5">
      <c r="C1054" s="1526" t="s">
        <v>5015</v>
      </c>
      <c r="D1054" s="1523">
        <v>0</v>
      </c>
      <c r="E1054" s="1523">
        <v>0</v>
      </c>
      <c r="F1054" s="1524">
        <v>0</v>
      </c>
      <c r="G1054" s="1537" t="s">
        <v>5015</v>
      </c>
      <c r="H1054" s="1521">
        <v>1</v>
      </c>
      <c r="I1054" s="1521">
        <v>1</v>
      </c>
      <c r="J1054" s="1538">
        <v>1</v>
      </c>
      <c r="K1054" s="1525"/>
      <c r="L1054" s="1519">
        <v>13089023316</v>
      </c>
      <c r="M1054" s="1520">
        <v>1</v>
      </c>
      <c r="N1054" s="1520">
        <v>1</v>
      </c>
      <c r="O1054" s="1520">
        <v>1</v>
      </c>
    </row>
    <row r="1055" spans="3:15" ht="13.5">
      <c r="C1055" s="1526" t="s">
        <v>5016</v>
      </c>
      <c r="D1055" s="1523">
        <v>0</v>
      </c>
      <c r="E1055" s="1523">
        <v>0</v>
      </c>
      <c r="F1055" s="1524">
        <v>0</v>
      </c>
      <c r="G1055" s="1537" t="s">
        <v>5016</v>
      </c>
      <c r="H1055" s="1521">
        <v>0</v>
      </c>
      <c r="I1055" s="1521">
        <v>0</v>
      </c>
      <c r="J1055" s="1538">
        <v>0</v>
      </c>
      <c r="K1055" s="1525"/>
      <c r="L1055" s="1519">
        <v>13089023410</v>
      </c>
      <c r="M1055" s="1520">
        <v>0</v>
      </c>
      <c r="N1055" s="1520">
        <v>0</v>
      </c>
      <c r="O1055" s="1520">
        <v>0</v>
      </c>
    </row>
    <row r="1056" spans="3:15" ht="13.5">
      <c r="C1056" s="1526" t="s">
        <v>5017</v>
      </c>
      <c r="D1056" s="1523">
        <v>0</v>
      </c>
      <c r="E1056" s="1523">
        <v>0</v>
      </c>
      <c r="F1056" s="1524">
        <v>0</v>
      </c>
      <c r="G1056" s="1537" t="s">
        <v>5017</v>
      </c>
      <c r="H1056" s="1521">
        <v>0</v>
      </c>
      <c r="I1056" s="1521" t="s">
        <v>4099</v>
      </c>
      <c r="J1056" s="1538">
        <v>0</v>
      </c>
      <c r="K1056" s="1525"/>
      <c r="L1056" s="1519">
        <v>13089023411</v>
      </c>
      <c r="M1056" s="1520">
        <v>0</v>
      </c>
      <c r="N1056" s="1520">
        <v>0</v>
      </c>
      <c r="O1056" s="1520">
        <v>0</v>
      </c>
    </row>
    <row r="1057" spans="3:15" ht="13.5">
      <c r="C1057" s="1526" t="s">
        <v>5018</v>
      </c>
      <c r="D1057" s="1523">
        <v>0</v>
      </c>
      <c r="E1057" s="1523">
        <v>0</v>
      </c>
      <c r="F1057" s="1524">
        <v>0</v>
      </c>
      <c r="G1057" s="1537" t="s">
        <v>5018</v>
      </c>
      <c r="H1057" s="1521">
        <v>0</v>
      </c>
      <c r="I1057" s="1521">
        <v>0</v>
      </c>
      <c r="J1057" s="1538">
        <v>0</v>
      </c>
      <c r="K1057" s="1525"/>
      <c r="L1057" s="1519">
        <v>13089023412</v>
      </c>
      <c r="M1057" s="1520">
        <v>0</v>
      </c>
      <c r="N1057" s="1520">
        <v>0</v>
      </c>
      <c r="O1057" s="1520">
        <v>0</v>
      </c>
    </row>
    <row r="1058" spans="3:15" ht="13.5">
      <c r="C1058" s="1526" t="s">
        <v>5019</v>
      </c>
      <c r="D1058" s="1523">
        <v>0</v>
      </c>
      <c r="E1058" s="1523">
        <v>0</v>
      </c>
      <c r="F1058" s="1524">
        <v>0</v>
      </c>
      <c r="G1058" s="1537" t="s">
        <v>5019</v>
      </c>
      <c r="H1058" s="1521">
        <v>0</v>
      </c>
      <c r="I1058" s="1521">
        <v>1</v>
      </c>
      <c r="J1058" s="1538">
        <v>0</v>
      </c>
      <c r="K1058" s="1525"/>
      <c r="L1058" s="1519">
        <v>13089023413</v>
      </c>
      <c r="M1058" s="1520">
        <v>0</v>
      </c>
      <c r="N1058" s="1520">
        <v>1</v>
      </c>
      <c r="O1058" s="1520">
        <v>0</v>
      </c>
    </row>
    <row r="1059" spans="3:15" ht="13.5">
      <c r="C1059" s="1526" t="s">
        <v>5020</v>
      </c>
      <c r="D1059" s="1523">
        <v>0</v>
      </c>
      <c r="E1059" s="1523">
        <v>0</v>
      </c>
      <c r="F1059" s="1524">
        <v>0</v>
      </c>
      <c r="G1059" s="1537" t="s">
        <v>5020</v>
      </c>
      <c r="H1059" s="1521">
        <v>1</v>
      </c>
      <c r="I1059" s="1521">
        <v>1</v>
      </c>
      <c r="J1059" s="1538">
        <v>2</v>
      </c>
      <c r="K1059" s="1525"/>
      <c r="L1059" s="1519">
        <v>13089023414</v>
      </c>
      <c r="M1059" s="1520">
        <v>1</v>
      </c>
      <c r="N1059" s="1520">
        <v>1</v>
      </c>
      <c r="O1059" s="1520">
        <v>2</v>
      </c>
    </row>
    <row r="1060" spans="3:15" ht="13.5">
      <c r="C1060" s="1526" t="s">
        <v>5021</v>
      </c>
      <c r="D1060" s="1523">
        <v>0</v>
      </c>
      <c r="E1060" s="1523">
        <v>0</v>
      </c>
      <c r="F1060" s="1524">
        <v>0</v>
      </c>
      <c r="G1060" s="1537" t="s">
        <v>5021</v>
      </c>
      <c r="H1060" s="1521">
        <v>0</v>
      </c>
      <c r="I1060" s="1521">
        <v>1</v>
      </c>
      <c r="J1060" s="1538">
        <v>1</v>
      </c>
      <c r="K1060" s="1525"/>
      <c r="L1060" s="1519">
        <v>13089023416</v>
      </c>
      <c r="M1060" s="1520">
        <v>0</v>
      </c>
      <c r="N1060" s="1520">
        <v>1</v>
      </c>
      <c r="O1060" s="1520">
        <v>1</v>
      </c>
    </row>
    <row r="1061" spans="3:15" ht="13.5">
      <c r="C1061" s="1526" t="s">
        <v>5022</v>
      </c>
      <c r="D1061" s="1523">
        <v>0</v>
      </c>
      <c r="E1061" s="1523">
        <v>0</v>
      </c>
      <c r="F1061" s="1524">
        <v>0</v>
      </c>
      <c r="G1061" s="1537" t="s">
        <v>5022</v>
      </c>
      <c r="H1061" s="1521">
        <v>0</v>
      </c>
      <c r="I1061" s="1521">
        <v>0</v>
      </c>
      <c r="J1061" s="1538">
        <v>0</v>
      </c>
      <c r="K1061" s="1525"/>
      <c r="L1061" s="1519">
        <v>13089023418</v>
      </c>
      <c r="M1061" s="1520">
        <v>0</v>
      </c>
      <c r="N1061" s="1520">
        <v>0</v>
      </c>
      <c r="O1061" s="1520">
        <v>0</v>
      </c>
    </row>
    <row r="1062" spans="3:15" ht="13.5">
      <c r="C1062" s="1526" t="s">
        <v>5023</v>
      </c>
      <c r="D1062" s="1523">
        <v>0</v>
      </c>
      <c r="E1062" s="1523">
        <v>0</v>
      </c>
      <c r="F1062" s="1524">
        <v>0</v>
      </c>
      <c r="G1062" s="1537" t="s">
        <v>5023</v>
      </c>
      <c r="H1062" s="1521">
        <v>1</v>
      </c>
      <c r="I1062" s="1521">
        <v>1</v>
      </c>
      <c r="J1062" s="1538">
        <v>2</v>
      </c>
      <c r="K1062" s="1525"/>
      <c r="L1062" s="1519">
        <v>13089023419</v>
      </c>
      <c r="M1062" s="1520">
        <v>1</v>
      </c>
      <c r="N1062" s="1520">
        <v>1</v>
      </c>
      <c r="O1062" s="1520">
        <v>2</v>
      </c>
    </row>
    <row r="1063" spans="3:15" ht="13.5">
      <c r="C1063" s="1526" t="s">
        <v>5024</v>
      </c>
      <c r="D1063" s="1523">
        <v>0</v>
      </c>
      <c r="E1063" s="1523">
        <v>0</v>
      </c>
      <c r="F1063" s="1524">
        <v>0</v>
      </c>
      <c r="G1063" s="1537" t="s">
        <v>5024</v>
      </c>
      <c r="H1063" s="1521">
        <v>0</v>
      </c>
      <c r="I1063" s="1521">
        <v>0</v>
      </c>
      <c r="J1063" s="1538">
        <v>0</v>
      </c>
      <c r="K1063" s="1525"/>
      <c r="L1063" s="1519">
        <v>13089023421</v>
      </c>
      <c r="M1063" s="1520">
        <v>0</v>
      </c>
      <c r="N1063" s="1520">
        <v>0</v>
      </c>
      <c r="O1063" s="1520">
        <v>0</v>
      </c>
    </row>
    <row r="1064" spans="3:15" ht="13.5">
      <c r="C1064" s="1526" t="s">
        <v>5025</v>
      </c>
      <c r="D1064" s="1523">
        <v>0</v>
      </c>
      <c r="E1064" s="1523">
        <v>0</v>
      </c>
      <c r="F1064" s="1524">
        <v>0</v>
      </c>
      <c r="G1064" s="1537" t="s">
        <v>5025</v>
      </c>
      <c r="H1064" s="1521">
        <v>0</v>
      </c>
      <c r="I1064" s="1521">
        <v>0</v>
      </c>
      <c r="J1064" s="1538">
        <v>0</v>
      </c>
      <c r="K1064" s="1525"/>
      <c r="L1064" s="1519">
        <v>13089023422</v>
      </c>
      <c r="M1064" s="1520">
        <v>0</v>
      </c>
      <c r="N1064" s="1520">
        <v>0</v>
      </c>
      <c r="O1064" s="1520">
        <v>0</v>
      </c>
    </row>
    <row r="1065" spans="3:15" ht="13.5">
      <c r="C1065" s="1526" t="s">
        <v>5026</v>
      </c>
      <c r="D1065" s="1523">
        <v>0</v>
      </c>
      <c r="E1065" s="1523">
        <v>0</v>
      </c>
      <c r="F1065" s="1524">
        <v>0</v>
      </c>
      <c r="G1065" s="1537" t="s">
        <v>5026</v>
      </c>
      <c r="H1065" s="1521">
        <v>1</v>
      </c>
      <c r="I1065" s="1521">
        <v>0</v>
      </c>
      <c r="J1065" s="1538">
        <v>1</v>
      </c>
      <c r="K1065" s="1525"/>
      <c r="L1065" s="1519">
        <v>13089023423</v>
      </c>
      <c r="M1065" s="1520">
        <v>1</v>
      </c>
      <c r="N1065" s="1520">
        <v>0</v>
      </c>
      <c r="O1065" s="1520">
        <v>1</v>
      </c>
    </row>
    <row r="1066" spans="3:15" ht="13.5">
      <c r="C1066" s="1526" t="s">
        <v>5027</v>
      </c>
      <c r="D1066" s="1523">
        <v>0</v>
      </c>
      <c r="E1066" s="1523">
        <v>0</v>
      </c>
      <c r="F1066" s="1524">
        <v>0</v>
      </c>
      <c r="G1066" s="1537" t="s">
        <v>5027</v>
      </c>
      <c r="H1066" s="1521">
        <v>0</v>
      </c>
      <c r="I1066" s="1521">
        <v>1</v>
      </c>
      <c r="J1066" s="1538">
        <v>1</v>
      </c>
      <c r="K1066" s="1525"/>
      <c r="L1066" s="1519">
        <v>13089023424</v>
      </c>
      <c r="M1066" s="1520">
        <v>0</v>
      </c>
      <c r="N1066" s="1520">
        <v>1</v>
      </c>
      <c r="O1066" s="1520">
        <v>1</v>
      </c>
    </row>
    <row r="1067" spans="3:15" ht="13.5">
      <c r="C1067" s="1526" t="s">
        <v>5028</v>
      </c>
      <c r="D1067" s="1523">
        <v>0</v>
      </c>
      <c r="E1067" s="1523">
        <v>0</v>
      </c>
      <c r="F1067" s="1524">
        <v>0</v>
      </c>
      <c r="G1067" s="1537" t="s">
        <v>5028</v>
      </c>
      <c r="H1067" s="1521">
        <v>0</v>
      </c>
      <c r="I1067" s="1521">
        <v>1</v>
      </c>
      <c r="J1067" s="1538">
        <v>1</v>
      </c>
      <c r="K1067" s="1525"/>
      <c r="L1067" s="1519">
        <v>13089023425</v>
      </c>
      <c r="M1067" s="1520">
        <v>0</v>
      </c>
      <c r="N1067" s="1520">
        <v>1</v>
      </c>
      <c r="O1067" s="1520">
        <v>1</v>
      </c>
    </row>
    <row r="1068" spans="3:15" ht="13.5">
      <c r="C1068" s="1526" t="s">
        <v>5029</v>
      </c>
      <c r="D1068" s="1523">
        <v>1</v>
      </c>
      <c r="E1068" s="1523">
        <v>0</v>
      </c>
      <c r="F1068" s="1524">
        <v>1</v>
      </c>
      <c r="G1068" s="1537" t="s">
        <v>5029</v>
      </c>
      <c r="H1068" s="1521">
        <v>1</v>
      </c>
      <c r="I1068" s="1521">
        <v>1</v>
      </c>
      <c r="J1068" s="1538">
        <v>2</v>
      </c>
      <c r="K1068" s="1525"/>
      <c r="L1068" s="1519">
        <v>13089023426</v>
      </c>
      <c r="M1068" s="1520">
        <v>1</v>
      </c>
      <c r="N1068" s="1520">
        <v>1</v>
      </c>
      <c r="O1068" s="1520">
        <v>2</v>
      </c>
    </row>
    <row r="1069" spans="3:15" ht="13.5">
      <c r="C1069" s="1526" t="s">
        <v>5030</v>
      </c>
      <c r="D1069" s="1523">
        <v>1</v>
      </c>
      <c r="E1069" s="1523">
        <v>0</v>
      </c>
      <c r="F1069" s="1524">
        <v>1</v>
      </c>
      <c r="G1069" s="1537" t="s">
        <v>5030</v>
      </c>
      <c r="H1069" s="1521">
        <v>1</v>
      </c>
      <c r="I1069" s="1521">
        <v>0</v>
      </c>
      <c r="J1069" s="1538">
        <v>1</v>
      </c>
      <c r="K1069" s="1525"/>
      <c r="L1069" s="1519">
        <v>13089023427</v>
      </c>
      <c r="M1069" s="1520">
        <v>1</v>
      </c>
      <c r="N1069" s="1520">
        <v>0</v>
      </c>
      <c r="O1069" s="1520">
        <v>1</v>
      </c>
    </row>
    <row r="1070" spans="3:15" ht="13.5">
      <c r="C1070" s="1526" t="s">
        <v>5031</v>
      </c>
      <c r="D1070" s="1523">
        <v>0</v>
      </c>
      <c r="E1070" s="1523">
        <v>0</v>
      </c>
      <c r="F1070" s="1524">
        <v>0</v>
      </c>
      <c r="G1070" s="1537" t="s">
        <v>5031</v>
      </c>
      <c r="H1070" s="1521">
        <v>0</v>
      </c>
      <c r="I1070" s="1521">
        <v>0</v>
      </c>
      <c r="J1070" s="1538">
        <v>0</v>
      </c>
      <c r="K1070" s="1525"/>
      <c r="L1070" s="1519">
        <v>13089023428</v>
      </c>
      <c r="M1070" s="1520">
        <v>0</v>
      </c>
      <c r="N1070" s="1520">
        <v>0</v>
      </c>
      <c r="O1070" s="1520">
        <v>0</v>
      </c>
    </row>
    <row r="1071" spans="3:15" ht="13.5">
      <c r="C1071" s="1526" t="s">
        <v>5032</v>
      </c>
      <c r="D1071" s="1523">
        <v>0</v>
      </c>
      <c r="E1071" s="1523">
        <v>0</v>
      </c>
      <c r="F1071" s="1524">
        <v>0</v>
      </c>
      <c r="G1071" s="1537" t="s">
        <v>5032</v>
      </c>
      <c r="H1071" s="1521">
        <v>0</v>
      </c>
      <c r="I1071" s="1521">
        <v>0</v>
      </c>
      <c r="J1071" s="1538">
        <v>0</v>
      </c>
      <c r="K1071" s="1525"/>
      <c r="L1071" s="1519">
        <v>13089023501</v>
      </c>
      <c r="M1071" s="1520">
        <v>0</v>
      </c>
      <c r="N1071" s="1520">
        <v>0</v>
      </c>
      <c r="O1071" s="1520">
        <v>0</v>
      </c>
    </row>
    <row r="1072" spans="3:15" ht="13.5">
      <c r="C1072" s="1526" t="s">
        <v>5033</v>
      </c>
      <c r="D1072" s="1523">
        <v>0</v>
      </c>
      <c r="E1072" s="1523">
        <v>0</v>
      </c>
      <c r="F1072" s="1524">
        <v>0</v>
      </c>
      <c r="G1072" s="1537" t="s">
        <v>5033</v>
      </c>
      <c r="H1072" s="1521">
        <v>0</v>
      </c>
      <c r="I1072" s="1521">
        <v>0</v>
      </c>
      <c r="J1072" s="1538">
        <v>0</v>
      </c>
      <c r="K1072" s="1525"/>
      <c r="L1072" s="1519">
        <v>13089023504</v>
      </c>
      <c r="M1072" s="1520">
        <v>0</v>
      </c>
      <c r="N1072" s="1520">
        <v>0</v>
      </c>
      <c r="O1072" s="1520">
        <v>0</v>
      </c>
    </row>
    <row r="1073" spans="3:15" ht="13.5">
      <c r="C1073" s="1526" t="s">
        <v>5034</v>
      </c>
      <c r="D1073" s="1523">
        <v>0</v>
      </c>
      <c r="E1073" s="1523">
        <v>0</v>
      </c>
      <c r="F1073" s="1524">
        <v>0</v>
      </c>
      <c r="G1073" s="1537" t="s">
        <v>5034</v>
      </c>
      <c r="H1073" s="1521">
        <v>0</v>
      </c>
      <c r="I1073" s="1521">
        <v>0</v>
      </c>
      <c r="J1073" s="1538">
        <v>0</v>
      </c>
      <c r="K1073" s="1525"/>
      <c r="L1073" s="1519">
        <v>13089023505</v>
      </c>
      <c r="M1073" s="1520">
        <v>0</v>
      </c>
      <c r="N1073" s="1520">
        <v>0</v>
      </c>
      <c r="O1073" s="1520">
        <v>0</v>
      </c>
    </row>
    <row r="1074" spans="3:15" ht="13.5">
      <c r="C1074" s="1526" t="s">
        <v>5035</v>
      </c>
      <c r="D1074" s="1523">
        <v>0</v>
      </c>
      <c r="E1074" s="1523">
        <v>0</v>
      </c>
      <c r="F1074" s="1524">
        <v>0</v>
      </c>
      <c r="G1074" s="1537" t="s">
        <v>5035</v>
      </c>
      <c r="H1074" s="1521">
        <v>0</v>
      </c>
      <c r="I1074" s="1521">
        <v>0</v>
      </c>
      <c r="J1074" s="1538">
        <v>0</v>
      </c>
      <c r="K1074" s="1525"/>
      <c r="L1074" s="1519">
        <v>13089023506</v>
      </c>
      <c r="M1074" s="1520">
        <v>0</v>
      </c>
      <c r="N1074" s="1520">
        <v>0</v>
      </c>
      <c r="O1074" s="1520">
        <v>0</v>
      </c>
    </row>
    <row r="1075" spans="3:15" ht="13.5">
      <c r="C1075" s="1526" t="s">
        <v>5036</v>
      </c>
      <c r="D1075" s="1523">
        <v>0</v>
      </c>
      <c r="E1075" s="1523">
        <v>0</v>
      </c>
      <c r="F1075" s="1524">
        <v>0</v>
      </c>
      <c r="G1075" s="1537" t="s">
        <v>5036</v>
      </c>
      <c r="H1075" s="1521">
        <v>0</v>
      </c>
      <c r="I1075" s="1521">
        <v>1</v>
      </c>
      <c r="J1075" s="1538">
        <v>1</v>
      </c>
      <c r="K1075" s="1525"/>
      <c r="L1075" s="1519">
        <v>13089023507</v>
      </c>
      <c r="M1075" s="1520">
        <v>0</v>
      </c>
      <c r="N1075" s="1520">
        <v>1</v>
      </c>
      <c r="O1075" s="1520">
        <v>1</v>
      </c>
    </row>
    <row r="1076" spans="3:15" ht="13.5">
      <c r="C1076" s="1526" t="s">
        <v>5037</v>
      </c>
      <c r="D1076" s="1523">
        <v>0</v>
      </c>
      <c r="E1076" s="1523">
        <v>0</v>
      </c>
      <c r="F1076" s="1524">
        <v>0</v>
      </c>
      <c r="G1076" s="1537" t="s">
        <v>5037</v>
      </c>
      <c r="H1076" s="1521">
        <v>0</v>
      </c>
      <c r="I1076" s="1521">
        <v>0</v>
      </c>
      <c r="J1076" s="1538">
        <v>0</v>
      </c>
      <c r="K1076" s="1525"/>
      <c r="L1076" s="1519">
        <v>13089023601</v>
      </c>
      <c r="M1076" s="1520">
        <v>0</v>
      </c>
      <c r="N1076" s="1520">
        <v>0</v>
      </c>
      <c r="O1076" s="1520">
        <v>0</v>
      </c>
    </row>
    <row r="1077" spans="3:15" ht="13.5">
      <c r="C1077" s="1526" t="s">
        <v>5038</v>
      </c>
      <c r="D1077" s="1523">
        <v>0</v>
      </c>
      <c r="E1077" s="1523">
        <v>0</v>
      </c>
      <c r="F1077" s="1524">
        <v>0</v>
      </c>
      <c r="G1077" s="1537" t="s">
        <v>5038</v>
      </c>
      <c r="H1077" s="1521">
        <v>0</v>
      </c>
      <c r="I1077" s="1521">
        <v>0</v>
      </c>
      <c r="J1077" s="1538">
        <v>0</v>
      </c>
      <c r="K1077" s="1525"/>
      <c r="L1077" s="1519">
        <v>13089023602</v>
      </c>
      <c r="M1077" s="1520">
        <v>0</v>
      </c>
      <c r="N1077" s="1520">
        <v>0</v>
      </c>
      <c r="O1077" s="1520">
        <v>0</v>
      </c>
    </row>
    <row r="1078" spans="3:15" ht="13.5">
      <c r="C1078" s="1526" t="s">
        <v>5039</v>
      </c>
      <c r="D1078" s="1523">
        <v>0</v>
      </c>
      <c r="E1078" s="1523">
        <v>0</v>
      </c>
      <c r="F1078" s="1524">
        <v>0</v>
      </c>
      <c r="G1078" s="1537" t="s">
        <v>5039</v>
      </c>
      <c r="H1078" s="1521">
        <v>0</v>
      </c>
      <c r="I1078" s="1521">
        <v>0</v>
      </c>
      <c r="J1078" s="1538">
        <v>0</v>
      </c>
      <c r="K1078" s="1525"/>
      <c r="L1078" s="1519">
        <v>13089023603</v>
      </c>
      <c r="M1078" s="1520">
        <v>0</v>
      </c>
      <c r="N1078" s="1520">
        <v>0</v>
      </c>
      <c r="O1078" s="1520">
        <v>0</v>
      </c>
    </row>
    <row r="1079" spans="3:15" ht="13.5">
      <c r="C1079" s="1526" t="s">
        <v>5040</v>
      </c>
      <c r="D1079" s="1523">
        <v>0</v>
      </c>
      <c r="E1079" s="1523">
        <v>0</v>
      </c>
      <c r="F1079" s="1524">
        <v>0</v>
      </c>
      <c r="G1079" s="1537" t="s">
        <v>5040</v>
      </c>
      <c r="H1079" s="1521">
        <v>0</v>
      </c>
      <c r="I1079" s="1521" t="s">
        <v>4099</v>
      </c>
      <c r="J1079" s="1538">
        <v>0</v>
      </c>
      <c r="K1079" s="1525"/>
      <c r="L1079" s="1519">
        <v>13089023700</v>
      </c>
      <c r="M1079" s="1520">
        <v>0</v>
      </c>
      <c r="N1079" s="1520">
        <v>0</v>
      </c>
      <c r="O1079" s="1520">
        <v>0</v>
      </c>
    </row>
    <row r="1080" spans="3:15" ht="13.5">
      <c r="C1080" s="1526" t="s">
        <v>5041</v>
      </c>
      <c r="D1080" s="1523">
        <v>1</v>
      </c>
      <c r="E1080" s="1523">
        <v>0</v>
      </c>
      <c r="F1080" s="1524">
        <v>1</v>
      </c>
      <c r="G1080" s="1537" t="s">
        <v>5041</v>
      </c>
      <c r="H1080" s="1521">
        <v>1</v>
      </c>
      <c r="I1080" s="1521">
        <v>0</v>
      </c>
      <c r="J1080" s="1538">
        <v>1</v>
      </c>
      <c r="K1080" s="1525"/>
      <c r="L1080" s="1519">
        <v>13089023801</v>
      </c>
      <c r="M1080" s="1520">
        <v>1</v>
      </c>
      <c r="N1080" s="1520">
        <v>0</v>
      </c>
      <c r="O1080" s="1520">
        <v>1</v>
      </c>
    </row>
    <row r="1081" spans="3:15" ht="13.5">
      <c r="C1081" s="1526" t="s">
        <v>5042</v>
      </c>
      <c r="D1081" s="1523">
        <v>0</v>
      </c>
      <c r="E1081" s="1523">
        <v>0</v>
      </c>
      <c r="F1081" s="1524">
        <v>0</v>
      </c>
      <c r="G1081" s="1537" t="s">
        <v>5042</v>
      </c>
      <c r="H1081" s="1521">
        <v>0</v>
      </c>
      <c r="I1081" s="1521">
        <v>0</v>
      </c>
      <c r="J1081" s="1538">
        <v>0</v>
      </c>
      <c r="K1081" s="1525"/>
      <c r="L1081" s="1519">
        <v>13089023802</v>
      </c>
      <c r="M1081" s="1520">
        <v>0</v>
      </c>
      <c r="N1081" s="1520">
        <v>0</v>
      </c>
      <c r="O1081" s="1520">
        <v>0</v>
      </c>
    </row>
    <row r="1082" spans="3:15" ht="13.5">
      <c r="C1082" s="1526" t="s">
        <v>5043</v>
      </c>
      <c r="D1082" s="1523">
        <v>0</v>
      </c>
      <c r="E1082" s="1523">
        <v>0</v>
      </c>
      <c r="F1082" s="1524">
        <v>0</v>
      </c>
      <c r="G1082" s="1537" t="s">
        <v>5043</v>
      </c>
      <c r="H1082" s="1521">
        <v>0</v>
      </c>
      <c r="I1082" s="1521">
        <v>0</v>
      </c>
      <c r="J1082" s="1538">
        <v>0</v>
      </c>
      <c r="K1082" s="1525"/>
      <c r="L1082" s="1519">
        <v>13089023803</v>
      </c>
      <c r="M1082" s="1520">
        <v>0</v>
      </c>
      <c r="N1082" s="1520">
        <v>0</v>
      </c>
      <c r="O1082" s="1520">
        <v>0</v>
      </c>
    </row>
    <row r="1083" spans="3:15" ht="13.5">
      <c r="C1083" s="1526" t="s">
        <v>5044</v>
      </c>
      <c r="D1083" s="1523" t="s">
        <v>4099</v>
      </c>
      <c r="E1083" s="1523" t="s">
        <v>4099</v>
      </c>
      <c r="F1083" s="1524">
        <v>0</v>
      </c>
      <c r="G1083" s="1537" t="s">
        <v>5044</v>
      </c>
      <c r="H1083" s="1521" t="s">
        <v>4099</v>
      </c>
      <c r="I1083" s="1521" t="s">
        <v>4099</v>
      </c>
      <c r="J1083" s="1538">
        <v>0</v>
      </c>
      <c r="K1083" s="1525"/>
      <c r="L1083" s="1519">
        <v>13089980000</v>
      </c>
      <c r="M1083" s="1520">
        <v>0</v>
      </c>
      <c r="N1083" s="1520">
        <v>0</v>
      </c>
      <c r="O1083" s="1520">
        <v>0</v>
      </c>
    </row>
    <row r="1084" spans="3:15" ht="13.5">
      <c r="C1084" s="1526" t="s">
        <v>5045</v>
      </c>
      <c r="D1084" s="1523">
        <v>0</v>
      </c>
      <c r="E1084" s="1523">
        <v>0</v>
      </c>
      <c r="F1084" s="1524">
        <v>0</v>
      </c>
      <c r="G1084" s="1537" t="s">
        <v>5045</v>
      </c>
      <c r="H1084" s="1521">
        <v>0</v>
      </c>
      <c r="I1084" s="1521">
        <v>1</v>
      </c>
      <c r="J1084" s="1538">
        <v>1</v>
      </c>
      <c r="K1084" s="1525"/>
      <c r="L1084" s="1519">
        <v>13091960100</v>
      </c>
      <c r="M1084" s="1520">
        <v>0</v>
      </c>
      <c r="N1084" s="1520">
        <v>1</v>
      </c>
      <c r="O1084" s="1520">
        <v>1</v>
      </c>
    </row>
    <row r="1085" spans="3:15" ht="13.5">
      <c r="C1085" s="1526" t="s">
        <v>5046</v>
      </c>
      <c r="D1085" s="1523">
        <v>0</v>
      </c>
      <c r="E1085" s="1523">
        <v>0</v>
      </c>
      <c r="F1085" s="1524">
        <v>0</v>
      </c>
      <c r="G1085" s="1537" t="s">
        <v>5046</v>
      </c>
      <c r="H1085" s="1521">
        <v>0</v>
      </c>
      <c r="I1085" s="1521">
        <v>0</v>
      </c>
      <c r="J1085" s="1538">
        <v>0</v>
      </c>
      <c r="K1085" s="1525"/>
      <c r="L1085" s="1519">
        <v>13091960200</v>
      </c>
      <c r="M1085" s="1520">
        <v>0</v>
      </c>
      <c r="N1085" s="1520">
        <v>0</v>
      </c>
      <c r="O1085" s="1520">
        <v>0</v>
      </c>
    </row>
    <row r="1086" spans="3:15" ht="13.5">
      <c r="C1086" s="1526" t="s">
        <v>5047</v>
      </c>
      <c r="D1086" s="1523">
        <v>0</v>
      </c>
      <c r="E1086" s="1523">
        <v>1</v>
      </c>
      <c r="F1086" s="1524">
        <v>1</v>
      </c>
      <c r="G1086" s="1537" t="s">
        <v>5047</v>
      </c>
      <c r="H1086" s="1521">
        <v>0</v>
      </c>
      <c r="I1086" s="1521">
        <v>1</v>
      </c>
      <c r="J1086" s="1538">
        <v>1</v>
      </c>
      <c r="K1086" s="1525"/>
      <c r="L1086" s="1519">
        <v>13091960300</v>
      </c>
      <c r="M1086" s="1520">
        <v>0</v>
      </c>
      <c r="N1086" s="1520">
        <v>1</v>
      </c>
      <c r="O1086" s="1520">
        <v>1</v>
      </c>
    </row>
    <row r="1087" spans="3:15" ht="13.5">
      <c r="C1087" s="1526" t="s">
        <v>5048</v>
      </c>
      <c r="D1087" s="1523">
        <v>0</v>
      </c>
      <c r="E1087" s="1523">
        <v>0</v>
      </c>
      <c r="F1087" s="1524">
        <v>0</v>
      </c>
      <c r="G1087" s="1537" t="s">
        <v>5048</v>
      </c>
      <c r="H1087" s="1521">
        <v>0</v>
      </c>
      <c r="I1087" s="1521">
        <v>0</v>
      </c>
      <c r="J1087" s="1538">
        <v>0</v>
      </c>
      <c r="K1087" s="1525"/>
      <c r="L1087" s="1519">
        <v>13091960400</v>
      </c>
      <c r="M1087" s="1520">
        <v>0</v>
      </c>
      <c r="N1087" s="1520">
        <v>0</v>
      </c>
      <c r="O1087" s="1520">
        <v>0</v>
      </c>
    </row>
    <row r="1088" spans="3:15" ht="13.5">
      <c r="C1088" s="1526" t="s">
        <v>5049</v>
      </c>
      <c r="D1088" s="1523">
        <v>0</v>
      </c>
      <c r="E1088" s="1523">
        <v>0</v>
      </c>
      <c r="F1088" s="1524">
        <v>0</v>
      </c>
      <c r="G1088" s="1537" t="s">
        <v>5049</v>
      </c>
      <c r="H1088" s="1521">
        <v>0</v>
      </c>
      <c r="I1088" s="1521" t="s">
        <v>4099</v>
      </c>
      <c r="J1088" s="1538">
        <v>0</v>
      </c>
      <c r="K1088" s="1525"/>
      <c r="L1088" s="1519">
        <v>13091960500</v>
      </c>
      <c r="M1088" s="1520">
        <v>0</v>
      </c>
      <c r="N1088" s="1520">
        <v>0</v>
      </c>
      <c r="O1088" s="1520">
        <v>0</v>
      </c>
    </row>
    <row r="1089" spans="3:15" ht="13.5">
      <c r="C1089" s="1526" t="s">
        <v>5050</v>
      </c>
      <c r="D1089" s="1523">
        <v>0</v>
      </c>
      <c r="E1089" s="1523">
        <v>0</v>
      </c>
      <c r="F1089" s="1524">
        <v>0</v>
      </c>
      <c r="G1089" s="1537" t="s">
        <v>5050</v>
      </c>
      <c r="H1089" s="1521">
        <v>0</v>
      </c>
      <c r="I1089" s="1521">
        <v>0</v>
      </c>
      <c r="J1089" s="1538">
        <v>0</v>
      </c>
      <c r="K1089" s="1525"/>
      <c r="L1089" s="1519">
        <v>13091960600</v>
      </c>
      <c r="M1089" s="1520">
        <v>0</v>
      </c>
      <c r="N1089" s="1520">
        <v>0</v>
      </c>
      <c r="O1089" s="1520">
        <v>0</v>
      </c>
    </row>
    <row r="1090" spans="3:15" ht="13.5">
      <c r="C1090" s="1526" t="s">
        <v>5051</v>
      </c>
      <c r="D1090" s="1523">
        <v>0</v>
      </c>
      <c r="E1090" s="1523">
        <v>0</v>
      </c>
      <c r="F1090" s="1524">
        <v>0</v>
      </c>
      <c r="G1090" s="1537" t="s">
        <v>5051</v>
      </c>
      <c r="H1090" s="1521">
        <v>0</v>
      </c>
      <c r="I1090" s="1521">
        <v>1</v>
      </c>
      <c r="J1090" s="1538">
        <v>1</v>
      </c>
      <c r="K1090" s="1525"/>
      <c r="L1090" s="1519">
        <v>13093970100</v>
      </c>
      <c r="M1090" s="1520">
        <v>0</v>
      </c>
      <c r="N1090" s="1520">
        <v>1</v>
      </c>
      <c r="O1090" s="1520">
        <v>1</v>
      </c>
    </row>
    <row r="1091" spans="3:15" ht="13.5">
      <c r="C1091" s="1526" t="s">
        <v>5052</v>
      </c>
      <c r="D1091" s="1523">
        <v>0</v>
      </c>
      <c r="E1091" s="1523">
        <v>0</v>
      </c>
      <c r="F1091" s="1524">
        <v>0</v>
      </c>
      <c r="G1091" s="1537" t="s">
        <v>5052</v>
      </c>
      <c r="H1091" s="1521">
        <v>0</v>
      </c>
      <c r="I1091" s="1521">
        <v>0</v>
      </c>
      <c r="J1091" s="1538">
        <v>0</v>
      </c>
      <c r="K1091" s="1525"/>
      <c r="L1091" s="1519">
        <v>13093970200</v>
      </c>
      <c r="M1091" s="1520">
        <v>0</v>
      </c>
      <c r="N1091" s="1520">
        <v>0</v>
      </c>
      <c r="O1091" s="1520">
        <v>0</v>
      </c>
    </row>
    <row r="1092" spans="3:15" ht="13.5">
      <c r="C1092" s="1526" t="s">
        <v>5053</v>
      </c>
      <c r="D1092" s="1523">
        <v>0</v>
      </c>
      <c r="E1092" s="1523">
        <v>0</v>
      </c>
      <c r="F1092" s="1524">
        <v>0</v>
      </c>
      <c r="G1092" s="1537" t="s">
        <v>5053</v>
      </c>
      <c r="H1092" s="1521">
        <v>0</v>
      </c>
      <c r="I1092" s="1521">
        <v>1</v>
      </c>
      <c r="J1092" s="1538">
        <v>1</v>
      </c>
      <c r="K1092" s="1525"/>
      <c r="L1092" s="1519">
        <v>13093970300</v>
      </c>
      <c r="M1092" s="1520">
        <v>0</v>
      </c>
      <c r="N1092" s="1520">
        <v>1</v>
      </c>
      <c r="O1092" s="1520">
        <v>1</v>
      </c>
    </row>
    <row r="1093" spans="3:15" ht="13.5">
      <c r="C1093" s="1526" t="s">
        <v>5054</v>
      </c>
      <c r="D1093" s="1523">
        <v>0</v>
      </c>
      <c r="E1093" s="1523">
        <v>0</v>
      </c>
      <c r="F1093" s="1524">
        <v>0</v>
      </c>
      <c r="G1093" s="1537" t="s">
        <v>5054</v>
      </c>
      <c r="H1093" s="1521">
        <v>0</v>
      </c>
      <c r="I1093" s="1521">
        <v>0</v>
      </c>
      <c r="J1093" s="1538">
        <v>0</v>
      </c>
      <c r="K1093" s="1525"/>
      <c r="L1093" s="1519">
        <v>13095000100</v>
      </c>
      <c r="M1093" s="1520">
        <v>0</v>
      </c>
      <c r="N1093" s="1520">
        <v>0</v>
      </c>
      <c r="O1093" s="1520">
        <v>0</v>
      </c>
    </row>
    <row r="1094" spans="3:15" ht="13.5">
      <c r="C1094" s="1526" t="s">
        <v>5055</v>
      </c>
      <c r="D1094" s="1523">
        <v>0</v>
      </c>
      <c r="E1094" s="1523">
        <v>0</v>
      </c>
      <c r="F1094" s="1524">
        <v>0</v>
      </c>
      <c r="G1094" s="1537" t="s">
        <v>5055</v>
      </c>
      <c r="H1094" s="1521">
        <v>0</v>
      </c>
      <c r="I1094" s="1521">
        <v>0</v>
      </c>
      <c r="J1094" s="1538">
        <v>0</v>
      </c>
      <c r="K1094" s="1525"/>
      <c r="L1094" s="1519">
        <v>13095000200</v>
      </c>
      <c r="M1094" s="1520">
        <v>0</v>
      </c>
      <c r="N1094" s="1520">
        <v>0</v>
      </c>
      <c r="O1094" s="1520">
        <v>0</v>
      </c>
    </row>
    <row r="1095" spans="3:15" ht="13.5">
      <c r="C1095" s="1526" t="s">
        <v>5056</v>
      </c>
      <c r="D1095" s="1523">
        <v>0</v>
      </c>
      <c r="E1095" s="1523">
        <v>0</v>
      </c>
      <c r="F1095" s="1524">
        <v>0</v>
      </c>
      <c r="G1095" s="1537" t="s">
        <v>5056</v>
      </c>
      <c r="H1095" s="1521">
        <v>0</v>
      </c>
      <c r="I1095" s="1521">
        <v>1</v>
      </c>
      <c r="J1095" s="1538">
        <v>1</v>
      </c>
      <c r="K1095" s="1525"/>
      <c r="L1095" s="1519">
        <v>13095000400</v>
      </c>
      <c r="M1095" s="1520">
        <v>0</v>
      </c>
      <c r="N1095" s="1520">
        <v>1</v>
      </c>
      <c r="O1095" s="1520">
        <v>1</v>
      </c>
    </row>
    <row r="1096" spans="3:15" ht="13.5">
      <c r="C1096" s="1526" t="s">
        <v>5057</v>
      </c>
      <c r="D1096" s="1523">
        <v>1</v>
      </c>
      <c r="E1096" s="1523">
        <v>0</v>
      </c>
      <c r="F1096" s="1524">
        <v>1</v>
      </c>
      <c r="G1096" s="1537" t="s">
        <v>5057</v>
      </c>
      <c r="H1096" s="1521">
        <v>1</v>
      </c>
      <c r="I1096" s="1521">
        <v>1</v>
      </c>
      <c r="J1096" s="1538">
        <v>2</v>
      </c>
      <c r="K1096" s="1525"/>
      <c r="L1096" s="1519">
        <v>13095000501</v>
      </c>
      <c r="M1096" s="1520">
        <v>1</v>
      </c>
      <c r="N1096" s="1520">
        <v>1</v>
      </c>
      <c r="O1096" s="1520">
        <v>2</v>
      </c>
    </row>
    <row r="1097" spans="3:15" ht="13.5">
      <c r="C1097" s="1526" t="s">
        <v>5058</v>
      </c>
      <c r="D1097" s="1523">
        <v>1</v>
      </c>
      <c r="E1097" s="1523">
        <v>1</v>
      </c>
      <c r="F1097" s="1524">
        <v>2</v>
      </c>
      <c r="G1097" s="1537" t="s">
        <v>5058</v>
      </c>
      <c r="H1097" s="1521">
        <v>1</v>
      </c>
      <c r="I1097" s="1521">
        <v>1</v>
      </c>
      <c r="J1097" s="1538">
        <v>2</v>
      </c>
      <c r="K1097" s="1525"/>
      <c r="L1097" s="1519">
        <v>13095000502</v>
      </c>
      <c r="M1097" s="1520">
        <v>1</v>
      </c>
      <c r="N1097" s="1520">
        <v>1</v>
      </c>
      <c r="O1097" s="1520">
        <v>2</v>
      </c>
    </row>
    <row r="1098" spans="3:15" ht="13.5">
      <c r="C1098" s="1526" t="s">
        <v>5059</v>
      </c>
      <c r="D1098" s="1523">
        <v>0</v>
      </c>
      <c r="E1098" s="1523">
        <v>0</v>
      </c>
      <c r="F1098" s="1524">
        <v>0</v>
      </c>
      <c r="G1098" s="1537" t="s">
        <v>5059</v>
      </c>
      <c r="H1098" s="1521">
        <v>0</v>
      </c>
      <c r="I1098" s="1521">
        <v>0</v>
      </c>
      <c r="J1098" s="1538">
        <v>0</v>
      </c>
      <c r="K1098" s="1525"/>
      <c r="L1098" s="1519">
        <v>13095000600</v>
      </c>
      <c r="M1098" s="1520">
        <v>0</v>
      </c>
      <c r="N1098" s="1520">
        <v>0</v>
      </c>
      <c r="O1098" s="1520">
        <v>0</v>
      </c>
    </row>
    <row r="1099" spans="3:15" ht="13.5">
      <c r="C1099" s="1526" t="s">
        <v>5060</v>
      </c>
      <c r="D1099" s="1523">
        <v>0</v>
      </c>
      <c r="E1099" s="1523">
        <v>0</v>
      </c>
      <c r="F1099" s="1524">
        <v>0</v>
      </c>
      <c r="G1099" s="1537" t="s">
        <v>5060</v>
      </c>
      <c r="H1099" s="1521">
        <v>1</v>
      </c>
      <c r="I1099" s="1521">
        <v>0</v>
      </c>
      <c r="J1099" s="1538">
        <v>1</v>
      </c>
      <c r="K1099" s="1525"/>
      <c r="L1099" s="1519">
        <v>13095000700</v>
      </c>
      <c r="M1099" s="1520">
        <v>1</v>
      </c>
      <c r="N1099" s="1520">
        <v>0</v>
      </c>
      <c r="O1099" s="1520">
        <v>1</v>
      </c>
    </row>
    <row r="1100" spans="3:15" ht="13.5">
      <c r="C1100" s="1526" t="s">
        <v>5061</v>
      </c>
      <c r="D1100" s="1523">
        <v>0</v>
      </c>
      <c r="E1100" s="1523">
        <v>0</v>
      </c>
      <c r="F1100" s="1524">
        <v>0</v>
      </c>
      <c r="G1100" s="1537" t="s">
        <v>5061</v>
      </c>
      <c r="H1100" s="1521">
        <v>0</v>
      </c>
      <c r="I1100" s="1521">
        <v>0</v>
      </c>
      <c r="J1100" s="1538">
        <v>0</v>
      </c>
      <c r="K1100" s="1525"/>
      <c r="L1100" s="1519">
        <v>13095000800</v>
      </c>
      <c r="M1100" s="1520">
        <v>0</v>
      </c>
      <c r="N1100" s="1520">
        <v>0</v>
      </c>
      <c r="O1100" s="1520">
        <v>0</v>
      </c>
    </row>
    <row r="1101" spans="3:15" ht="13.5">
      <c r="C1101" s="1526" t="s">
        <v>5062</v>
      </c>
      <c r="D1101" s="1523">
        <v>0</v>
      </c>
      <c r="E1101" s="1523">
        <v>0</v>
      </c>
      <c r="F1101" s="1524">
        <v>0</v>
      </c>
      <c r="G1101" s="1537" t="s">
        <v>5062</v>
      </c>
      <c r="H1101" s="1521">
        <v>0</v>
      </c>
      <c r="I1101" s="1521">
        <v>0</v>
      </c>
      <c r="J1101" s="1538">
        <v>0</v>
      </c>
      <c r="K1101" s="1525"/>
      <c r="L1101" s="1519">
        <v>13095000900</v>
      </c>
      <c r="M1101" s="1520">
        <v>0</v>
      </c>
      <c r="N1101" s="1520">
        <v>0</v>
      </c>
      <c r="O1101" s="1520">
        <v>0</v>
      </c>
    </row>
    <row r="1102" spans="3:15" ht="13.5">
      <c r="C1102" s="1526" t="s">
        <v>5063</v>
      </c>
      <c r="D1102" s="1523">
        <v>0</v>
      </c>
      <c r="E1102" s="1523">
        <v>0</v>
      </c>
      <c r="F1102" s="1524">
        <v>0</v>
      </c>
      <c r="G1102" s="1537" t="s">
        <v>5063</v>
      </c>
      <c r="H1102" s="1521">
        <v>0</v>
      </c>
      <c r="I1102" s="1521">
        <v>0</v>
      </c>
      <c r="J1102" s="1538">
        <v>0</v>
      </c>
      <c r="K1102" s="1525"/>
      <c r="L1102" s="1519">
        <v>13095001000</v>
      </c>
      <c r="M1102" s="1520">
        <v>0</v>
      </c>
      <c r="N1102" s="1520">
        <v>0</v>
      </c>
      <c r="O1102" s="1520">
        <v>0</v>
      </c>
    </row>
    <row r="1103" spans="3:15" ht="13.5">
      <c r="C1103" s="1526" t="s">
        <v>5064</v>
      </c>
      <c r="D1103" s="1523">
        <v>0</v>
      </c>
      <c r="E1103" s="1523">
        <v>0</v>
      </c>
      <c r="F1103" s="1524">
        <v>0</v>
      </c>
      <c r="G1103" s="1537" t="s">
        <v>5064</v>
      </c>
      <c r="H1103" s="1521">
        <v>0</v>
      </c>
      <c r="I1103" s="1521">
        <v>0</v>
      </c>
      <c r="J1103" s="1538">
        <v>0</v>
      </c>
      <c r="K1103" s="1525"/>
      <c r="L1103" s="1519">
        <v>13095001100</v>
      </c>
      <c r="M1103" s="1520">
        <v>0</v>
      </c>
      <c r="N1103" s="1520">
        <v>0</v>
      </c>
      <c r="O1103" s="1520">
        <v>0</v>
      </c>
    </row>
    <row r="1104" spans="3:15" ht="13.5">
      <c r="C1104" s="1526" t="s">
        <v>5065</v>
      </c>
      <c r="D1104" s="1523">
        <v>0</v>
      </c>
      <c r="E1104" s="1523">
        <v>0</v>
      </c>
      <c r="F1104" s="1524">
        <v>0</v>
      </c>
      <c r="G1104" s="1537" t="s">
        <v>5065</v>
      </c>
      <c r="H1104" s="1521">
        <v>0</v>
      </c>
      <c r="I1104" s="1521" t="s">
        <v>4099</v>
      </c>
      <c r="J1104" s="1538">
        <v>0</v>
      </c>
      <c r="K1104" s="1525"/>
      <c r="L1104" s="1519">
        <v>13095001403</v>
      </c>
      <c r="M1104" s="1520">
        <v>0</v>
      </c>
      <c r="N1104" s="1520">
        <v>0</v>
      </c>
      <c r="O1104" s="1520">
        <v>0</v>
      </c>
    </row>
    <row r="1105" spans="3:15" ht="13.5">
      <c r="C1105" s="1526" t="s">
        <v>5066</v>
      </c>
      <c r="D1105" s="1523">
        <v>0</v>
      </c>
      <c r="E1105" s="1523">
        <v>0</v>
      </c>
      <c r="F1105" s="1524">
        <v>0</v>
      </c>
      <c r="G1105" s="1537" t="s">
        <v>5066</v>
      </c>
      <c r="H1105" s="1521">
        <v>0</v>
      </c>
      <c r="I1105" s="1521">
        <v>0</v>
      </c>
      <c r="J1105" s="1538">
        <v>0</v>
      </c>
      <c r="K1105" s="1525"/>
      <c r="L1105" s="1519">
        <v>13095001500</v>
      </c>
      <c r="M1105" s="1520">
        <v>0</v>
      </c>
      <c r="N1105" s="1520">
        <v>0</v>
      </c>
      <c r="O1105" s="1520">
        <v>0</v>
      </c>
    </row>
    <row r="1106" spans="3:15" ht="13.5">
      <c r="C1106" s="1526" t="s">
        <v>5067</v>
      </c>
      <c r="D1106" s="1523">
        <v>0</v>
      </c>
      <c r="E1106" s="1523">
        <v>0</v>
      </c>
      <c r="F1106" s="1524">
        <v>0</v>
      </c>
      <c r="G1106" s="1537" t="s">
        <v>5067</v>
      </c>
      <c r="H1106" s="1521">
        <v>0</v>
      </c>
      <c r="I1106" s="1521">
        <v>0</v>
      </c>
      <c r="J1106" s="1538">
        <v>0</v>
      </c>
      <c r="K1106" s="1525"/>
      <c r="L1106" s="1519">
        <v>13095010302</v>
      </c>
      <c r="M1106" s="1520">
        <v>0</v>
      </c>
      <c r="N1106" s="1520">
        <v>0</v>
      </c>
      <c r="O1106" s="1520">
        <v>0</v>
      </c>
    </row>
    <row r="1107" spans="3:15" ht="13.5">
      <c r="C1107" s="1526" t="s">
        <v>5068</v>
      </c>
      <c r="D1107" s="1523">
        <v>1</v>
      </c>
      <c r="E1107" s="1523">
        <v>1</v>
      </c>
      <c r="F1107" s="1524">
        <v>2</v>
      </c>
      <c r="G1107" s="1537" t="s">
        <v>5068</v>
      </c>
      <c r="H1107" s="1521">
        <v>1</v>
      </c>
      <c r="I1107" s="1521">
        <v>1</v>
      </c>
      <c r="J1107" s="1538">
        <v>2</v>
      </c>
      <c r="K1107" s="1525"/>
      <c r="L1107" s="1519">
        <v>13095010401</v>
      </c>
      <c r="M1107" s="1520">
        <v>1</v>
      </c>
      <c r="N1107" s="1520">
        <v>1</v>
      </c>
      <c r="O1107" s="1520">
        <v>2</v>
      </c>
    </row>
    <row r="1108" spans="3:15" ht="13.5">
      <c r="C1108" s="1526" t="s">
        <v>5069</v>
      </c>
      <c r="D1108" s="1523">
        <v>0</v>
      </c>
      <c r="E1108" s="1523">
        <v>0</v>
      </c>
      <c r="F1108" s="1524">
        <v>0</v>
      </c>
      <c r="G1108" s="1537" t="s">
        <v>5069</v>
      </c>
      <c r="H1108" s="1521">
        <v>0</v>
      </c>
      <c r="I1108" s="1521">
        <v>1</v>
      </c>
      <c r="J1108" s="1538">
        <v>1</v>
      </c>
      <c r="K1108" s="1525"/>
      <c r="L1108" s="1519">
        <v>13095010402</v>
      </c>
      <c r="M1108" s="1520">
        <v>0</v>
      </c>
      <c r="N1108" s="1520">
        <v>1</v>
      </c>
      <c r="O1108" s="1520">
        <v>1</v>
      </c>
    </row>
    <row r="1109" spans="3:15" ht="13.5">
      <c r="C1109" s="1526" t="s">
        <v>5070</v>
      </c>
      <c r="D1109" s="1523">
        <v>1</v>
      </c>
      <c r="E1109" s="1523">
        <v>1</v>
      </c>
      <c r="F1109" s="1524">
        <v>2</v>
      </c>
      <c r="G1109" s="1537" t="s">
        <v>5070</v>
      </c>
      <c r="H1109" s="1521">
        <v>1</v>
      </c>
      <c r="I1109" s="1521">
        <v>0</v>
      </c>
      <c r="J1109" s="1538">
        <v>1</v>
      </c>
      <c r="K1109" s="1525"/>
      <c r="L1109" s="1519">
        <v>13095010403</v>
      </c>
      <c r="M1109" s="1520">
        <v>1</v>
      </c>
      <c r="N1109" s="1520">
        <v>1</v>
      </c>
      <c r="O1109" s="1520">
        <v>2</v>
      </c>
    </row>
    <row r="1110" spans="3:15" ht="13.5">
      <c r="C1110" s="1526" t="s">
        <v>5071</v>
      </c>
      <c r="D1110" s="1523">
        <v>0</v>
      </c>
      <c r="E1110" s="1523">
        <v>0</v>
      </c>
      <c r="F1110" s="1524">
        <v>0</v>
      </c>
      <c r="G1110" s="1537" t="s">
        <v>5071</v>
      </c>
      <c r="H1110" s="1521">
        <v>0</v>
      </c>
      <c r="I1110" s="1521">
        <v>0</v>
      </c>
      <c r="J1110" s="1538">
        <v>0</v>
      </c>
      <c r="K1110" s="1525"/>
      <c r="L1110" s="1519">
        <v>13095010500</v>
      </c>
      <c r="M1110" s="1520">
        <v>0</v>
      </c>
      <c r="N1110" s="1520">
        <v>0</v>
      </c>
      <c r="O1110" s="1520">
        <v>0</v>
      </c>
    </row>
    <row r="1111" spans="3:15" ht="13.5">
      <c r="C1111" s="1526" t="s">
        <v>5072</v>
      </c>
      <c r="D1111" s="1523">
        <v>0</v>
      </c>
      <c r="E1111" s="1523">
        <v>0</v>
      </c>
      <c r="F1111" s="1524">
        <v>0</v>
      </c>
      <c r="G1111" s="1537" t="s">
        <v>5072</v>
      </c>
      <c r="H1111" s="1521">
        <v>0</v>
      </c>
      <c r="I1111" s="1521">
        <v>0</v>
      </c>
      <c r="J1111" s="1538">
        <v>0</v>
      </c>
      <c r="K1111" s="1525"/>
      <c r="L1111" s="1519">
        <v>13095010601</v>
      </c>
      <c r="M1111" s="1520">
        <v>0</v>
      </c>
      <c r="N1111" s="1520">
        <v>0</v>
      </c>
      <c r="O1111" s="1520">
        <v>0</v>
      </c>
    </row>
    <row r="1112" spans="3:15" ht="13.5">
      <c r="C1112" s="1526" t="s">
        <v>5073</v>
      </c>
      <c r="D1112" s="1523">
        <v>0</v>
      </c>
      <c r="E1112" s="1523">
        <v>0</v>
      </c>
      <c r="F1112" s="1524">
        <v>0</v>
      </c>
      <c r="G1112" s="1537" t="s">
        <v>5073</v>
      </c>
      <c r="H1112" s="1521">
        <v>0</v>
      </c>
      <c r="I1112" s="1521">
        <v>0</v>
      </c>
      <c r="J1112" s="1538">
        <v>0</v>
      </c>
      <c r="K1112" s="1525"/>
      <c r="L1112" s="1519">
        <v>13095010602</v>
      </c>
      <c r="M1112" s="1520">
        <v>0</v>
      </c>
      <c r="N1112" s="1520">
        <v>0</v>
      </c>
      <c r="O1112" s="1520">
        <v>0</v>
      </c>
    </row>
    <row r="1113" spans="3:15" ht="13.5">
      <c r="C1113" s="1526" t="s">
        <v>5074</v>
      </c>
      <c r="D1113" s="1523">
        <v>0</v>
      </c>
      <c r="E1113" s="1523">
        <v>0</v>
      </c>
      <c r="F1113" s="1524">
        <v>0</v>
      </c>
      <c r="G1113" s="1537" t="s">
        <v>5074</v>
      </c>
      <c r="H1113" s="1521">
        <v>0</v>
      </c>
      <c r="I1113" s="1521">
        <v>0</v>
      </c>
      <c r="J1113" s="1538">
        <v>0</v>
      </c>
      <c r="K1113" s="1525"/>
      <c r="L1113" s="1519">
        <v>13095010700</v>
      </c>
      <c r="M1113" s="1520">
        <v>0</v>
      </c>
      <c r="N1113" s="1520">
        <v>0</v>
      </c>
      <c r="O1113" s="1520">
        <v>0</v>
      </c>
    </row>
    <row r="1114" spans="3:15" ht="13.5">
      <c r="C1114" s="1526" t="s">
        <v>5075</v>
      </c>
      <c r="D1114" s="1523">
        <v>0</v>
      </c>
      <c r="E1114" s="1523">
        <v>0</v>
      </c>
      <c r="F1114" s="1524">
        <v>0</v>
      </c>
      <c r="G1114" s="1537" t="s">
        <v>5075</v>
      </c>
      <c r="H1114" s="1521">
        <v>0</v>
      </c>
      <c r="I1114" s="1521">
        <v>1</v>
      </c>
      <c r="J1114" s="1538">
        <v>1</v>
      </c>
      <c r="K1114" s="1525"/>
      <c r="L1114" s="1519">
        <v>13095010900</v>
      </c>
      <c r="M1114" s="1520">
        <v>0</v>
      </c>
      <c r="N1114" s="1520">
        <v>1</v>
      </c>
      <c r="O1114" s="1520">
        <v>1</v>
      </c>
    </row>
    <row r="1115" spans="3:15" ht="13.5">
      <c r="C1115" s="1526" t="s">
        <v>5076</v>
      </c>
      <c r="D1115" s="1523">
        <v>0</v>
      </c>
      <c r="E1115" s="1523">
        <v>0</v>
      </c>
      <c r="F1115" s="1524">
        <v>0</v>
      </c>
      <c r="G1115" s="1537" t="s">
        <v>5076</v>
      </c>
      <c r="H1115" s="1521">
        <v>0</v>
      </c>
      <c r="I1115" s="1521">
        <v>0</v>
      </c>
      <c r="J1115" s="1538">
        <v>0</v>
      </c>
      <c r="K1115" s="1525"/>
      <c r="L1115" s="1519">
        <v>13095011000</v>
      </c>
      <c r="M1115" s="1520">
        <v>0</v>
      </c>
      <c r="N1115" s="1520">
        <v>0</v>
      </c>
      <c r="O1115" s="1520">
        <v>0</v>
      </c>
    </row>
    <row r="1116" spans="3:15" ht="13.5">
      <c r="C1116" s="1526" t="s">
        <v>5077</v>
      </c>
      <c r="D1116" s="1523">
        <v>0</v>
      </c>
      <c r="E1116" s="1523">
        <v>0</v>
      </c>
      <c r="F1116" s="1524">
        <v>0</v>
      </c>
      <c r="G1116" s="1537" t="s">
        <v>5077</v>
      </c>
      <c r="H1116" s="1521">
        <v>0</v>
      </c>
      <c r="I1116" s="1521">
        <v>0</v>
      </c>
      <c r="J1116" s="1538">
        <v>0</v>
      </c>
      <c r="K1116" s="1525"/>
      <c r="L1116" s="1519">
        <v>13095011200</v>
      </c>
      <c r="M1116" s="1520">
        <v>0</v>
      </c>
      <c r="N1116" s="1520">
        <v>0</v>
      </c>
      <c r="O1116" s="1520">
        <v>0</v>
      </c>
    </row>
    <row r="1117" spans="3:15" ht="13.5">
      <c r="C1117" s="1526" t="s">
        <v>5078</v>
      </c>
      <c r="D1117" s="1523">
        <v>0</v>
      </c>
      <c r="E1117" s="1523">
        <v>0</v>
      </c>
      <c r="F1117" s="1524">
        <v>0</v>
      </c>
      <c r="G1117" s="1537" t="s">
        <v>5078</v>
      </c>
      <c r="H1117" s="1521">
        <v>0</v>
      </c>
      <c r="I1117" s="1521">
        <v>0</v>
      </c>
      <c r="J1117" s="1538">
        <v>0</v>
      </c>
      <c r="K1117" s="1525"/>
      <c r="L1117" s="1519">
        <v>13095011300</v>
      </c>
      <c r="M1117" s="1520">
        <v>0</v>
      </c>
      <c r="N1117" s="1520">
        <v>0</v>
      </c>
      <c r="O1117" s="1520">
        <v>0</v>
      </c>
    </row>
    <row r="1118" spans="3:15" ht="13.5">
      <c r="C1118" s="1526" t="s">
        <v>5079</v>
      </c>
      <c r="D1118" s="1523">
        <v>0</v>
      </c>
      <c r="E1118" s="1523">
        <v>0</v>
      </c>
      <c r="F1118" s="1524">
        <v>0</v>
      </c>
      <c r="G1118" s="1537" t="s">
        <v>5079</v>
      </c>
      <c r="H1118" s="1521">
        <v>0</v>
      </c>
      <c r="I1118" s="1521">
        <v>0</v>
      </c>
      <c r="J1118" s="1538">
        <v>0</v>
      </c>
      <c r="K1118" s="1525"/>
      <c r="L1118" s="1519">
        <v>13095011400</v>
      </c>
      <c r="M1118" s="1520">
        <v>0</v>
      </c>
      <c r="N1118" s="1520">
        <v>0</v>
      </c>
      <c r="O1118" s="1520">
        <v>0</v>
      </c>
    </row>
    <row r="1119" spans="3:15" ht="13.5">
      <c r="C1119" s="1526" t="s">
        <v>5080</v>
      </c>
      <c r="D1119" s="1523">
        <v>0</v>
      </c>
      <c r="E1119" s="1523">
        <v>1</v>
      </c>
      <c r="F1119" s="1524">
        <v>1</v>
      </c>
      <c r="G1119" s="1537" t="s">
        <v>5080</v>
      </c>
      <c r="H1119" s="1521">
        <v>0</v>
      </c>
      <c r="I1119" s="1521">
        <v>0</v>
      </c>
      <c r="J1119" s="1538">
        <v>0</v>
      </c>
      <c r="K1119" s="1525"/>
      <c r="L1119" s="1519">
        <v>13095011600</v>
      </c>
      <c r="M1119" s="1520">
        <v>0</v>
      </c>
      <c r="N1119" s="1520">
        <v>1</v>
      </c>
      <c r="O1119" s="1520">
        <v>1</v>
      </c>
    </row>
    <row r="1120" spans="3:15" ht="13.5">
      <c r="C1120" s="1526" t="s">
        <v>5081</v>
      </c>
      <c r="D1120" s="1523">
        <v>0</v>
      </c>
      <c r="E1120" s="1523">
        <v>1</v>
      </c>
      <c r="F1120" s="1524">
        <v>1</v>
      </c>
      <c r="G1120" s="1537" t="s">
        <v>5081</v>
      </c>
      <c r="H1120" s="1521">
        <v>1</v>
      </c>
      <c r="I1120" s="1521">
        <v>1</v>
      </c>
      <c r="J1120" s="1538">
        <v>2</v>
      </c>
      <c r="K1120" s="1525"/>
      <c r="L1120" s="1519">
        <v>13097080102</v>
      </c>
      <c r="M1120" s="1520">
        <v>1</v>
      </c>
      <c r="N1120" s="1520">
        <v>1</v>
      </c>
      <c r="O1120" s="1520">
        <v>2</v>
      </c>
    </row>
    <row r="1121" spans="3:15" ht="13.5">
      <c r="C1121" s="1526" t="s">
        <v>5082</v>
      </c>
      <c r="D1121" s="1523">
        <v>0</v>
      </c>
      <c r="E1121" s="1523">
        <v>0</v>
      </c>
      <c r="F1121" s="1524">
        <v>0</v>
      </c>
      <c r="G1121" s="1537" t="s">
        <v>5082</v>
      </c>
      <c r="H1121" s="1521">
        <v>1</v>
      </c>
      <c r="I1121" s="1521">
        <v>0</v>
      </c>
      <c r="J1121" s="1538">
        <v>1</v>
      </c>
      <c r="K1121" s="1525"/>
      <c r="L1121" s="1519">
        <v>13097080103</v>
      </c>
      <c r="M1121" s="1520">
        <v>1</v>
      </c>
      <c r="N1121" s="1520">
        <v>0</v>
      </c>
      <c r="O1121" s="1520">
        <v>1</v>
      </c>
    </row>
    <row r="1122" spans="3:15" ht="13.5">
      <c r="C1122" s="1526" t="s">
        <v>5083</v>
      </c>
      <c r="D1122" s="1523">
        <v>0</v>
      </c>
      <c r="E1122" s="1523">
        <v>1</v>
      </c>
      <c r="F1122" s="1524">
        <v>1</v>
      </c>
      <c r="G1122" s="1537" t="s">
        <v>5083</v>
      </c>
      <c r="H1122" s="1521">
        <v>0</v>
      </c>
      <c r="I1122" s="1521">
        <v>0</v>
      </c>
      <c r="J1122" s="1538">
        <v>0</v>
      </c>
      <c r="K1122" s="1525"/>
      <c r="L1122" s="1519">
        <v>13097080201</v>
      </c>
      <c r="M1122" s="1520">
        <v>0</v>
      </c>
      <c r="N1122" s="1520">
        <v>1</v>
      </c>
      <c r="O1122" s="1520">
        <v>1</v>
      </c>
    </row>
    <row r="1123" spans="3:15" ht="13.5">
      <c r="C1123" s="1526" t="s">
        <v>5084</v>
      </c>
      <c r="D1123" s="1523">
        <v>0</v>
      </c>
      <c r="E1123" s="1523">
        <v>0</v>
      </c>
      <c r="F1123" s="1524">
        <v>0</v>
      </c>
      <c r="G1123" s="1537" t="s">
        <v>5084</v>
      </c>
      <c r="H1123" s="1521">
        <v>0</v>
      </c>
      <c r="I1123" s="1521">
        <v>0</v>
      </c>
      <c r="J1123" s="1538">
        <v>0</v>
      </c>
      <c r="K1123" s="1525"/>
      <c r="L1123" s="1519">
        <v>13097080202</v>
      </c>
      <c r="M1123" s="1520">
        <v>0</v>
      </c>
      <c r="N1123" s="1520">
        <v>0</v>
      </c>
      <c r="O1123" s="1520">
        <v>0</v>
      </c>
    </row>
    <row r="1124" spans="3:15" ht="13.5">
      <c r="C1124" s="1526" t="s">
        <v>5085</v>
      </c>
      <c r="D1124" s="1523">
        <v>0</v>
      </c>
      <c r="E1124" s="1523">
        <v>0</v>
      </c>
      <c r="F1124" s="1524">
        <v>0</v>
      </c>
      <c r="G1124" s="1537" t="s">
        <v>5085</v>
      </c>
      <c r="H1124" s="1521">
        <v>0</v>
      </c>
      <c r="I1124" s="1521">
        <v>0</v>
      </c>
      <c r="J1124" s="1538">
        <v>0</v>
      </c>
      <c r="K1124" s="1525"/>
      <c r="L1124" s="1519">
        <v>13097080301</v>
      </c>
      <c r="M1124" s="1520">
        <v>0</v>
      </c>
      <c r="N1124" s="1520">
        <v>0</v>
      </c>
      <c r="O1124" s="1520">
        <v>0</v>
      </c>
    </row>
    <row r="1125" spans="3:15" ht="13.5">
      <c r="C1125" s="1526" t="s">
        <v>5086</v>
      </c>
      <c r="D1125" s="1523">
        <v>0</v>
      </c>
      <c r="E1125" s="1523">
        <v>0</v>
      </c>
      <c r="F1125" s="1524">
        <v>0</v>
      </c>
      <c r="G1125" s="1537" t="s">
        <v>5086</v>
      </c>
      <c r="H1125" s="1521">
        <v>1</v>
      </c>
      <c r="I1125" s="1521">
        <v>0</v>
      </c>
      <c r="J1125" s="1538">
        <v>1</v>
      </c>
      <c r="K1125" s="1525"/>
      <c r="L1125" s="1519">
        <v>13097080303</v>
      </c>
      <c r="M1125" s="1520">
        <v>1</v>
      </c>
      <c r="N1125" s="1520">
        <v>0</v>
      </c>
      <c r="O1125" s="1520">
        <v>1</v>
      </c>
    </row>
    <row r="1126" spans="3:15" ht="13.5">
      <c r="C1126" s="1526" t="s">
        <v>5087</v>
      </c>
      <c r="D1126" s="1523">
        <v>0</v>
      </c>
      <c r="E1126" s="1523">
        <v>0</v>
      </c>
      <c r="F1126" s="1524">
        <v>0</v>
      </c>
      <c r="G1126" s="1537" t="s">
        <v>5087</v>
      </c>
      <c r="H1126" s="1521">
        <v>0</v>
      </c>
      <c r="I1126" s="1521">
        <v>0</v>
      </c>
      <c r="J1126" s="1538">
        <v>0</v>
      </c>
      <c r="K1126" s="1525"/>
      <c r="L1126" s="1519">
        <v>13097080304</v>
      </c>
      <c r="M1126" s="1520">
        <v>0</v>
      </c>
      <c r="N1126" s="1520">
        <v>0</v>
      </c>
      <c r="O1126" s="1520">
        <v>0</v>
      </c>
    </row>
    <row r="1127" spans="3:15" ht="13.5">
      <c r="C1127" s="1526" t="s">
        <v>5088</v>
      </c>
      <c r="D1127" s="1523">
        <v>1</v>
      </c>
      <c r="E1127" s="1523">
        <v>1</v>
      </c>
      <c r="F1127" s="1524">
        <v>2</v>
      </c>
      <c r="G1127" s="1537" t="s">
        <v>5088</v>
      </c>
      <c r="H1127" s="1521">
        <v>1</v>
      </c>
      <c r="I1127" s="1521">
        <v>1</v>
      </c>
      <c r="J1127" s="1538">
        <v>2</v>
      </c>
      <c r="K1127" s="1525"/>
      <c r="L1127" s="1519">
        <v>13097080402</v>
      </c>
      <c r="M1127" s="1520">
        <v>1</v>
      </c>
      <c r="N1127" s="1520">
        <v>1</v>
      </c>
      <c r="O1127" s="1520">
        <v>2</v>
      </c>
    </row>
    <row r="1128" spans="3:15" ht="13.5">
      <c r="C1128" s="1526" t="s">
        <v>5089</v>
      </c>
      <c r="D1128" s="1523">
        <v>1</v>
      </c>
      <c r="E1128" s="1523">
        <v>1</v>
      </c>
      <c r="F1128" s="1524">
        <v>2</v>
      </c>
      <c r="G1128" s="1537" t="s">
        <v>5089</v>
      </c>
      <c r="H1128" s="1521">
        <v>1</v>
      </c>
      <c r="I1128" s="1521">
        <v>1</v>
      </c>
      <c r="J1128" s="1538">
        <v>2</v>
      </c>
      <c r="K1128" s="1525"/>
      <c r="L1128" s="1519">
        <v>13097080403</v>
      </c>
      <c r="M1128" s="1520">
        <v>1</v>
      </c>
      <c r="N1128" s="1520">
        <v>1</v>
      </c>
      <c r="O1128" s="1520">
        <v>2</v>
      </c>
    </row>
    <row r="1129" spans="3:15" ht="13.5">
      <c r="C1129" s="1526" t="s">
        <v>5090</v>
      </c>
      <c r="D1129" s="1523">
        <v>0</v>
      </c>
      <c r="E1129" s="1523">
        <v>0</v>
      </c>
      <c r="F1129" s="1524">
        <v>0</v>
      </c>
      <c r="G1129" s="1537" t="s">
        <v>5090</v>
      </c>
      <c r="H1129" s="1521">
        <v>0</v>
      </c>
      <c r="I1129" s="1521">
        <v>0</v>
      </c>
      <c r="J1129" s="1538">
        <v>0</v>
      </c>
      <c r="K1129" s="1525"/>
      <c r="L1129" s="1519">
        <v>13097080404</v>
      </c>
      <c r="M1129" s="1520">
        <v>0</v>
      </c>
      <c r="N1129" s="1520">
        <v>0</v>
      </c>
      <c r="O1129" s="1520">
        <v>0</v>
      </c>
    </row>
    <row r="1130" spans="3:15" ht="13.5">
      <c r="C1130" s="1526" t="s">
        <v>5091</v>
      </c>
      <c r="D1130" s="1523">
        <v>0</v>
      </c>
      <c r="E1130" s="1523">
        <v>1</v>
      </c>
      <c r="F1130" s="1524">
        <v>1</v>
      </c>
      <c r="G1130" s="1537" t="s">
        <v>5091</v>
      </c>
      <c r="H1130" s="1521">
        <v>0</v>
      </c>
      <c r="I1130" s="1521">
        <v>0</v>
      </c>
      <c r="J1130" s="1538">
        <v>0</v>
      </c>
      <c r="K1130" s="1525"/>
      <c r="L1130" s="1519">
        <v>13097080505</v>
      </c>
      <c r="M1130" s="1520">
        <v>0</v>
      </c>
      <c r="N1130" s="1520">
        <v>1</v>
      </c>
      <c r="O1130" s="1520">
        <v>1</v>
      </c>
    </row>
    <row r="1131" spans="3:15" ht="13.5">
      <c r="C1131" s="1526" t="s">
        <v>5092</v>
      </c>
      <c r="D1131" s="1523">
        <v>1</v>
      </c>
      <c r="E1131" s="1523">
        <v>1</v>
      </c>
      <c r="F1131" s="1524">
        <v>2</v>
      </c>
      <c r="G1131" s="1537" t="s">
        <v>5092</v>
      </c>
      <c r="H1131" s="1521">
        <v>0</v>
      </c>
      <c r="I1131" s="1521">
        <v>0</v>
      </c>
      <c r="J1131" s="1538">
        <v>0</v>
      </c>
      <c r="K1131" s="1525"/>
      <c r="L1131" s="1519">
        <v>13097080506</v>
      </c>
      <c r="M1131" s="1520">
        <v>1</v>
      </c>
      <c r="N1131" s="1520">
        <v>1</v>
      </c>
      <c r="O1131" s="1520">
        <v>2</v>
      </c>
    </row>
    <row r="1132" spans="3:15" ht="13.5">
      <c r="C1132" s="1526" t="s">
        <v>5093</v>
      </c>
      <c r="D1132" s="1523">
        <v>1</v>
      </c>
      <c r="E1132" s="1523">
        <v>1</v>
      </c>
      <c r="F1132" s="1524">
        <v>2</v>
      </c>
      <c r="G1132" s="1537" t="s">
        <v>5093</v>
      </c>
      <c r="H1132" s="1521">
        <v>1</v>
      </c>
      <c r="I1132" s="1521">
        <v>0</v>
      </c>
      <c r="J1132" s="1538">
        <v>1</v>
      </c>
      <c r="K1132" s="1525"/>
      <c r="L1132" s="1519">
        <v>13097080507</v>
      </c>
      <c r="M1132" s="1520">
        <v>1</v>
      </c>
      <c r="N1132" s="1520">
        <v>1</v>
      </c>
      <c r="O1132" s="1520">
        <v>2</v>
      </c>
    </row>
    <row r="1133" spans="3:15" ht="13.5">
      <c r="C1133" s="1526" t="s">
        <v>5094</v>
      </c>
      <c r="D1133" s="1523">
        <v>0</v>
      </c>
      <c r="E1133" s="1523">
        <v>1</v>
      </c>
      <c r="F1133" s="1524">
        <v>1</v>
      </c>
      <c r="G1133" s="1537" t="s">
        <v>5094</v>
      </c>
      <c r="H1133" s="1521">
        <v>0</v>
      </c>
      <c r="I1133" s="1521">
        <v>0</v>
      </c>
      <c r="J1133" s="1538">
        <v>0</v>
      </c>
      <c r="K1133" s="1525"/>
      <c r="L1133" s="1519">
        <v>13097080508</v>
      </c>
      <c r="M1133" s="1520">
        <v>0</v>
      </c>
      <c r="N1133" s="1520">
        <v>1</v>
      </c>
      <c r="O1133" s="1520">
        <v>1</v>
      </c>
    </row>
    <row r="1134" spans="3:15" ht="13.5">
      <c r="C1134" s="1526" t="s">
        <v>5095</v>
      </c>
      <c r="D1134" s="1523">
        <v>1</v>
      </c>
      <c r="E1134" s="1523">
        <v>1</v>
      </c>
      <c r="F1134" s="1524">
        <v>2</v>
      </c>
      <c r="G1134" s="1537" t="s">
        <v>5095</v>
      </c>
      <c r="H1134" s="1521">
        <v>1</v>
      </c>
      <c r="I1134" s="1521">
        <v>1</v>
      </c>
      <c r="J1134" s="1538">
        <v>2</v>
      </c>
      <c r="K1134" s="1525"/>
      <c r="L1134" s="1519">
        <v>13097080509</v>
      </c>
      <c r="M1134" s="1520">
        <v>1</v>
      </c>
      <c r="N1134" s="1520">
        <v>1</v>
      </c>
      <c r="O1134" s="1520">
        <v>2</v>
      </c>
    </row>
    <row r="1135" spans="3:15" ht="13.5">
      <c r="C1135" s="1526" t="s">
        <v>5096</v>
      </c>
      <c r="D1135" s="1523">
        <v>1</v>
      </c>
      <c r="E1135" s="1523">
        <v>1</v>
      </c>
      <c r="F1135" s="1524">
        <v>2</v>
      </c>
      <c r="G1135" s="1537" t="s">
        <v>5096</v>
      </c>
      <c r="H1135" s="1521">
        <v>0</v>
      </c>
      <c r="I1135" s="1521">
        <v>1</v>
      </c>
      <c r="J1135" s="1538">
        <v>1</v>
      </c>
      <c r="K1135" s="1525"/>
      <c r="L1135" s="1519">
        <v>13097080510</v>
      </c>
      <c r="M1135" s="1520">
        <v>1</v>
      </c>
      <c r="N1135" s="1520">
        <v>1</v>
      </c>
      <c r="O1135" s="1520">
        <v>2</v>
      </c>
    </row>
    <row r="1136" spans="3:15" ht="13.5">
      <c r="C1136" s="1526" t="s">
        <v>5097</v>
      </c>
      <c r="D1136" s="1523">
        <v>1</v>
      </c>
      <c r="E1136" s="1523">
        <v>1</v>
      </c>
      <c r="F1136" s="1524">
        <v>2</v>
      </c>
      <c r="G1136" s="1537" t="s">
        <v>5097</v>
      </c>
      <c r="H1136" s="1521">
        <v>1</v>
      </c>
      <c r="I1136" s="1521">
        <v>1</v>
      </c>
      <c r="J1136" s="1538">
        <v>2</v>
      </c>
      <c r="K1136" s="1525"/>
      <c r="L1136" s="1519">
        <v>13097080511</v>
      </c>
      <c r="M1136" s="1520">
        <v>1</v>
      </c>
      <c r="N1136" s="1520">
        <v>1</v>
      </c>
      <c r="O1136" s="1520">
        <v>2</v>
      </c>
    </row>
    <row r="1137" spans="3:15" ht="13.5">
      <c r="C1137" s="1526" t="s">
        <v>5098</v>
      </c>
      <c r="D1137" s="1523">
        <v>1</v>
      </c>
      <c r="E1137" s="1523">
        <v>1</v>
      </c>
      <c r="F1137" s="1524">
        <v>2</v>
      </c>
      <c r="G1137" s="1537" t="s">
        <v>5098</v>
      </c>
      <c r="H1137" s="1521">
        <v>1</v>
      </c>
      <c r="I1137" s="1521">
        <v>1</v>
      </c>
      <c r="J1137" s="1538">
        <v>1</v>
      </c>
      <c r="K1137" s="1525"/>
      <c r="L1137" s="1519">
        <v>13097080602</v>
      </c>
      <c r="M1137" s="1520">
        <v>1</v>
      </c>
      <c r="N1137" s="1520">
        <v>1</v>
      </c>
      <c r="O1137" s="1520">
        <v>2</v>
      </c>
    </row>
    <row r="1138" spans="3:15" ht="13.5">
      <c r="C1138" s="1526" t="s">
        <v>5099</v>
      </c>
      <c r="D1138" s="1523">
        <v>1</v>
      </c>
      <c r="E1138" s="1523">
        <v>1</v>
      </c>
      <c r="F1138" s="1524">
        <v>2</v>
      </c>
      <c r="G1138" s="1537" t="s">
        <v>5099</v>
      </c>
      <c r="H1138" s="1521">
        <v>1</v>
      </c>
      <c r="I1138" s="1521">
        <v>0</v>
      </c>
      <c r="J1138" s="1538">
        <v>1</v>
      </c>
      <c r="K1138" s="1525"/>
      <c r="L1138" s="1519">
        <v>13097080603</v>
      </c>
      <c r="M1138" s="1520">
        <v>1</v>
      </c>
      <c r="N1138" s="1520">
        <v>1</v>
      </c>
      <c r="O1138" s="1520">
        <v>2</v>
      </c>
    </row>
    <row r="1139" spans="3:15" ht="13.5">
      <c r="C1139" s="1526" t="s">
        <v>5100</v>
      </c>
      <c r="D1139" s="1523">
        <v>1</v>
      </c>
      <c r="E1139" s="1523">
        <v>1</v>
      </c>
      <c r="F1139" s="1524">
        <v>2</v>
      </c>
      <c r="G1139" s="1537" t="s">
        <v>5100</v>
      </c>
      <c r="H1139" s="1521">
        <v>1</v>
      </c>
      <c r="I1139" s="1521">
        <v>0</v>
      </c>
      <c r="J1139" s="1538">
        <v>1</v>
      </c>
      <c r="K1139" s="1525"/>
      <c r="L1139" s="1519">
        <v>13097080604</v>
      </c>
      <c r="M1139" s="1520">
        <v>1</v>
      </c>
      <c r="N1139" s="1520">
        <v>1</v>
      </c>
      <c r="O1139" s="1520">
        <v>2</v>
      </c>
    </row>
    <row r="1140" spans="3:15" ht="13.5">
      <c r="C1140" s="1526" t="s">
        <v>5101</v>
      </c>
      <c r="D1140" s="1523">
        <v>0</v>
      </c>
      <c r="E1140" s="1523">
        <v>0</v>
      </c>
      <c r="F1140" s="1524">
        <v>0</v>
      </c>
      <c r="G1140" s="1537" t="s">
        <v>5101</v>
      </c>
      <c r="H1140" s="1521">
        <v>0</v>
      </c>
      <c r="I1140" s="1521">
        <v>0</v>
      </c>
      <c r="J1140" s="1538">
        <v>0</v>
      </c>
      <c r="K1140" s="1525"/>
      <c r="L1140" s="1519">
        <v>13099090100</v>
      </c>
      <c r="M1140" s="1520">
        <v>0</v>
      </c>
      <c r="N1140" s="1520">
        <v>0</v>
      </c>
      <c r="O1140" s="1520">
        <v>0</v>
      </c>
    </row>
    <row r="1141" spans="3:15" ht="13.5">
      <c r="C1141" s="1526" t="s">
        <v>5102</v>
      </c>
      <c r="D1141" s="1523">
        <v>0</v>
      </c>
      <c r="E1141" s="1523">
        <v>0</v>
      </c>
      <c r="F1141" s="1524">
        <v>0</v>
      </c>
      <c r="G1141" s="1537" t="s">
        <v>5102</v>
      </c>
      <c r="H1141" s="1521">
        <v>0</v>
      </c>
      <c r="I1141" s="1521">
        <v>0</v>
      </c>
      <c r="J1141" s="1538">
        <v>0</v>
      </c>
      <c r="K1141" s="1525"/>
      <c r="L1141" s="1519">
        <v>13099090200</v>
      </c>
      <c r="M1141" s="1520">
        <v>0</v>
      </c>
      <c r="N1141" s="1520">
        <v>0</v>
      </c>
      <c r="O1141" s="1520">
        <v>0</v>
      </c>
    </row>
    <row r="1142" spans="3:15" ht="13.5">
      <c r="C1142" s="1526" t="s">
        <v>5103</v>
      </c>
      <c r="D1142" s="1523">
        <v>1</v>
      </c>
      <c r="E1142" s="1523">
        <v>0</v>
      </c>
      <c r="F1142" s="1524">
        <v>1</v>
      </c>
      <c r="G1142" s="1537" t="s">
        <v>5103</v>
      </c>
      <c r="H1142" s="1521">
        <v>0</v>
      </c>
      <c r="I1142" s="1521">
        <v>0</v>
      </c>
      <c r="J1142" s="1538">
        <v>0</v>
      </c>
      <c r="K1142" s="1525"/>
      <c r="L1142" s="1519">
        <v>13099090300</v>
      </c>
      <c r="M1142" s="1520">
        <v>1</v>
      </c>
      <c r="N1142" s="1520">
        <v>0</v>
      </c>
      <c r="O1142" s="1520">
        <v>1</v>
      </c>
    </row>
    <row r="1143" spans="3:15" ht="13.5">
      <c r="C1143" s="1526" t="s">
        <v>5104</v>
      </c>
      <c r="D1143" s="1523">
        <v>0</v>
      </c>
      <c r="E1143" s="1523">
        <v>0</v>
      </c>
      <c r="F1143" s="1524">
        <v>0</v>
      </c>
      <c r="G1143" s="1537" t="s">
        <v>5104</v>
      </c>
      <c r="H1143" s="1521">
        <v>0</v>
      </c>
      <c r="I1143" s="1521">
        <v>0</v>
      </c>
      <c r="J1143" s="1538">
        <v>0</v>
      </c>
      <c r="K1143" s="1525"/>
      <c r="L1143" s="1519">
        <v>13099090400</v>
      </c>
      <c r="M1143" s="1520">
        <v>0</v>
      </c>
      <c r="N1143" s="1520">
        <v>0</v>
      </c>
      <c r="O1143" s="1520">
        <v>0</v>
      </c>
    </row>
    <row r="1144" spans="3:15" ht="13.5">
      <c r="C1144" s="1526" t="s">
        <v>5105</v>
      </c>
      <c r="D1144" s="1523">
        <v>0</v>
      </c>
      <c r="E1144" s="1523">
        <v>0</v>
      </c>
      <c r="F1144" s="1524">
        <v>0</v>
      </c>
      <c r="G1144" s="1537" t="s">
        <v>5105</v>
      </c>
      <c r="H1144" s="1521">
        <v>0</v>
      </c>
      <c r="I1144" s="1521">
        <v>0</v>
      </c>
      <c r="J1144" s="1538">
        <v>0</v>
      </c>
      <c r="K1144" s="1525"/>
      <c r="L1144" s="1519">
        <v>13099090500</v>
      </c>
      <c r="M1144" s="1520">
        <v>0</v>
      </c>
      <c r="N1144" s="1520">
        <v>0</v>
      </c>
      <c r="O1144" s="1520">
        <v>0</v>
      </c>
    </row>
    <row r="1145" spans="3:15" ht="13.5">
      <c r="C1145" s="1526" t="s">
        <v>5106</v>
      </c>
      <c r="D1145" s="1523">
        <v>0</v>
      </c>
      <c r="E1145" s="1523">
        <v>0</v>
      </c>
      <c r="F1145" s="1524">
        <v>0</v>
      </c>
      <c r="G1145" s="1537" t="s">
        <v>5106</v>
      </c>
      <c r="H1145" s="1521">
        <v>0</v>
      </c>
      <c r="I1145" s="1521">
        <v>0</v>
      </c>
      <c r="J1145" s="1538">
        <v>0</v>
      </c>
      <c r="K1145" s="1525"/>
      <c r="L1145" s="1519">
        <v>13101880100</v>
      </c>
      <c r="M1145" s="1520">
        <v>0</v>
      </c>
      <c r="N1145" s="1520">
        <v>0</v>
      </c>
      <c r="O1145" s="1520">
        <v>0</v>
      </c>
    </row>
    <row r="1146" spans="3:15" ht="13.5">
      <c r="C1146" s="1526" t="s">
        <v>5107</v>
      </c>
      <c r="D1146" s="1523">
        <v>0</v>
      </c>
      <c r="E1146" s="1523">
        <v>0</v>
      </c>
      <c r="F1146" s="1524">
        <v>0</v>
      </c>
      <c r="G1146" s="1537" t="s">
        <v>5107</v>
      </c>
      <c r="H1146" s="1521">
        <v>0</v>
      </c>
      <c r="I1146" s="1521">
        <v>0</v>
      </c>
      <c r="J1146" s="1538">
        <v>0</v>
      </c>
      <c r="K1146" s="1525"/>
      <c r="L1146" s="1519">
        <v>13101880200</v>
      </c>
      <c r="M1146" s="1520">
        <v>0</v>
      </c>
      <c r="N1146" s="1520">
        <v>0</v>
      </c>
      <c r="O1146" s="1520">
        <v>0</v>
      </c>
    </row>
    <row r="1147" spans="3:15" ht="13.5">
      <c r="C1147" s="1526" t="s">
        <v>5108</v>
      </c>
      <c r="D1147" s="1523">
        <v>1</v>
      </c>
      <c r="E1147" s="1523">
        <v>1</v>
      </c>
      <c r="F1147" s="1524">
        <v>2</v>
      </c>
      <c r="G1147" s="1537" t="s">
        <v>5108</v>
      </c>
      <c r="H1147" s="1521">
        <v>0</v>
      </c>
      <c r="I1147" s="1521">
        <v>0</v>
      </c>
      <c r="J1147" s="1538">
        <v>0</v>
      </c>
      <c r="K1147" s="1525"/>
      <c r="L1147" s="1519">
        <v>13103030100</v>
      </c>
      <c r="M1147" s="1520">
        <v>1</v>
      </c>
      <c r="N1147" s="1520">
        <v>1</v>
      </c>
      <c r="O1147" s="1520">
        <v>2</v>
      </c>
    </row>
    <row r="1148" spans="3:15" ht="13.5">
      <c r="C1148" s="1526" t="s">
        <v>5109</v>
      </c>
      <c r="D1148" s="1523">
        <v>1</v>
      </c>
      <c r="E1148" s="1523">
        <v>1</v>
      </c>
      <c r="F1148" s="1524">
        <v>2</v>
      </c>
      <c r="G1148" s="1537" t="s">
        <v>5109</v>
      </c>
      <c r="H1148" s="1521">
        <v>1</v>
      </c>
      <c r="I1148" s="1521">
        <v>0</v>
      </c>
      <c r="J1148" s="1538">
        <v>1</v>
      </c>
      <c r="K1148" s="1525"/>
      <c r="L1148" s="1519">
        <v>13103030202</v>
      </c>
      <c r="M1148" s="1520">
        <v>1</v>
      </c>
      <c r="N1148" s="1520">
        <v>1</v>
      </c>
      <c r="O1148" s="1520">
        <v>2</v>
      </c>
    </row>
    <row r="1149" spans="3:15" ht="13.5">
      <c r="C1149" s="1526" t="s">
        <v>5110</v>
      </c>
      <c r="D1149" s="1523">
        <v>1</v>
      </c>
      <c r="E1149" s="1523">
        <v>1</v>
      </c>
      <c r="F1149" s="1524">
        <v>2</v>
      </c>
      <c r="G1149" s="1537" t="s">
        <v>5110</v>
      </c>
      <c r="H1149" s="1521">
        <v>1</v>
      </c>
      <c r="I1149" s="1521">
        <v>0</v>
      </c>
      <c r="J1149" s="1538">
        <v>1</v>
      </c>
      <c r="K1149" s="1525"/>
      <c r="L1149" s="1519">
        <v>13103030203</v>
      </c>
      <c r="M1149" s="1520">
        <v>1</v>
      </c>
      <c r="N1149" s="1520">
        <v>1</v>
      </c>
      <c r="O1149" s="1520">
        <v>2</v>
      </c>
    </row>
    <row r="1150" spans="3:15" ht="13.5">
      <c r="C1150" s="1526" t="s">
        <v>5111</v>
      </c>
      <c r="D1150" s="1523">
        <v>0</v>
      </c>
      <c r="E1150" s="1523">
        <v>0</v>
      </c>
      <c r="F1150" s="1524">
        <v>0</v>
      </c>
      <c r="G1150" s="1537" t="s">
        <v>5111</v>
      </c>
      <c r="H1150" s="1521">
        <v>0</v>
      </c>
      <c r="I1150" s="1521">
        <v>1</v>
      </c>
      <c r="J1150" s="1538">
        <v>1</v>
      </c>
      <c r="K1150" s="1525"/>
      <c r="L1150" s="1519">
        <v>13103030204</v>
      </c>
      <c r="M1150" s="1520">
        <v>0</v>
      </c>
      <c r="N1150" s="1520">
        <v>1</v>
      </c>
      <c r="O1150" s="1520">
        <v>1</v>
      </c>
    </row>
    <row r="1151" spans="3:15" ht="13.5">
      <c r="C1151" s="1526" t="s">
        <v>5112</v>
      </c>
      <c r="D1151" s="1523">
        <v>1</v>
      </c>
      <c r="E1151" s="1523">
        <v>1</v>
      </c>
      <c r="F1151" s="1524">
        <v>2</v>
      </c>
      <c r="G1151" s="1537" t="s">
        <v>5112</v>
      </c>
      <c r="H1151" s="1521">
        <v>1</v>
      </c>
      <c r="I1151" s="1521">
        <v>1</v>
      </c>
      <c r="J1151" s="1538">
        <v>2</v>
      </c>
      <c r="K1151" s="1525"/>
      <c r="L1151" s="1519">
        <v>13103030301</v>
      </c>
      <c r="M1151" s="1520">
        <v>1</v>
      </c>
      <c r="N1151" s="1520">
        <v>1</v>
      </c>
      <c r="O1151" s="1520">
        <v>2</v>
      </c>
    </row>
    <row r="1152" spans="3:15" ht="13.5">
      <c r="C1152" s="1526" t="s">
        <v>5113</v>
      </c>
      <c r="D1152" s="1523">
        <v>0</v>
      </c>
      <c r="E1152" s="1523">
        <v>1</v>
      </c>
      <c r="F1152" s="1524">
        <v>1</v>
      </c>
      <c r="G1152" s="1537" t="s">
        <v>5113</v>
      </c>
      <c r="H1152" s="1521">
        <v>1</v>
      </c>
      <c r="I1152" s="1521">
        <v>0</v>
      </c>
      <c r="J1152" s="1538">
        <v>1</v>
      </c>
      <c r="K1152" s="1525"/>
      <c r="L1152" s="1519">
        <v>13103030303</v>
      </c>
      <c r="M1152" s="1520">
        <v>1</v>
      </c>
      <c r="N1152" s="1520">
        <v>1</v>
      </c>
      <c r="O1152" s="1520">
        <v>1</v>
      </c>
    </row>
    <row r="1153" spans="3:15" ht="13.5">
      <c r="C1153" s="1526" t="s">
        <v>5114</v>
      </c>
      <c r="D1153" s="1523">
        <v>1</v>
      </c>
      <c r="E1153" s="1523">
        <v>1</v>
      </c>
      <c r="F1153" s="1524">
        <v>2</v>
      </c>
      <c r="G1153" s="1537" t="s">
        <v>5114</v>
      </c>
      <c r="H1153" s="1521">
        <v>1</v>
      </c>
      <c r="I1153" s="1521">
        <v>0</v>
      </c>
      <c r="J1153" s="1538">
        <v>1</v>
      </c>
      <c r="K1153" s="1525"/>
      <c r="L1153" s="1519">
        <v>13103030304</v>
      </c>
      <c r="M1153" s="1520">
        <v>1</v>
      </c>
      <c r="N1153" s="1520">
        <v>1</v>
      </c>
      <c r="O1153" s="1520">
        <v>2</v>
      </c>
    </row>
    <row r="1154" spans="3:15" ht="13.5">
      <c r="C1154" s="1526" t="s">
        <v>5115</v>
      </c>
      <c r="D1154" s="1523">
        <v>1</v>
      </c>
      <c r="E1154" s="1523">
        <v>1</v>
      </c>
      <c r="F1154" s="1524">
        <v>2</v>
      </c>
      <c r="G1154" s="1537" t="s">
        <v>5115</v>
      </c>
      <c r="H1154" s="1521">
        <v>1</v>
      </c>
      <c r="I1154" s="1521">
        <v>1</v>
      </c>
      <c r="J1154" s="1538">
        <v>2</v>
      </c>
      <c r="K1154" s="1525"/>
      <c r="L1154" s="1519">
        <v>13103030305</v>
      </c>
      <c r="M1154" s="1520">
        <v>1</v>
      </c>
      <c r="N1154" s="1520">
        <v>1</v>
      </c>
      <c r="O1154" s="1520">
        <v>2</v>
      </c>
    </row>
    <row r="1155" spans="3:15" ht="13.5">
      <c r="C1155" s="1526" t="s">
        <v>5116</v>
      </c>
      <c r="D1155" s="1523">
        <v>1</v>
      </c>
      <c r="E1155" s="1523">
        <v>1</v>
      </c>
      <c r="F1155" s="1524">
        <v>2</v>
      </c>
      <c r="G1155" s="1537" t="s">
        <v>5116</v>
      </c>
      <c r="H1155" s="1521">
        <v>1</v>
      </c>
      <c r="I1155" s="1521">
        <v>1</v>
      </c>
      <c r="J1155" s="1538">
        <v>2</v>
      </c>
      <c r="K1155" s="1525"/>
      <c r="L1155" s="1519">
        <v>13103030401</v>
      </c>
      <c r="M1155" s="1520">
        <v>1</v>
      </c>
      <c r="N1155" s="1520">
        <v>1</v>
      </c>
      <c r="O1155" s="1520">
        <v>2</v>
      </c>
    </row>
    <row r="1156" spans="3:15" ht="13.5">
      <c r="C1156" s="1526" t="s">
        <v>5117</v>
      </c>
      <c r="D1156" s="1523">
        <v>1</v>
      </c>
      <c r="E1156" s="1523">
        <v>1</v>
      </c>
      <c r="F1156" s="1524">
        <v>2</v>
      </c>
      <c r="G1156" s="1537" t="s">
        <v>5117</v>
      </c>
      <c r="H1156" s="1521">
        <v>1</v>
      </c>
      <c r="I1156" s="1521">
        <v>1</v>
      </c>
      <c r="J1156" s="1538">
        <v>2</v>
      </c>
      <c r="K1156" s="1525"/>
      <c r="L1156" s="1519">
        <v>13103030402</v>
      </c>
      <c r="M1156" s="1520">
        <v>1</v>
      </c>
      <c r="N1156" s="1520">
        <v>1</v>
      </c>
      <c r="O1156" s="1520">
        <v>2</v>
      </c>
    </row>
    <row r="1157" spans="3:15" ht="13.5">
      <c r="C1157" s="1526" t="s">
        <v>5118</v>
      </c>
      <c r="D1157" s="1523">
        <v>0</v>
      </c>
      <c r="E1157" s="1523">
        <v>0</v>
      </c>
      <c r="F1157" s="1524">
        <v>0</v>
      </c>
      <c r="G1157" s="1537" t="s">
        <v>5118</v>
      </c>
      <c r="H1157" s="1521">
        <v>0</v>
      </c>
      <c r="I1157" s="1521">
        <v>0</v>
      </c>
      <c r="J1157" s="1538">
        <v>0</v>
      </c>
      <c r="K1157" s="1525"/>
      <c r="L1157" s="1519">
        <v>13105000100</v>
      </c>
      <c r="M1157" s="1520">
        <v>0</v>
      </c>
      <c r="N1157" s="1520">
        <v>0</v>
      </c>
      <c r="O1157" s="1520">
        <v>0</v>
      </c>
    </row>
    <row r="1158" spans="3:15" ht="13.5">
      <c r="C1158" s="1526" t="s">
        <v>5119</v>
      </c>
      <c r="D1158" s="1523">
        <v>0</v>
      </c>
      <c r="E1158" s="1523">
        <v>0</v>
      </c>
      <c r="F1158" s="1524">
        <v>0</v>
      </c>
      <c r="G1158" s="1537" t="s">
        <v>5119</v>
      </c>
      <c r="H1158" s="1521">
        <v>0</v>
      </c>
      <c r="I1158" s="1521">
        <v>0</v>
      </c>
      <c r="J1158" s="1538">
        <v>0</v>
      </c>
      <c r="K1158" s="1525"/>
      <c r="L1158" s="1519">
        <v>13105000200</v>
      </c>
      <c r="M1158" s="1520">
        <v>0</v>
      </c>
      <c r="N1158" s="1520">
        <v>0</v>
      </c>
      <c r="O1158" s="1520">
        <v>0</v>
      </c>
    </row>
    <row r="1159" spans="3:15" ht="13.5">
      <c r="C1159" s="1526" t="s">
        <v>5120</v>
      </c>
      <c r="D1159" s="1523">
        <v>0</v>
      </c>
      <c r="E1159" s="1523">
        <v>0</v>
      </c>
      <c r="F1159" s="1524">
        <v>0</v>
      </c>
      <c r="G1159" s="1537" t="s">
        <v>5120</v>
      </c>
      <c r="H1159" s="1521">
        <v>0</v>
      </c>
      <c r="I1159" s="1521">
        <v>0</v>
      </c>
      <c r="J1159" s="1538">
        <v>0</v>
      </c>
      <c r="K1159" s="1525"/>
      <c r="L1159" s="1519">
        <v>13105000300</v>
      </c>
      <c r="M1159" s="1520">
        <v>0</v>
      </c>
      <c r="N1159" s="1520">
        <v>0</v>
      </c>
      <c r="O1159" s="1520">
        <v>0</v>
      </c>
    </row>
    <row r="1160" spans="3:15" ht="13.5">
      <c r="C1160" s="1526" t="s">
        <v>5121</v>
      </c>
      <c r="D1160" s="1523">
        <v>0</v>
      </c>
      <c r="E1160" s="1523">
        <v>0</v>
      </c>
      <c r="F1160" s="1524">
        <v>0</v>
      </c>
      <c r="G1160" s="1537" t="s">
        <v>5121</v>
      </c>
      <c r="H1160" s="1521">
        <v>0</v>
      </c>
      <c r="I1160" s="1521">
        <v>0</v>
      </c>
      <c r="J1160" s="1538">
        <v>0</v>
      </c>
      <c r="K1160" s="1525"/>
      <c r="L1160" s="1519">
        <v>13105000400</v>
      </c>
      <c r="M1160" s="1520">
        <v>0</v>
      </c>
      <c r="N1160" s="1520">
        <v>0</v>
      </c>
      <c r="O1160" s="1520">
        <v>0</v>
      </c>
    </row>
    <row r="1161" spans="3:15" ht="13.5">
      <c r="C1161" s="1526" t="s">
        <v>5122</v>
      </c>
      <c r="D1161" s="1523">
        <v>0</v>
      </c>
      <c r="E1161" s="1523">
        <v>0</v>
      </c>
      <c r="F1161" s="1524">
        <v>0</v>
      </c>
      <c r="G1161" s="1537" t="s">
        <v>5122</v>
      </c>
      <c r="H1161" s="1521">
        <v>0</v>
      </c>
      <c r="I1161" s="1521">
        <v>1</v>
      </c>
      <c r="J1161" s="1538">
        <v>1</v>
      </c>
      <c r="K1161" s="1525"/>
      <c r="L1161" s="1519">
        <v>13105000500</v>
      </c>
      <c r="M1161" s="1520">
        <v>0</v>
      </c>
      <c r="N1161" s="1520">
        <v>1</v>
      </c>
      <c r="O1161" s="1520">
        <v>1</v>
      </c>
    </row>
    <row r="1162" spans="3:15" ht="13.5">
      <c r="C1162" s="1526" t="s">
        <v>5123</v>
      </c>
      <c r="D1162" s="1523">
        <v>0</v>
      </c>
      <c r="E1162" s="1523">
        <v>0</v>
      </c>
      <c r="F1162" s="1524">
        <v>0</v>
      </c>
      <c r="G1162" s="1537" t="s">
        <v>5123</v>
      </c>
      <c r="H1162" s="1521">
        <v>0</v>
      </c>
      <c r="I1162" s="1521">
        <v>0</v>
      </c>
      <c r="J1162" s="1538">
        <v>0</v>
      </c>
      <c r="K1162" s="1525"/>
      <c r="L1162" s="1519">
        <v>13107970100</v>
      </c>
      <c r="M1162" s="1520">
        <v>0</v>
      </c>
      <c r="N1162" s="1520">
        <v>0</v>
      </c>
      <c r="O1162" s="1520">
        <v>0</v>
      </c>
    </row>
    <row r="1163" spans="3:15" ht="13.5">
      <c r="C1163" s="1526" t="s">
        <v>5124</v>
      </c>
      <c r="D1163" s="1523">
        <v>0</v>
      </c>
      <c r="E1163" s="1523">
        <v>0</v>
      </c>
      <c r="F1163" s="1524">
        <v>0</v>
      </c>
      <c r="G1163" s="1537" t="s">
        <v>5124</v>
      </c>
      <c r="H1163" s="1521">
        <v>0</v>
      </c>
      <c r="I1163" s="1521">
        <v>0</v>
      </c>
      <c r="J1163" s="1538">
        <v>0</v>
      </c>
      <c r="K1163" s="1525"/>
      <c r="L1163" s="1519">
        <v>13107970200</v>
      </c>
      <c r="M1163" s="1520">
        <v>0</v>
      </c>
      <c r="N1163" s="1520">
        <v>0</v>
      </c>
      <c r="O1163" s="1520">
        <v>0</v>
      </c>
    </row>
    <row r="1164" spans="3:15" ht="13.5">
      <c r="C1164" s="1526" t="s">
        <v>5125</v>
      </c>
      <c r="D1164" s="1523">
        <v>0</v>
      </c>
      <c r="E1164" s="1523">
        <v>0</v>
      </c>
      <c r="F1164" s="1524">
        <v>0</v>
      </c>
      <c r="G1164" s="1537" t="s">
        <v>5125</v>
      </c>
      <c r="H1164" s="1521">
        <v>0</v>
      </c>
      <c r="I1164" s="1521">
        <v>0</v>
      </c>
      <c r="J1164" s="1538">
        <v>0</v>
      </c>
      <c r="K1164" s="1525"/>
      <c r="L1164" s="1519">
        <v>13107970300</v>
      </c>
      <c r="M1164" s="1520">
        <v>0</v>
      </c>
      <c r="N1164" s="1520">
        <v>0</v>
      </c>
      <c r="O1164" s="1520">
        <v>0</v>
      </c>
    </row>
    <row r="1165" spans="3:15" ht="13.5">
      <c r="C1165" s="1526" t="s">
        <v>5126</v>
      </c>
      <c r="D1165" s="1523">
        <v>0</v>
      </c>
      <c r="E1165" s="1523">
        <v>0</v>
      </c>
      <c r="F1165" s="1524">
        <v>0</v>
      </c>
      <c r="G1165" s="1537" t="s">
        <v>5126</v>
      </c>
      <c r="H1165" s="1521">
        <v>0</v>
      </c>
      <c r="I1165" s="1521">
        <v>0</v>
      </c>
      <c r="J1165" s="1538">
        <v>0</v>
      </c>
      <c r="K1165" s="1525"/>
      <c r="L1165" s="1519">
        <v>13107970400</v>
      </c>
      <c r="M1165" s="1520">
        <v>0</v>
      </c>
      <c r="N1165" s="1520">
        <v>0</v>
      </c>
      <c r="O1165" s="1520">
        <v>0</v>
      </c>
    </row>
    <row r="1166" spans="3:15" ht="13.5">
      <c r="C1166" s="1526" t="s">
        <v>5127</v>
      </c>
      <c r="D1166" s="1523">
        <v>0</v>
      </c>
      <c r="E1166" s="1523">
        <v>0</v>
      </c>
      <c r="F1166" s="1524">
        <v>0</v>
      </c>
      <c r="G1166" s="1537" t="s">
        <v>5127</v>
      </c>
      <c r="H1166" s="1521">
        <v>0</v>
      </c>
      <c r="I1166" s="1521">
        <v>0</v>
      </c>
      <c r="J1166" s="1538">
        <v>0</v>
      </c>
      <c r="K1166" s="1525"/>
      <c r="L1166" s="1519">
        <v>13107970500</v>
      </c>
      <c r="M1166" s="1520">
        <v>0</v>
      </c>
      <c r="N1166" s="1520">
        <v>0</v>
      </c>
      <c r="O1166" s="1520">
        <v>0</v>
      </c>
    </row>
    <row r="1167" spans="3:15" ht="13.5">
      <c r="C1167" s="1526" t="s">
        <v>5128</v>
      </c>
      <c r="D1167" s="1523">
        <v>0</v>
      </c>
      <c r="E1167" s="1523">
        <v>0</v>
      </c>
      <c r="F1167" s="1524">
        <v>0</v>
      </c>
      <c r="G1167" s="1537" t="s">
        <v>5128</v>
      </c>
      <c r="H1167" s="1521">
        <v>0</v>
      </c>
      <c r="I1167" s="1521">
        <v>0</v>
      </c>
      <c r="J1167" s="1538">
        <v>0</v>
      </c>
      <c r="K1167" s="1525"/>
      <c r="L1167" s="1519">
        <v>13107970600</v>
      </c>
      <c r="M1167" s="1520">
        <v>0</v>
      </c>
      <c r="N1167" s="1520">
        <v>0</v>
      </c>
      <c r="O1167" s="1520">
        <v>0</v>
      </c>
    </row>
    <row r="1168" spans="3:15" ht="13.5">
      <c r="C1168" s="1526" t="s">
        <v>5129</v>
      </c>
      <c r="D1168" s="1523">
        <v>0</v>
      </c>
      <c r="E1168" s="1523">
        <v>0</v>
      </c>
      <c r="F1168" s="1524">
        <v>0</v>
      </c>
      <c r="G1168" s="1537" t="s">
        <v>5129</v>
      </c>
      <c r="H1168" s="1521">
        <v>0</v>
      </c>
      <c r="I1168" s="1521">
        <v>0</v>
      </c>
      <c r="J1168" s="1538">
        <v>0</v>
      </c>
      <c r="K1168" s="1525"/>
      <c r="L1168" s="1519">
        <v>13109970100</v>
      </c>
      <c r="M1168" s="1520">
        <v>0</v>
      </c>
      <c r="N1168" s="1520">
        <v>0</v>
      </c>
      <c r="O1168" s="1520">
        <v>0</v>
      </c>
    </row>
    <row r="1169" spans="3:15" ht="13.5">
      <c r="C1169" s="1526" t="s">
        <v>5130</v>
      </c>
      <c r="D1169" s="1523">
        <v>0</v>
      </c>
      <c r="E1169" s="1523">
        <v>0</v>
      </c>
      <c r="F1169" s="1524">
        <v>0</v>
      </c>
      <c r="G1169" s="1537" t="s">
        <v>5130</v>
      </c>
      <c r="H1169" s="1521">
        <v>0</v>
      </c>
      <c r="I1169" s="1521">
        <v>0</v>
      </c>
      <c r="J1169" s="1538">
        <v>0</v>
      </c>
      <c r="K1169" s="1525"/>
      <c r="L1169" s="1519">
        <v>13109970200</v>
      </c>
      <c r="M1169" s="1520">
        <v>0</v>
      </c>
      <c r="N1169" s="1520">
        <v>0</v>
      </c>
      <c r="O1169" s="1520">
        <v>0</v>
      </c>
    </row>
    <row r="1170" spans="3:15" ht="13.5">
      <c r="C1170" s="1526" t="s">
        <v>5131</v>
      </c>
      <c r="D1170" s="1523">
        <v>0</v>
      </c>
      <c r="E1170" s="1523">
        <v>0</v>
      </c>
      <c r="F1170" s="1524">
        <v>0</v>
      </c>
      <c r="G1170" s="1537" t="s">
        <v>5131</v>
      </c>
      <c r="H1170" s="1521">
        <v>0</v>
      </c>
      <c r="I1170" s="1521">
        <v>0</v>
      </c>
      <c r="J1170" s="1538">
        <v>0</v>
      </c>
      <c r="K1170" s="1525"/>
      <c r="L1170" s="1519">
        <v>13109970300</v>
      </c>
      <c r="M1170" s="1520">
        <v>0</v>
      </c>
      <c r="N1170" s="1520">
        <v>0</v>
      </c>
      <c r="O1170" s="1520">
        <v>0</v>
      </c>
    </row>
    <row r="1171" spans="3:15" ht="13.5">
      <c r="C1171" s="1526" t="s">
        <v>5132</v>
      </c>
      <c r="D1171" s="1523">
        <v>0</v>
      </c>
      <c r="E1171" s="1523">
        <v>0</v>
      </c>
      <c r="F1171" s="1524">
        <v>0</v>
      </c>
      <c r="G1171" s="1537" t="s">
        <v>5132</v>
      </c>
      <c r="H1171" s="1521">
        <v>0</v>
      </c>
      <c r="I1171" s="1521">
        <v>0</v>
      </c>
      <c r="J1171" s="1538">
        <v>0</v>
      </c>
      <c r="K1171" s="1525"/>
      <c r="L1171" s="1519">
        <v>13111050100</v>
      </c>
      <c r="M1171" s="1520">
        <v>0</v>
      </c>
      <c r="N1171" s="1520">
        <v>0</v>
      </c>
      <c r="O1171" s="1520">
        <v>0</v>
      </c>
    </row>
    <row r="1172" spans="3:15" ht="13.5">
      <c r="C1172" s="1526" t="s">
        <v>5133</v>
      </c>
      <c r="D1172" s="1523">
        <v>0</v>
      </c>
      <c r="E1172" s="1523">
        <v>0</v>
      </c>
      <c r="F1172" s="1524">
        <v>0</v>
      </c>
      <c r="G1172" s="1537" t="s">
        <v>5133</v>
      </c>
      <c r="H1172" s="1521">
        <v>0</v>
      </c>
      <c r="I1172" s="1521">
        <v>0</v>
      </c>
      <c r="J1172" s="1538">
        <v>0</v>
      </c>
      <c r="K1172" s="1525"/>
      <c r="L1172" s="1519">
        <v>13111050200</v>
      </c>
      <c r="M1172" s="1520">
        <v>0</v>
      </c>
      <c r="N1172" s="1520">
        <v>0</v>
      </c>
      <c r="O1172" s="1520">
        <v>0</v>
      </c>
    </row>
    <row r="1173" spans="3:15" ht="13.5">
      <c r="C1173" s="1526" t="s">
        <v>5134</v>
      </c>
      <c r="D1173" s="1523">
        <v>0</v>
      </c>
      <c r="E1173" s="1523">
        <v>0</v>
      </c>
      <c r="F1173" s="1524">
        <v>0</v>
      </c>
      <c r="G1173" s="1537" t="s">
        <v>5134</v>
      </c>
      <c r="H1173" s="1521">
        <v>0</v>
      </c>
      <c r="I1173" s="1521" t="s">
        <v>4099</v>
      </c>
      <c r="J1173" s="1538">
        <v>0</v>
      </c>
      <c r="K1173" s="1525"/>
      <c r="L1173" s="1519">
        <v>13111050300</v>
      </c>
      <c r="M1173" s="1520">
        <v>0</v>
      </c>
      <c r="N1173" s="1520">
        <v>0</v>
      </c>
      <c r="O1173" s="1520">
        <v>0</v>
      </c>
    </row>
    <row r="1174" spans="3:15" ht="13.5">
      <c r="C1174" s="1526" t="s">
        <v>5135</v>
      </c>
      <c r="D1174" s="1523">
        <v>0</v>
      </c>
      <c r="E1174" s="1523">
        <v>0</v>
      </c>
      <c r="F1174" s="1524">
        <v>0</v>
      </c>
      <c r="G1174" s="1537" t="s">
        <v>5135</v>
      </c>
      <c r="H1174" s="1521">
        <v>0</v>
      </c>
      <c r="I1174" s="1521">
        <v>1</v>
      </c>
      <c r="J1174" s="1538">
        <v>1</v>
      </c>
      <c r="K1174" s="1525"/>
      <c r="L1174" s="1519">
        <v>13111050400</v>
      </c>
      <c r="M1174" s="1520">
        <v>0</v>
      </c>
      <c r="N1174" s="1520">
        <v>1</v>
      </c>
      <c r="O1174" s="1520">
        <v>1</v>
      </c>
    </row>
    <row r="1175" spans="3:15" ht="13.5">
      <c r="C1175" s="1526" t="s">
        <v>5136</v>
      </c>
      <c r="D1175" s="1523">
        <v>0</v>
      </c>
      <c r="E1175" s="1523">
        <v>0</v>
      </c>
      <c r="F1175" s="1524">
        <v>0</v>
      </c>
      <c r="G1175" s="1537" t="s">
        <v>5136</v>
      </c>
      <c r="H1175" s="1521">
        <v>1</v>
      </c>
      <c r="I1175" s="1521">
        <v>0</v>
      </c>
      <c r="J1175" s="1538">
        <v>1</v>
      </c>
      <c r="K1175" s="1525"/>
      <c r="L1175" s="1519">
        <v>13111050500</v>
      </c>
      <c r="M1175" s="1520">
        <v>1</v>
      </c>
      <c r="N1175" s="1520">
        <v>0</v>
      </c>
      <c r="O1175" s="1520">
        <v>1</v>
      </c>
    </row>
    <row r="1176" spans="3:15" ht="13.5">
      <c r="C1176" s="1526" t="s">
        <v>5137</v>
      </c>
      <c r="D1176" s="1523">
        <v>1</v>
      </c>
      <c r="E1176" s="1523">
        <v>0</v>
      </c>
      <c r="F1176" s="1524">
        <v>1</v>
      </c>
      <c r="G1176" s="1537" t="s">
        <v>5137</v>
      </c>
      <c r="H1176" s="1521">
        <v>1</v>
      </c>
      <c r="I1176" s="1521">
        <v>1</v>
      </c>
      <c r="J1176" s="1538">
        <v>2</v>
      </c>
      <c r="K1176" s="1525"/>
      <c r="L1176" s="1519">
        <v>13113140101</v>
      </c>
      <c r="M1176" s="1520">
        <v>1</v>
      </c>
      <c r="N1176" s="1520">
        <v>1</v>
      </c>
      <c r="O1176" s="1520">
        <v>2</v>
      </c>
    </row>
    <row r="1177" spans="3:15" ht="13.5">
      <c r="C1177" s="1526" t="s">
        <v>5138</v>
      </c>
      <c r="D1177" s="1523">
        <v>1</v>
      </c>
      <c r="E1177" s="1523">
        <v>1</v>
      </c>
      <c r="F1177" s="1524">
        <v>2</v>
      </c>
      <c r="G1177" s="1537" t="s">
        <v>5138</v>
      </c>
      <c r="H1177" s="1521">
        <v>1</v>
      </c>
      <c r="I1177" s="1521">
        <v>1</v>
      </c>
      <c r="J1177" s="1538">
        <v>2</v>
      </c>
      <c r="K1177" s="1525"/>
      <c r="L1177" s="1519">
        <v>13113140102</v>
      </c>
      <c r="M1177" s="1520">
        <v>1</v>
      </c>
      <c r="N1177" s="1520">
        <v>1</v>
      </c>
      <c r="O1177" s="1520">
        <v>2</v>
      </c>
    </row>
    <row r="1178" spans="3:15" ht="13.5">
      <c r="C1178" s="1526" t="s">
        <v>5139</v>
      </c>
      <c r="D1178" s="1523">
        <v>1</v>
      </c>
      <c r="E1178" s="1523">
        <v>1</v>
      </c>
      <c r="F1178" s="1524">
        <v>2</v>
      </c>
      <c r="G1178" s="1537" t="s">
        <v>5139</v>
      </c>
      <c r="H1178" s="1521">
        <v>1</v>
      </c>
      <c r="I1178" s="1521">
        <v>1</v>
      </c>
      <c r="J1178" s="1538">
        <v>2</v>
      </c>
      <c r="K1178" s="1525"/>
      <c r="L1178" s="1519">
        <v>13113140203</v>
      </c>
      <c r="M1178" s="1520">
        <v>1</v>
      </c>
      <c r="N1178" s="1520">
        <v>1</v>
      </c>
      <c r="O1178" s="1520">
        <v>2</v>
      </c>
    </row>
    <row r="1179" spans="3:15" ht="13.5">
      <c r="C1179" s="1526" t="s">
        <v>5140</v>
      </c>
      <c r="D1179" s="1523">
        <v>1</v>
      </c>
      <c r="E1179" s="1523">
        <v>1</v>
      </c>
      <c r="F1179" s="1524">
        <v>2</v>
      </c>
      <c r="G1179" s="1537" t="s">
        <v>5140</v>
      </c>
      <c r="H1179" s="1521">
        <v>1</v>
      </c>
      <c r="I1179" s="1521">
        <v>1</v>
      </c>
      <c r="J1179" s="1538">
        <v>2</v>
      </c>
      <c r="K1179" s="1525"/>
      <c r="L1179" s="1519">
        <v>13113140204</v>
      </c>
      <c r="M1179" s="1520">
        <v>1</v>
      </c>
      <c r="N1179" s="1520">
        <v>1</v>
      </c>
      <c r="O1179" s="1520">
        <v>2</v>
      </c>
    </row>
    <row r="1180" spans="3:15" ht="13.5">
      <c r="C1180" s="1526" t="s">
        <v>5141</v>
      </c>
      <c r="D1180" s="1523">
        <v>1</v>
      </c>
      <c r="E1180" s="1523">
        <v>1</v>
      </c>
      <c r="F1180" s="1524">
        <v>2</v>
      </c>
      <c r="G1180" s="1537" t="s">
        <v>5141</v>
      </c>
      <c r="H1180" s="1521">
        <v>1</v>
      </c>
      <c r="I1180" s="1521">
        <v>1</v>
      </c>
      <c r="J1180" s="1538">
        <v>2</v>
      </c>
      <c r="K1180" s="1525"/>
      <c r="L1180" s="1519">
        <v>13113140206</v>
      </c>
      <c r="M1180" s="1520">
        <v>1</v>
      </c>
      <c r="N1180" s="1520">
        <v>1</v>
      </c>
      <c r="O1180" s="1520">
        <v>2</v>
      </c>
    </row>
    <row r="1181" spans="3:15" ht="13.5">
      <c r="C1181" s="1526" t="s">
        <v>5142</v>
      </c>
      <c r="D1181" s="1523">
        <v>1</v>
      </c>
      <c r="E1181" s="1523">
        <v>1</v>
      </c>
      <c r="F1181" s="1524">
        <v>2</v>
      </c>
      <c r="G1181" s="1537" t="s">
        <v>5142</v>
      </c>
      <c r="H1181" s="1521">
        <v>1</v>
      </c>
      <c r="I1181" s="1521">
        <v>1</v>
      </c>
      <c r="J1181" s="1538">
        <v>2</v>
      </c>
      <c r="K1181" s="1525"/>
      <c r="L1181" s="1519">
        <v>13113140207</v>
      </c>
      <c r="M1181" s="1520">
        <v>1</v>
      </c>
      <c r="N1181" s="1520">
        <v>1</v>
      </c>
      <c r="O1181" s="1520">
        <v>2</v>
      </c>
    </row>
    <row r="1182" spans="3:15" ht="13.5">
      <c r="C1182" s="1526" t="s">
        <v>5143</v>
      </c>
      <c r="D1182" s="1523">
        <v>1</v>
      </c>
      <c r="E1182" s="1523">
        <v>1</v>
      </c>
      <c r="F1182" s="1524">
        <v>2</v>
      </c>
      <c r="G1182" s="1537" t="s">
        <v>5143</v>
      </c>
      <c r="H1182" s="1521">
        <v>1</v>
      </c>
      <c r="I1182" s="1521">
        <v>1</v>
      </c>
      <c r="J1182" s="1538">
        <v>2</v>
      </c>
      <c r="K1182" s="1525"/>
      <c r="L1182" s="1519">
        <v>13113140208</v>
      </c>
      <c r="M1182" s="1520">
        <v>1</v>
      </c>
      <c r="N1182" s="1520">
        <v>1</v>
      </c>
      <c r="O1182" s="1520">
        <v>2</v>
      </c>
    </row>
    <row r="1183" spans="3:15" ht="13.5">
      <c r="C1183" s="1526" t="s">
        <v>5144</v>
      </c>
      <c r="D1183" s="1523">
        <v>1</v>
      </c>
      <c r="E1183" s="1523">
        <v>1</v>
      </c>
      <c r="F1183" s="1524">
        <v>2</v>
      </c>
      <c r="G1183" s="1537" t="s">
        <v>5144</v>
      </c>
      <c r="H1183" s="1521">
        <v>1</v>
      </c>
      <c r="I1183" s="1521">
        <v>1</v>
      </c>
      <c r="J1183" s="1538">
        <v>2</v>
      </c>
      <c r="K1183" s="1525"/>
      <c r="L1183" s="1519">
        <v>13113140303</v>
      </c>
      <c r="M1183" s="1520">
        <v>1</v>
      </c>
      <c r="N1183" s="1520">
        <v>1</v>
      </c>
      <c r="O1183" s="1520">
        <v>2</v>
      </c>
    </row>
    <row r="1184" spans="3:15" ht="13.5">
      <c r="C1184" s="1526" t="s">
        <v>5145</v>
      </c>
      <c r="D1184" s="1523">
        <v>1</v>
      </c>
      <c r="E1184" s="1523">
        <v>1</v>
      </c>
      <c r="F1184" s="1524">
        <v>2</v>
      </c>
      <c r="G1184" s="1537" t="s">
        <v>5145</v>
      </c>
      <c r="H1184" s="1521">
        <v>1</v>
      </c>
      <c r="I1184" s="1521">
        <v>1</v>
      </c>
      <c r="J1184" s="1538">
        <v>2</v>
      </c>
      <c r="K1184" s="1525"/>
      <c r="L1184" s="1519">
        <v>13113140304</v>
      </c>
      <c r="M1184" s="1520">
        <v>1</v>
      </c>
      <c r="N1184" s="1520">
        <v>1</v>
      </c>
      <c r="O1184" s="1520">
        <v>2</v>
      </c>
    </row>
    <row r="1185" spans="3:15" ht="13.5">
      <c r="C1185" s="1526" t="s">
        <v>5146</v>
      </c>
      <c r="D1185" s="1523">
        <v>1</v>
      </c>
      <c r="E1185" s="1523">
        <v>1</v>
      </c>
      <c r="F1185" s="1524">
        <v>2</v>
      </c>
      <c r="G1185" s="1537" t="s">
        <v>5146</v>
      </c>
      <c r="H1185" s="1521">
        <v>1</v>
      </c>
      <c r="I1185" s="1521">
        <v>1</v>
      </c>
      <c r="J1185" s="1538">
        <v>2</v>
      </c>
      <c r="K1185" s="1525"/>
      <c r="L1185" s="1519">
        <v>13113140305</v>
      </c>
      <c r="M1185" s="1520">
        <v>1</v>
      </c>
      <c r="N1185" s="1520">
        <v>1</v>
      </c>
      <c r="O1185" s="1520">
        <v>2</v>
      </c>
    </row>
    <row r="1186" spans="3:15" ht="13.5">
      <c r="C1186" s="1526" t="s">
        <v>5147</v>
      </c>
      <c r="D1186" s="1523">
        <v>1</v>
      </c>
      <c r="E1186" s="1523">
        <v>1</v>
      </c>
      <c r="F1186" s="1524">
        <v>2</v>
      </c>
      <c r="G1186" s="1537" t="s">
        <v>5147</v>
      </c>
      <c r="H1186" s="1521">
        <v>1</v>
      </c>
      <c r="I1186" s="1521">
        <v>1</v>
      </c>
      <c r="J1186" s="1538">
        <v>2</v>
      </c>
      <c r="K1186" s="1525"/>
      <c r="L1186" s="1519">
        <v>13113140306</v>
      </c>
      <c r="M1186" s="1520">
        <v>1</v>
      </c>
      <c r="N1186" s="1520">
        <v>1</v>
      </c>
      <c r="O1186" s="1520">
        <v>2</v>
      </c>
    </row>
    <row r="1187" spans="3:15" ht="13.5">
      <c r="C1187" s="1526" t="s">
        <v>5148</v>
      </c>
      <c r="D1187" s="1523">
        <v>1</v>
      </c>
      <c r="E1187" s="1523">
        <v>1</v>
      </c>
      <c r="F1187" s="1524">
        <v>2</v>
      </c>
      <c r="G1187" s="1537" t="s">
        <v>5148</v>
      </c>
      <c r="H1187" s="1521">
        <v>1</v>
      </c>
      <c r="I1187" s="1521">
        <v>1</v>
      </c>
      <c r="J1187" s="1538">
        <v>2</v>
      </c>
      <c r="K1187" s="1525"/>
      <c r="L1187" s="1519">
        <v>13113140307</v>
      </c>
      <c r="M1187" s="1520">
        <v>1</v>
      </c>
      <c r="N1187" s="1520">
        <v>1</v>
      </c>
      <c r="O1187" s="1520">
        <v>2</v>
      </c>
    </row>
    <row r="1188" spans="3:15" ht="13.5">
      <c r="C1188" s="1526" t="s">
        <v>5149</v>
      </c>
      <c r="D1188" s="1523">
        <v>1</v>
      </c>
      <c r="E1188" s="1523">
        <v>1</v>
      </c>
      <c r="F1188" s="1524">
        <v>2</v>
      </c>
      <c r="G1188" s="1537" t="s">
        <v>5149</v>
      </c>
      <c r="H1188" s="1521">
        <v>1</v>
      </c>
      <c r="I1188" s="1521">
        <v>1</v>
      </c>
      <c r="J1188" s="1538">
        <v>2</v>
      </c>
      <c r="K1188" s="1525"/>
      <c r="L1188" s="1519">
        <v>13113140403</v>
      </c>
      <c r="M1188" s="1520">
        <v>1</v>
      </c>
      <c r="N1188" s="1520">
        <v>1</v>
      </c>
      <c r="O1188" s="1520">
        <v>2</v>
      </c>
    </row>
    <row r="1189" spans="3:15" ht="13.5">
      <c r="C1189" s="1526" t="s">
        <v>5150</v>
      </c>
      <c r="D1189" s="1523">
        <v>1</v>
      </c>
      <c r="E1189" s="1523">
        <v>1</v>
      </c>
      <c r="F1189" s="1524">
        <v>2</v>
      </c>
      <c r="G1189" s="1537" t="s">
        <v>5150</v>
      </c>
      <c r="H1189" s="1521">
        <v>1</v>
      </c>
      <c r="I1189" s="1521">
        <v>1</v>
      </c>
      <c r="J1189" s="1538">
        <v>2</v>
      </c>
      <c r="K1189" s="1525"/>
      <c r="L1189" s="1519">
        <v>13113140404</v>
      </c>
      <c r="M1189" s="1520">
        <v>1</v>
      </c>
      <c r="N1189" s="1520">
        <v>1</v>
      </c>
      <c r="O1189" s="1520">
        <v>2</v>
      </c>
    </row>
    <row r="1190" spans="3:15" ht="13.5">
      <c r="C1190" s="1526" t="s">
        <v>5151</v>
      </c>
      <c r="D1190" s="1523">
        <v>1</v>
      </c>
      <c r="E1190" s="1523">
        <v>1</v>
      </c>
      <c r="F1190" s="1524">
        <v>2</v>
      </c>
      <c r="G1190" s="1537" t="s">
        <v>5151</v>
      </c>
      <c r="H1190" s="1521">
        <v>1</v>
      </c>
      <c r="I1190" s="1521">
        <v>1</v>
      </c>
      <c r="J1190" s="1538">
        <v>2</v>
      </c>
      <c r="K1190" s="1525"/>
      <c r="L1190" s="1519">
        <v>13113140405</v>
      </c>
      <c r="M1190" s="1520">
        <v>1</v>
      </c>
      <c r="N1190" s="1520">
        <v>1</v>
      </c>
      <c r="O1190" s="1520">
        <v>2</v>
      </c>
    </row>
    <row r="1191" spans="3:15" ht="13.5">
      <c r="C1191" s="1526" t="s">
        <v>5152</v>
      </c>
      <c r="D1191" s="1523">
        <v>0</v>
      </c>
      <c r="E1191" s="1523">
        <v>1</v>
      </c>
      <c r="F1191" s="1524">
        <v>1</v>
      </c>
      <c r="G1191" s="1537" t="s">
        <v>5152</v>
      </c>
      <c r="H1191" s="1521">
        <v>0</v>
      </c>
      <c r="I1191" s="1521">
        <v>1</v>
      </c>
      <c r="J1191" s="1538">
        <v>1</v>
      </c>
      <c r="K1191" s="1525"/>
      <c r="L1191" s="1519">
        <v>13113140406</v>
      </c>
      <c r="M1191" s="1520">
        <v>0</v>
      </c>
      <c r="N1191" s="1520">
        <v>1</v>
      </c>
      <c r="O1191" s="1520">
        <v>1</v>
      </c>
    </row>
    <row r="1192" spans="3:15" ht="13.5">
      <c r="C1192" s="1526" t="s">
        <v>5153</v>
      </c>
      <c r="D1192" s="1523">
        <v>1</v>
      </c>
      <c r="E1192" s="1523">
        <v>1</v>
      </c>
      <c r="F1192" s="1524">
        <v>2</v>
      </c>
      <c r="G1192" s="1537" t="s">
        <v>5153</v>
      </c>
      <c r="H1192" s="1521">
        <v>1</v>
      </c>
      <c r="I1192" s="1521">
        <v>1</v>
      </c>
      <c r="J1192" s="1538">
        <v>2</v>
      </c>
      <c r="K1192" s="1525"/>
      <c r="L1192" s="1519">
        <v>13113140407</v>
      </c>
      <c r="M1192" s="1520">
        <v>1</v>
      </c>
      <c r="N1192" s="1520">
        <v>1</v>
      </c>
      <c r="O1192" s="1520">
        <v>2</v>
      </c>
    </row>
    <row r="1193" spans="3:15" ht="13.5">
      <c r="C1193" s="1526" t="s">
        <v>5154</v>
      </c>
      <c r="D1193" s="1523">
        <v>1</v>
      </c>
      <c r="E1193" s="1523">
        <v>1</v>
      </c>
      <c r="F1193" s="1524">
        <v>2</v>
      </c>
      <c r="G1193" s="1537" t="s">
        <v>5154</v>
      </c>
      <c r="H1193" s="1521">
        <v>1</v>
      </c>
      <c r="I1193" s="1521">
        <v>1</v>
      </c>
      <c r="J1193" s="1538">
        <v>2</v>
      </c>
      <c r="K1193" s="1525"/>
      <c r="L1193" s="1519">
        <v>13113140408</v>
      </c>
      <c r="M1193" s="1520">
        <v>1</v>
      </c>
      <c r="N1193" s="1520">
        <v>1</v>
      </c>
      <c r="O1193" s="1520">
        <v>2</v>
      </c>
    </row>
    <row r="1194" spans="3:15" ht="13.5">
      <c r="C1194" s="1526" t="s">
        <v>5155</v>
      </c>
      <c r="D1194" s="1523">
        <v>1</v>
      </c>
      <c r="E1194" s="1523">
        <v>1</v>
      </c>
      <c r="F1194" s="1524">
        <v>2</v>
      </c>
      <c r="G1194" s="1537" t="s">
        <v>5155</v>
      </c>
      <c r="H1194" s="1521">
        <v>1</v>
      </c>
      <c r="I1194" s="1521">
        <v>1</v>
      </c>
      <c r="J1194" s="1538">
        <v>2</v>
      </c>
      <c r="K1194" s="1525"/>
      <c r="L1194" s="1519">
        <v>13113140501</v>
      </c>
      <c r="M1194" s="1520">
        <v>1</v>
      </c>
      <c r="N1194" s="1520">
        <v>1</v>
      </c>
      <c r="O1194" s="1520">
        <v>2</v>
      </c>
    </row>
    <row r="1195" spans="3:15" ht="13.5">
      <c r="C1195" s="1526" t="s">
        <v>5156</v>
      </c>
      <c r="D1195" s="1523">
        <v>1</v>
      </c>
      <c r="E1195" s="1523">
        <v>1</v>
      </c>
      <c r="F1195" s="1524">
        <v>2</v>
      </c>
      <c r="G1195" s="1537" t="s">
        <v>5156</v>
      </c>
      <c r="H1195" s="1521">
        <v>1</v>
      </c>
      <c r="I1195" s="1521">
        <v>1</v>
      </c>
      <c r="J1195" s="1538">
        <v>2</v>
      </c>
      <c r="K1195" s="1525"/>
      <c r="L1195" s="1519">
        <v>13113140502</v>
      </c>
      <c r="M1195" s="1520">
        <v>1</v>
      </c>
      <c r="N1195" s="1520">
        <v>1</v>
      </c>
      <c r="O1195" s="1520">
        <v>2</v>
      </c>
    </row>
    <row r="1196" spans="3:15" ht="13.5">
      <c r="C1196" s="1526" t="s">
        <v>5157</v>
      </c>
      <c r="D1196" s="1523">
        <v>0</v>
      </c>
      <c r="E1196" s="1523">
        <v>0</v>
      </c>
      <c r="F1196" s="1524">
        <v>0</v>
      </c>
      <c r="G1196" s="1537" t="s">
        <v>5157</v>
      </c>
      <c r="H1196" s="1521">
        <v>0</v>
      </c>
      <c r="I1196" s="1521">
        <v>1</v>
      </c>
      <c r="J1196" s="1538">
        <v>1</v>
      </c>
      <c r="K1196" s="1525"/>
      <c r="L1196" s="1519">
        <v>13115000100</v>
      </c>
      <c r="M1196" s="1520">
        <v>0</v>
      </c>
      <c r="N1196" s="1520">
        <v>1</v>
      </c>
      <c r="O1196" s="1520">
        <v>1</v>
      </c>
    </row>
    <row r="1197" spans="3:15" ht="13.5">
      <c r="C1197" s="1526" t="s">
        <v>5158</v>
      </c>
      <c r="D1197" s="1523">
        <v>1</v>
      </c>
      <c r="E1197" s="1523">
        <v>1</v>
      </c>
      <c r="F1197" s="1524">
        <v>2</v>
      </c>
      <c r="G1197" s="1537" t="s">
        <v>5158</v>
      </c>
      <c r="H1197" s="1521">
        <v>1</v>
      </c>
      <c r="I1197" s="1521">
        <v>0</v>
      </c>
      <c r="J1197" s="1538">
        <v>1</v>
      </c>
      <c r="K1197" s="1525"/>
      <c r="L1197" s="1519">
        <v>13115000201</v>
      </c>
      <c r="M1197" s="1520">
        <v>1</v>
      </c>
      <c r="N1197" s="1520">
        <v>1</v>
      </c>
      <c r="O1197" s="1520">
        <v>2</v>
      </c>
    </row>
    <row r="1198" spans="3:15" ht="13.5">
      <c r="C1198" s="1526" t="s">
        <v>5159</v>
      </c>
      <c r="D1198" s="1523">
        <v>1</v>
      </c>
      <c r="E1198" s="1523">
        <v>1</v>
      </c>
      <c r="F1198" s="1524">
        <v>2</v>
      </c>
      <c r="G1198" s="1537" t="s">
        <v>5159</v>
      </c>
      <c r="H1198" s="1521">
        <v>1</v>
      </c>
      <c r="I1198" s="1521">
        <v>1</v>
      </c>
      <c r="J1198" s="1538">
        <v>2</v>
      </c>
      <c r="K1198" s="1525"/>
      <c r="L1198" s="1519">
        <v>13115000202</v>
      </c>
      <c r="M1198" s="1520">
        <v>1</v>
      </c>
      <c r="N1198" s="1520">
        <v>1</v>
      </c>
      <c r="O1198" s="1521">
        <v>2</v>
      </c>
    </row>
    <row r="1199" spans="3:15" ht="13.5">
      <c r="C1199" s="1526" t="s">
        <v>5160</v>
      </c>
      <c r="D1199" s="1523">
        <v>1</v>
      </c>
      <c r="E1199" s="1523">
        <v>1</v>
      </c>
      <c r="F1199" s="1524">
        <v>2</v>
      </c>
      <c r="G1199" s="1537" t="s">
        <v>5160</v>
      </c>
      <c r="H1199" s="1521">
        <v>1</v>
      </c>
      <c r="I1199" s="1521">
        <v>1</v>
      </c>
      <c r="J1199" s="1538">
        <v>2</v>
      </c>
      <c r="K1199" s="1525"/>
      <c r="L1199" s="1519">
        <v>13115000300</v>
      </c>
      <c r="M1199" s="1520">
        <v>1</v>
      </c>
      <c r="N1199" s="1520">
        <v>1</v>
      </c>
      <c r="O1199" s="1521">
        <v>2</v>
      </c>
    </row>
    <row r="1200" spans="3:15" ht="13.5">
      <c r="C1200" s="1526" t="s">
        <v>5161</v>
      </c>
      <c r="D1200" s="1523">
        <v>0</v>
      </c>
      <c r="E1200" s="1523">
        <v>0</v>
      </c>
      <c r="F1200" s="1524">
        <v>0</v>
      </c>
      <c r="G1200" s="1537" t="s">
        <v>5161</v>
      </c>
      <c r="H1200" s="1521">
        <v>0</v>
      </c>
      <c r="I1200" s="1521">
        <v>1</v>
      </c>
      <c r="J1200" s="1538">
        <v>1</v>
      </c>
      <c r="K1200" s="1525"/>
      <c r="L1200" s="1519">
        <v>13115000400</v>
      </c>
      <c r="M1200" s="1520">
        <v>0</v>
      </c>
      <c r="N1200" s="1520">
        <v>1</v>
      </c>
      <c r="O1200" s="1521">
        <v>1</v>
      </c>
    </row>
    <row r="1201" spans="3:15" ht="13.5">
      <c r="C1201" s="1526" t="s">
        <v>5162</v>
      </c>
      <c r="D1201" s="1523">
        <v>0</v>
      </c>
      <c r="E1201" s="1523">
        <v>0</v>
      </c>
      <c r="F1201" s="1524">
        <v>0</v>
      </c>
      <c r="G1201" s="1537" t="s">
        <v>5162</v>
      </c>
      <c r="H1201" s="1521">
        <v>0</v>
      </c>
      <c r="I1201" s="1521">
        <v>0</v>
      </c>
      <c r="J1201" s="1538">
        <v>0</v>
      </c>
      <c r="K1201" s="1525"/>
      <c r="L1201" s="1519">
        <v>13115000500</v>
      </c>
      <c r="M1201" s="1520">
        <v>0</v>
      </c>
      <c r="N1201" s="1520">
        <v>0</v>
      </c>
      <c r="O1201" s="1521">
        <v>0</v>
      </c>
    </row>
    <row r="1202" spans="3:15" ht="13.5">
      <c r="C1202" s="1526" t="s">
        <v>5163</v>
      </c>
      <c r="D1202" s="1523">
        <v>0</v>
      </c>
      <c r="E1202" s="1523">
        <v>0</v>
      </c>
      <c r="F1202" s="1524">
        <v>0</v>
      </c>
      <c r="G1202" s="1537" t="s">
        <v>5163</v>
      </c>
      <c r="H1202" s="1521">
        <v>0</v>
      </c>
      <c r="I1202" s="1521">
        <v>0</v>
      </c>
      <c r="J1202" s="1538">
        <v>0</v>
      </c>
      <c r="K1202" s="1525"/>
      <c r="L1202" s="1519">
        <v>13115000600</v>
      </c>
      <c r="M1202" s="1520">
        <v>0</v>
      </c>
      <c r="N1202" s="1520">
        <v>0</v>
      </c>
      <c r="O1202" s="1521">
        <v>0</v>
      </c>
    </row>
    <row r="1203" spans="3:15" ht="13.5">
      <c r="C1203" s="1526" t="s">
        <v>5164</v>
      </c>
      <c r="D1203" s="1523">
        <v>1</v>
      </c>
      <c r="E1203" s="1523">
        <v>1</v>
      </c>
      <c r="F1203" s="1524">
        <v>2</v>
      </c>
      <c r="G1203" s="1537" t="s">
        <v>5164</v>
      </c>
      <c r="H1203" s="1521">
        <v>0</v>
      </c>
      <c r="I1203" s="1521">
        <v>1</v>
      </c>
      <c r="J1203" s="1538">
        <v>1</v>
      </c>
      <c r="K1203" s="1525"/>
      <c r="L1203" s="1519">
        <v>13115000700</v>
      </c>
      <c r="M1203" s="1520">
        <v>1</v>
      </c>
      <c r="N1203" s="1520">
        <v>1</v>
      </c>
      <c r="O1203" s="1521">
        <v>2</v>
      </c>
    </row>
    <row r="1204" spans="3:15" ht="13.5">
      <c r="C1204" s="1526" t="s">
        <v>5165</v>
      </c>
      <c r="D1204" s="1523">
        <v>1</v>
      </c>
      <c r="E1204" s="1523">
        <v>1</v>
      </c>
      <c r="F1204" s="1524">
        <v>2</v>
      </c>
      <c r="G1204" s="1537" t="s">
        <v>5165</v>
      </c>
      <c r="H1204" s="1521">
        <v>1</v>
      </c>
      <c r="I1204" s="1521">
        <v>1</v>
      </c>
      <c r="J1204" s="1538">
        <v>2</v>
      </c>
      <c r="K1204" s="1525"/>
      <c r="L1204" s="1519">
        <v>13115000800</v>
      </c>
      <c r="M1204" s="1520">
        <v>1</v>
      </c>
      <c r="N1204" s="1520">
        <v>1</v>
      </c>
      <c r="O1204" s="1521">
        <v>2</v>
      </c>
    </row>
    <row r="1205" spans="3:15" ht="13.5">
      <c r="C1205" s="1526" t="s">
        <v>5166</v>
      </c>
      <c r="D1205" s="1523">
        <v>0</v>
      </c>
      <c r="E1205" s="1523">
        <v>1</v>
      </c>
      <c r="F1205" s="1524">
        <v>1</v>
      </c>
      <c r="G1205" s="1537" t="s">
        <v>5166</v>
      </c>
      <c r="H1205" s="1521">
        <v>0</v>
      </c>
      <c r="I1205" s="1521">
        <v>1</v>
      </c>
      <c r="J1205" s="1538">
        <v>1</v>
      </c>
      <c r="K1205" s="1525"/>
      <c r="L1205" s="1519">
        <v>13115000900</v>
      </c>
      <c r="M1205" s="1520">
        <v>0</v>
      </c>
      <c r="N1205" s="1520">
        <v>1</v>
      </c>
      <c r="O1205" s="1521">
        <v>1</v>
      </c>
    </row>
    <row r="1206" spans="3:15" ht="13.5">
      <c r="C1206" s="1526" t="s">
        <v>5167</v>
      </c>
      <c r="D1206" s="1523">
        <v>0</v>
      </c>
      <c r="E1206" s="1523">
        <v>0</v>
      </c>
      <c r="F1206" s="1524">
        <v>0</v>
      </c>
      <c r="G1206" s="1537" t="s">
        <v>5167</v>
      </c>
      <c r="H1206" s="1521">
        <v>0</v>
      </c>
      <c r="I1206" s="1521">
        <v>0</v>
      </c>
      <c r="J1206" s="1538">
        <v>0</v>
      </c>
      <c r="K1206" s="1525"/>
      <c r="L1206" s="1519">
        <v>13115001100</v>
      </c>
      <c r="M1206" s="1520">
        <v>0</v>
      </c>
      <c r="N1206" s="1520">
        <v>0</v>
      </c>
      <c r="O1206" s="1521">
        <v>0</v>
      </c>
    </row>
    <row r="1207" spans="3:15" ht="13.5">
      <c r="C1207" s="1526" t="s">
        <v>5168</v>
      </c>
      <c r="D1207" s="1523">
        <v>0</v>
      </c>
      <c r="E1207" s="1523">
        <v>0</v>
      </c>
      <c r="F1207" s="1524">
        <v>0</v>
      </c>
      <c r="G1207" s="1537" t="s">
        <v>5168</v>
      </c>
      <c r="H1207" s="1521">
        <v>0</v>
      </c>
      <c r="I1207" s="1521">
        <v>0</v>
      </c>
      <c r="J1207" s="1538">
        <v>0</v>
      </c>
      <c r="K1207" s="1525"/>
      <c r="L1207" s="1519">
        <v>13115001200</v>
      </c>
      <c r="M1207" s="1520">
        <v>0</v>
      </c>
      <c r="N1207" s="1520">
        <v>0</v>
      </c>
      <c r="O1207" s="1521">
        <v>0</v>
      </c>
    </row>
    <row r="1208" spans="3:15" ht="13.5">
      <c r="C1208" s="1526" t="s">
        <v>5169</v>
      </c>
      <c r="D1208" s="1523">
        <v>0</v>
      </c>
      <c r="E1208" s="1523">
        <v>0</v>
      </c>
      <c r="F1208" s="1524">
        <v>0</v>
      </c>
      <c r="G1208" s="1537" t="s">
        <v>5169</v>
      </c>
      <c r="H1208" s="1521">
        <v>0</v>
      </c>
      <c r="I1208" s="1521">
        <v>0</v>
      </c>
      <c r="J1208" s="1538">
        <v>0</v>
      </c>
      <c r="K1208" s="1525"/>
      <c r="L1208" s="1519">
        <v>13115001300</v>
      </c>
      <c r="M1208" s="1520">
        <v>0</v>
      </c>
      <c r="N1208" s="1520">
        <v>0</v>
      </c>
      <c r="O1208" s="1521">
        <v>0</v>
      </c>
    </row>
    <row r="1209" spans="3:15" ht="13.5">
      <c r="C1209" s="1526" t="s">
        <v>5170</v>
      </c>
      <c r="D1209" s="1523">
        <v>1</v>
      </c>
      <c r="E1209" s="1523">
        <v>1</v>
      </c>
      <c r="F1209" s="1524">
        <v>2</v>
      </c>
      <c r="G1209" s="1537" t="s">
        <v>5170</v>
      </c>
      <c r="H1209" s="1521">
        <v>0</v>
      </c>
      <c r="I1209" s="1521">
        <v>1</v>
      </c>
      <c r="J1209" s="1538">
        <v>1</v>
      </c>
      <c r="K1209" s="1525"/>
      <c r="L1209" s="1519">
        <v>13115001400</v>
      </c>
      <c r="M1209" s="1520">
        <v>1</v>
      </c>
      <c r="N1209" s="1520">
        <v>1</v>
      </c>
      <c r="O1209" s="1521">
        <v>2</v>
      </c>
    </row>
    <row r="1210" spans="3:15" ht="13.5">
      <c r="C1210" s="1526" t="s">
        <v>5171</v>
      </c>
      <c r="D1210" s="1523">
        <v>0</v>
      </c>
      <c r="E1210" s="1523">
        <v>0</v>
      </c>
      <c r="F1210" s="1524">
        <v>0</v>
      </c>
      <c r="G1210" s="1537" t="s">
        <v>5171</v>
      </c>
      <c r="H1210" s="1521">
        <v>0</v>
      </c>
      <c r="I1210" s="1521">
        <v>0</v>
      </c>
      <c r="J1210" s="1538">
        <v>0</v>
      </c>
      <c r="K1210" s="1525"/>
      <c r="L1210" s="1519">
        <v>13115001600</v>
      </c>
      <c r="M1210" s="1520">
        <v>0</v>
      </c>
      <c r="N1210" s="1520">
        <v>0</v>
      </c>
      <c r="O1210" s="1521">
        <v>0</v>
      </c>
    </row>
    <row r="1211" spans="3:15" ht="13.5">
      <c r="C1211" s="1526" t="s">
        <v>5172</v>
      </c>
      <c r="D1211" s="1523">
        <v>1</v>
      </c>
      <c r="E1211" s="1523">
        <v>0</v>
      </c>
      <c r="F1211" s="1524">
        <v>1</v>
      </c>
      <c r="G1211" s="1537" t="s">
        <v>5172</v>
      </c>
      <c r="H1211" s="1521">
        <v>1</v>
      </c>
      <c r="I1211" s="1521">
        <v>1</v>
      </c>
      <c r="J1211" s="1538">
        <v>2</v>
      </c>
      <c r="K1211" s="1525"/>
      <c r="L1211" s="1519">
        <v>13115001701</v>
      </c>
      <c r="M1211" s="1520">
        <v>1</v>
      </c>
      <c r="N1211" s="1520">
        <v>1</v>
      </c>
      <c r="O1211" s="1521">
        <v>2</v>
      </c>
    </row>
    <row r="1212" spans="3:15" ht="13.5">
      <c r="C1212" s="1526" t="s">
        <v>5173</v>
      </c>
      <c r="D1212" s="1523">
        <v>1</v>
      </c>
      <c r="E1212" s="1523">
        <v>1</v>
      </c>
      <c r="F1212" s="1524">
        <v>2</v>
      </c>
      <c r="G1212" s="1537" t="s">
        <v>5173</v>
      </c>
      <c r="H1212" s="1521">
        <v>0</v>
      </c>
      <c r="I1212" s="1521">
        <v>0</v>
      </c>
      <c r="J1212" s="1538">
        <v>0</v>
      </c>
      <c r="K1212" s="1525"/>
      <c r="L1212" s="1519">
        <v>13115001702</v>
      </c>
      <c r="M1212" s="1520">
        <v>1</v>
      </c>
      <c r="N1212" s="1520">
        <v>1</v>
      </c>
      <c r="O1212" s="1521">
        <v>2</v>
      </c>
    </row>
    <row r="1213" spans="3:15" ht="13.5">
      <c r="C1213" s="1526" t="s">
        <v>5174</v>
      </c>
      <c r="D1213" s="1523">
        <v>0</v>
      </c>
      <c r="E1213" s="1523">
        <v>0</v>
      </c>
      <c r="F1213" s="1524">
        <v>0</v>
      </c>
      <c r="G1213" s="1537" t="s">
        <v>5174</v>
      </c>
      <c r="H1213" s="1521">
        <v>0</v>
      </c>
      <c r="I1213" s="1521">
        <v>0</v>
      </c>
      <c r="J1213" s="1538">
        <v>0</v>
      </c>
      <c r="K1213" s="1525"/>
      <c r="L1213" s="1519">
        <v>13115001800</v>
      </c>
      <c r="M1213" s="1520">
        <v>0</v>
      </c>
      <c r="N1213" s="1520">
        <v>0</v>
      </c>
      <c r="O1213" s="1521">
        <v>0</v>
      </c>
    </row>
    <row r="1214" spans="3:15" ht="13.5">
      <c r="C1214" s="1526" t="s">
        <v>5175</v>
      </c>
      <c r="D1214" s="1523">
        <v>0</v>
      </c>
      <c r="E1214" s="1523">
        <v>0</v>
      </c>
      <c r="F1214" s="1524">
        <v>0</v>
      </c>
      <c r="G1214" s="1537" t="s">
        <v>5175</v>
      </c>
      <c r="H1214" s="1521">
        <v>0</v>
      </c>
      <c r="I1214" s="1521">
        <v>0</v>
      </c>
      <c r="J1214" s="1538">
        <v>0</v>
      </c>
      <c r="K1214" s="1525"/>
      <c r="L1214" s="1519">
        <v>13115002000</v>
      </c>
      <c r="M1214" s="1520">
        <v>0</v>
      </c>
      <c r="N1214" s="1520">
        <v>0</v>
      </c>
      <c r="O1214" s="1521">
        <v>0</v>
      </c>
    </row>
    <row r="1215" spans="3:15" ht="13.5">
      <c r="C1215" s="1526" t="s">
        <v>5176</v>
      </c>
      <c r="D1215" s="1523">
        <v>0</v>
      </c>
      <c r="E1215" s="1523">
        <v>0</v>
      </c>
      <c r="F1215" s="1524">
        <v>0</v>
      </c>
      <c r="G1215" s="1537" t="s">
        <v>5176</v>
      </c>
      <c r="H1215" s="1521">
        <v>0</v>
      </c>
      <c r="I1215" s="1521">
        <v>0</v>
      </c>
      <c r="J1215" s="1538">
        <v>0</v>
      </c>
      <c r="K1215" s="1525"/>
      <c r="L1215" s="1519">
        <v>13115002100</v>
      </c>
      <c r="M1215" s="1520">
        <v>0</v>
      </c>
      <c r="N1215" s="1520">
        <v>0</v>
      </c>
      <c r="O1215" s="1521">
        <v>0</v>
      </c>
    </row>
    <row r="1216" spans="3:15" ht="13.5">
      <c r="C1216" s="1526" t="s">
        <v>5177</v>
      </c>
      <c r="D1216" s="1523">
        <v>1</v>
      </c>
      <c r="E1216" s="1523">
        <v>1</v>
      </c>
      <c r="F1216" s="1524">
        <v>2</v>
      </c>
      <c r="G1216" s="1537" t="s">
        <v>5177</v>
      </c>
      <c r="H1216" s="1521">
        <v>1</v>
      </c>
      <c r="I1216" s="1521">
        <v>1</v>
      </c>
      <c r="J1216" s="1538">
        <v>2</v>
      </c>
      <c r="K1216" s="1525"/>
      <c r="L1216" s="1519">
        <v>13117130101</v>
      </c>
      <c r="M1216" s="1520">
        <v>1</v>
      </c>
      <c r="N1216" s="1520">
        <v>1</v>
      </c>
      <c r="O1216" s="1521">
        <v>2</v>
      </c>
    </row>
    <row r="1217" spans="3:15" ht="13.5">
      <c r="C1217" s="1526" t="s">
        <v>5178</v>
      </c>
      <c r="D1217" s="1523">
        <v>1</v>
      </c>
      <c r="E1217" s="1523">
        <v>1</v>
      </c>
      <c r="F1217" s="1524">
        <v>2</v>
      </c>
      <c r="G1217" s="1537" t="s">
        <v>5178</v>
      </c>
      <c r="H1217" s="1521">
        <v>1</v>
      </c>
      <c r="I1217" s="1521">
        <v>1</v>
      </c>
      <c r="J1217" s="1538">
        <v>2</v>
      </c>
      <c r="K1217" s="1525"/>
      <c r="L1217" s="1519">
        <v>13117130102</v>
      </c>
      <c r="M1217" s="1520">
        <v>1</v>
      </c>
      <c r="N1217" s="1520">
        <v>1</v>
      </c>
      <c r="O1217" s="1521">
        <v>2</v>
      </c>
    </row>
    <row r="1218" spans="3:15" ht="13.5">
      <c r="C1218" s="1526" t="s">
        <v>5179</v>
      </c>
      <c r="D1218" s="1523">
        <v>1</v>
      </c>
      <c r="E1218" s="1523">
        <v>1</v>
      </c>
      <c r="F1218" s="1524">
        <v>2</v>
      </c>
      <c r="G1218" s="1537" t="s">
        <v>5179</v>
      </c>
      <c r="H1218" s="1521">
        <v>1</v>
      </c>
      <c r="I1218" s="1521">
        <v>0</v>
      </c>
      <c r="J1218" s="1538">
        <v>1</v>
      </c>
      <c r="K1218" s="1525"/>
      <c r="L1218" s="1519">
        <v>13117130103</v>
      </c>
      <c r="M1218" s="1520">
        <v>1</v>
      </c>
      <c r="N1218" s="1520">
        <v>1</v>
      </c>
      <c r="O1218" s="1521">
        <v>2</v>
      </c>
    </row>
    <row r="1219" spans="3:15" ht="13.5">
      <c r="C1219" s="1526" t="s">
        <v>5180</v>
      </c>
      <c r="D1219" s="1523">
        <v>1</v>
      </c>
      <c r="E1219" s="1523">
        <v>1</v>
      </c>
      <c r="F1219" s="1524">
        <v>2</v>
      </c>
      <c r="G1219" s="1537" t="s">
        <v>5180</v>
      </c>
      <c r="H1219" s="1521">
        <v>1</v>
      </c>
      <c r="I1219" s="1521">
        <v>1</v>
      </c>
      <c r="J1219" s="1538">
        <v>2</v>
      </c>
      <c r="K1219" s="1525"/>
      <c r="L1219" s="1519">
        <v>13117130104</v>
      </c>
      <c r="M1219" s="1520">
        <v>1</v>
      </c>
      <c r="N1219" s="1520">
        <v>1</v>
      </c>
      <c r="O1219" s="1521">
        <v>2</v>
      </c>
    </row>
    <row r="1220" spans="3:15" ht="13.5">
      <c r="C1220" s="1526" t="s">
        <v>5181</v>
      </c>
      <c r="D1220" s="1523">
        <v>0</v>
      </c>
      <c r="E1220" s="1523">
        <v>0</v>
      </c>
      <c r="F1220" s="1524">
        <v>0</v>
      </c>
      <c r="G1220" s="1537" t="s">
        <v>5181</v>
      </c>
      <c r="H1220" s="1521">
        <v>0</v>
      </c>
      <c r="I1220" s="1521">
        <v>1</v>
      </c>
      <c r="J1220" s="1538">
        <v>1</v>
      </c>
      <c r="K1220" s="1525"/>
      <c r="L1220" s="1519">
        <v>13117130105</v>
      </c>
      <c r="M1220" s="1520">
        <v>0</v>
      </c>
      <c r="N1220" s="1520">
        <v>1</v>
      </c>
      <c r="O1220" s="1521">
        <v>1</v>
      </c>
    </row>
    <row r="1221" spans="3:15" ht="13.5">
      <c r="C1221" s="1526" t="s">
        <v>5182</v>
      </c>
      <c r="D1221" s="1523">
        <v>1</v>
      </c>
      <c r="E1221" s="1523">
        <v>1</v>
      </c>
      <c r="F1221" s="1524">
        <v>2</v>
      </c>
      <c r="G1221" s="1537" t="s">
        <v>5182</v>
      </c>
      <c r="H1221" s="1521">
        <v>1</v>
      </c>
      <c r="I1221" s="1521">
        <v>1</v>
      </c>
      <c r="J1221" s="1538">
        <v>2</v>
      </c>
      <c r="K1221" s="1525"/>
      <c r="L1221" s="1519">
        <v>13117130201</v>
      </c>
      <c r="M1221" s="1520">
        <v>1</v>
      </c>
      <c r="N1221" s="1520">
        <v>1</v>
      </c>
      <c r="O1221" s="1521">
        <v>2</v>
      </c>
    </row>
    <row r="1222" spans="3:15" ht="13.5">
      <c r="C1222" s="1526" t="s">
        <v>5183</v>
      </c>
      <c r="D1222" s="1523">
        <v>1</v>
      </c>
      <c r="E1222" s="1523">
        <v>1</v>
      </c>
      <c r="F1222" s="1524">
        <v>2</v>
      </c>
      <c r="G1222" s="1537" t="s">
        <v>5183</v>
      </c>
      <c r="H1222" s="1521">
        <v>1</v>
      </c>
      <c r="I1222" s="1521" t="s">
        <v>4099</v>
      </c>
      <c r="J1222" s="1538">
        <v>1</v>
      </c>
      <c r="K1222" s="1525"/>
      <c r="L1222" s="1519">
        <v>13117130202</v>
      </c>
      <c r="M1222" s="1520">
        <v>1</v>
      </c>
      <c r="N1222" s="1520">
        <v>1</v>
      </c>
      <c r="O1222" s="1521">
        <v>2</v>
      </c>
    </row>
    <row r="1223" spans="3:15" ht="13.5">
      <c r="C1223" s="1526" t="s">
        <v>5184</v>
      </c>
      <c r="D1223" s="1523">
        <v>1</v>
      </c>
      <c r="E1223" s="1523">
        <v>1</v>
      </c>
      <c r="F1223" s="1524">
        <v>2</v>
      </c>
      <c r="G1223" s="1537" t="s">
        <v>5184</v>
      </c>
      <c r="H1223" s="1521">
        <v>1</v>
      </c>
      <c r="I1223" s="1521">
        <v>1</v>
      </c>
      <c r="J1223" s="1538">
        <v>2</v>
      </c>
      <c r="K1223" s="1525"/>
      <c r="L1223" s="1519">
        <v>13117130203</v>
      </c>
      <c r="M1223" s="1520">
        <v>1</v>
      </c>
      <c r="N1223" s="1520">
        <v>1</v>
      </c>
      <c r="O1223" s="1521">
        <v>2</v>
      </c>
    </row>
    <row r="1224" spans="3:15" ht="13.5">
      <c r="C1224" s="1526" t="s">
        <v>5185</v>
      </c>
      <c r="D1224" s="1523">
        <v>1</v>
      </c>
      <c r="E1224" s="1523">
        <v>0</v>
      </c>
      <c r="F1224" s="1524">
        <v>1</v>
      </c>
      <c r="G1224" s="1537" t="s">
        <v>5185</v>
      </c>
      <c r="H1224" s="1521">
        <v>1</v>
      </c>
      <c r="I1224" s="1521">
        <v>0</v>
      </c>
      <c r="J1224" s="1538">
        <v>1</v>
      </c>
      <c r="K1224" s="1525"/>
      <c r="L1224" s="1519">
        <v>13117130204</v>
      </c>
      <c r="M1224" s="1520">
        <v>1</v>
      </c>
      <c r="N1224" s="1520">
        <v>0</v>
      </c>
      <c r="O1224" s="1521">
        <v>1</v>
      </c>
    </row>
    <row r="1225" spans="3:15" ht="13.5">
      <c r="C1225" s="1526" t="s">
        <v>5186</v>
      </c>
      <c r="D1225" s="1523">
        <v>1</v>
      </c>
      <c r="E1225" s="1523">
        <v>1</v>
      </c>
      <c r="F1225" s="1524">
        <v>2</v>
      </c>
      <c r="G1225" s="1537" t="s">
        <v>5186</v>
      </c>
      <c r="H1225" s="1521">
        <v>1</v>
      </c>
      <c r="I1225" s="1521" t="s">
        <v>4099</v>
      </c>
      <c r="J1225" s="1538">
        <v>1</v>
      </c>
      <c r="K1225" s="1525"/>
      <c r="L1225" s="1519">
        <v>13117130205</v>
      </c>
      <c r="M1225" s="1520">
        <v>1</v>
      </c>
      <c r="N1225" s="1520">
        <v>1</v>
      </c>
      <c r="O1225" s="1521">
        <v>2</v>
      </c>
    </row>
    <row r="1226" spans="3:15" ht="13.5">
      <c r="C1226" s="1526" t="s">
        <v>5187</v>
      </c>
      <c r="D1226" s="1523">
        <v>1</v>
      </c>
      <c r="E1226" s="1523">
        <v>1</v>
      </c>
      <c r="F1226" s="1524">
        <v>2</v>
      </c>
      <c r="G1226" s="1537" t="s">
        <v>5187</v>
      </c>
      <c r="H1226" s="1521">
        <v>1</v>
      </c>
      <c r="I1226" s="1521">
        <v>1</v>
      </c>
      <c r="J1226" s="1538">
        <v>2</v>
      </c>
      <c r="K1226" s="1525"/>
      <c r="L1226" s="1519">
        <v>13117130301</v>
      </c>
      <c r="M1226" s="1520">
        <v>1</v>
      </c>
      <c r="N1226" s="1520">
        <v>1</v>
      </c>
      <c r="O1226" s="1521">
        <v>2</v>
      </c>
    </row>
    <row r="1227" spans="3:15" ht="13.5">
      <c r="C1227" s="1526" t="s">
        <v>5188</v>
      </c>
      <c r="D1227" s="1523">
        <v>1</v>
      </c>
      <c r="E1227" s="1523">
        <v>1</v>
      </c>
      <c r="F1227" s="1524">
        <v>2</v>
      </c>
      <c r="G1227" s="1537" t="s">
        <v>5188</v>
      </c>
      <c r="H1227" s="1521">
        <v>1</v>
      </c>
      <c r="I1227" s="1521">
        <v>1</v>
      </c>
      <c r="J1227" s="1538">
        <v>2</v>
      </c>
      <c r="K1227" s="1525"/>
      <c r="L1227" s="1519">
        <v>13117130302</v>
      </c>
      <c r="M1227" s="1520">
        <v>1</v>
      </c>
      <c r="N1227" s="1520">
        <v>1</v>
      </c>
      <c r="O1227" s="1521">
        <v>2</v>
      </c>
    </row>
    <row r="1228" spans="3:15" ht="13.5">
      <c r="C1228" s="1526" t="s">
        <v>5189</v>
      </c>
      <c r="D1228" s="1523">
        <v>1</v>
      </c>
      <c r="E1228" s="1523">
        <v>1</v>
      </c>
      <c r="F1228" s="1524">
        <v>2</v>
      </c>
      <c r="G1228" s="1537" t="s">
        <v>5189</v>
      </c>
      <c r="H1228" s="1521">
        <v>1</v>
      </c>
      <c r="I1228" s="1521">
        <v>1</v>
      </c>
      <c r="J1228" s="1538">
        <v>2</v>
      </c>
      <c r="K1228" s="1525"/>
      <c r="L1228" s="1519">
        <v>13117130303</v>
      </c>
      <c r="M1228" s="1520">
        <v>1</v>
      </c>
      <c r="N1228" s="1520">
        <v>1</v>
      </c>
      <c r="O1228" s="1521">
        <v>2</v>
      </c>
    </row>
    <row r="1229" spans="3:15" ht="13.5">
      <c r="C1229" s="1526" t="s">
        <v>5190</v>
      </c>
      <c r="D1229" s="1523">
        <v>1</v>
      </c>
      <c r="E1229" s="1523">
        <v>1</v>
      </c>
      <c r="F1229" s="1524">
        <v>2</v>
      </c>
      <c r="G1229" s="1537" t="s">
        <v>5190</v>
      </c>
      <c r="H1229" s="1521">
        <v>1</v>
      </c>
      <c r="I1229" s="1521">
        <v>1</v>
      </c>
      <c r="J1229" s="1538">
        <v>2</v>
      </c>
      <c r="K1229" s="1525"/>
      <c r="L1229" s="1519">
        <v>13117130304</v>
      </c>
      <c r="M1229" s="1520">
        <v>1</v>
      </c>
      <c r="N1229" s="1520">
        <v>1</v>
      </c>
      <c r="O1229" s="1521">
        <v>2</v>
      </c>
    </row>
    <row r="1230" spans="3:15" ht="13.5">
      <c r="C1230" s="1526" t="s">
        <v>5191</v>
      </c>
      <c r="D1230" s="1523">
        <v>1</v>
      </c>
      <c r="E1230" s="1523">
        <v>1</v>
      </c>
      <c r="F1230" s="1524">
        <v>2</v>
      </c>
      <c r="G1230" s="1537" t="s">
        <v>5191</v>
      </c>
      <c r="H1230" s="1521">
        <v>1</v>
      </c>
      <c r="I1230" s="1521">
        <v>1</v>
      </c>
      <c r="J1230" s="1538">
        <v>2</v>
      </c>
      <c r="K1230" s="1525"/>
      <c r="L1230" s="1519">
        <v>13117130305</v>
      </c>
      <c r="M1230" s="1520">
        <v>1</v>
      </c>
      <c r="N1230" s="1520">
        <v>1</v>
      </c>
      <c r="O1230" s="1521">
        <v>2</v>
      </c>
    </row>
    <row r="1231" spans="3:15" ht="13.5">
      <c r="C1231" s="1526" t="s">
        <v>5192</v>
      </c>
      <c r="D1231" s="1523">
        <v>1</v>
      </c>
      <c r="E1231" s="1523">
        <v>1</v>
      </c>
      <c r="F1231" s="1524">
        <v>2</v>
      </c>
      <c r="G1231" s="1537" t="s">
        <v>5192</v>
      </c>
      <c r="H1231" s="1521">
        <v>1</v>
      </c>
      <c r="I1231" s="1521">
        <v>1</v>
      </c>
      <c r="J1231" s="1538">
        <v>2</v>
      </c>
      <c r="K1231" s="1525"/>
      <c r="L1231" s="1519">
        <v>13117130306</v>
      </c>
      <c r="M1231" s="1520">
        <v>1</v>
      </c>
      <c r="N1231" s="1520">
        <v>1</v>
      </c>
      <c r="O1231" s="1521">
        <v>2</v>
      </c>
    </row>
    <row r="1232" spans="3:15" ht="13.5">
      <c r="C1232" s="1526" t="s">
        <v>5193</v>
      </c>
      <c r="D1232" s="1523">
        <v>1</v>
      </c>
      <c r="E1232" s="1523">
        <v>1</v>
      </c>
      <c r="F1232" s="1524">
        <v>2</v>
      </c>
      <c r="G1232" s="1537" t="s">
        <v>5193</v>
      </c>
      <c r="H1232" s="1521">
        <v>1</v>
      </c>
      <c r="I1232" s="1521">
        <v>1</v>
      </c>
      <c r="J1232" s="1538">
        <v>2</v>
      </c>
      <c r="K1232" s="1525"/>
      <c r="L1232" s="1519">
        <v>13117130307</v>
      </c>
      <c r="M1232" s="1520">
        <v>1</v>
      </c>
      <c r="N1232" s="1520">
        <v>1</v>
      </c>
      <c r="O1232" s="1521">
        <v>2</v>
      </c>
    </row>
    <row r="1233" spans="3:15" ht="13.5">
      <c r="C1233" s="1526" t="s">
        <v>5194</v>
      </c>
      <c r="D1233" s="1523">
        <v>1</v>
      </c>
      <c r="E1233" s="1523">
        <v>1</v>
      </c>
      <c r="F1233" s="1524">
        <v>2</v>
      </c>
      <c r="G1233" s="1537" t="s">
        <v>5194</v>
      </c>
      <c r="H1233" s="1521">
        <v>1</v>
      </c>
      <c r="I1233" s="1521">
        <v>1</v>
      </c>
      <c r="J1233" s="1538">
        <v>2</v>
      </c>
      <c r="K1233" s="1525"/>
      <c r="L1233" s="1519">
        <v>13117130403</v>
      </c>
      <c r="M1233" s="1520">
        <v>1</v>
      </c>
      <c r="N1233" s="1520">
        <v>1</v>
      </c>
      <c r="O1233" s="1521">
        <v>2</v>
      </c>
    </row>
    <row r="1234" spans="3:15" ht="13.5">
      <c r="C1234" s="1526" t="s">
        <v>5195</v>
      </c>
      <c r="D1234" s="1523">
        <v>1</v>
      </c>
      <c r="E1234" s="1523">
        <v>1</v>
      </c>
      <c r="F1234" s="1524">
        <v>2</v>
      </c>
      <c r="G1234" s="1537" t="s">
        <v>5195</v>
      </c>
      <c r="H1234" s="1521">
        <v>1</v>
      </c>
      <c r="I1234" s="1521">
        <v>1</v>
      </c>
      <c r="J1234" s="1538">
        <v>2</v>
      </c>
      <c r="K1234" s="1525"/>
      <c r="L1234" s="1519">
        <v>13117130404</v>
      </c>
      <c r="M1234" s="1520">
        <v>1</v>
      </c>
      <c r="N1234" s="1520">
        <v>1</v>
      </c>
      <c r="O1234" s="1521">
        <v>2</v>
      </c>
    </row>
    <row r="1235" spans="3:15" ht="13.5">
      <c r="C1235" s="1526" t="s">
        <v>5196</v>
      </c>
      <c r="D1235" s="1523">
        <v>1</v>
      </c>
      <c r="E1235" s="1523">
        <v>1</v>
      </c>
      <c r="F1235" s="1524">
        <v>2</v>
      </c>
      <c r="G1235" s="1537" t="s">
        <v>5196</v>
      </c>
      <c r="H1235" s="1521">
        <v>1</v>
      </c>
      <c r="I1235" s="1521">
        <v>1</v>
      </c>
      <c r="J1235" s="1538">
        <v>2</v>
      </c>
      <c r="K1235" s="1525"/>
      <c r="L1235" s="1519">
        <v>13117130405</v>
      </c>
      <c r="M1235" s="1520">
        <v>1</v>
      </c>
      <c r="N1235" s="1520">
        <v>1</v>
      </c>
      <c r="O1235" s="1521">
        <v>2</v>
      </c>
    </row>
    <row r="1236" spans="3:15" ht="13.5">
      <c r="C1236" s="1526" t="s">
        <v>5197</v>
      </c>
      <c r="D1236" s="1523">
        <v>1</v>
      </c>
      <c r="E1236" s="1523">
        <v>0</v>
      </c>
      <c r="F1236" s="1524">
        <v>1</v>
      </c>
      <c r="G1236" s="1537" t="s">
        <v>5197</v>
      </c>
      <c r="H1236" s="1521">
        <v>1</v>
      </c>
      <c r="I1236" s="1521">
        <v>0</v>
      </c>
      <c r="J1236" s="1538">
        <v>1</v>
      </c>
      <c r="K1236" s="1525"/>
      <c r="L1236" s="1519">
        <v>13117130406</v>
      </c>
      <c r="M1236" s="1520">
        <v>1</v>
      </c>
      <c r="N1236" s="1520">
        <v>0</v>
      </c>
      <c r="O1236" s="1521">
        <v>1</v>
      </c>
    </row>
    <row r="1237" spans="3:15" ht="13.5">
      <c r="C1237" s="1526" t="s">
        <v>5198</v>
      </c>
      <c r="D1237" s="1523">
        <v>1</v>
      </c>
      <c r="E1237" s="1523">
        <v>0</v>
      </c>
      <c r="F1237" s="1524">
        <v>1</v>
      </c>
      <c r="G1237" s="1537" t="s">
        <v>5198</v>
      </c>
      <c r="H1237" s="1521">
        <v>0</v>
      </c>
      <c r="I1237" s="1521">
        <v>0</v>
      </c>
      <c r="J1237" s="1538">
        <v>0</v>
      </c>
      <c r="K1237" s="1525"/>
      <c r="L1237" s="1519">
        <v>13117130408</v>
      </c>
      <c r="M1237" s="1520">
        <v>1</v>
      </c>
      <c r="N1237" s="1520">
        <v>0</v>
      </c>
      <c r="O1237" s="1521">
        <v>1</v>
      </c>
    </row>
    <row r="1238" spans="3:15" ht="13.5">
      <c r="C1238" s="1526" t="s">
        <v>5199</v>
      </c>
      <c r="D1238" s="1523">
        <v>1</v>
      </c>
      <c r="E1238" s="1523">
        <v>1</v>
      </c>
      <c r="F1238" s="1524">
        <v>2</v>
      </c>
      <c r="G1238" s="1537" t="s">
        <v>5199</v>
      </c>
      <c r="H1238" s="1521">
        <v>1</v>
      </c>
      <c r="I1238" s="1521">
        <v>0</v>
      </c>
      <c r="J1238" s="1538">
        <v>1</v>
      </c>
      <c r="K1238" s="1525"/>
      <c r="L1238" s="1519">
        <v>13117130409</v>
      </c>
      <c r="M1238" s="1520">
        <v>1</v>
      </c>
      <c r="N1238" s="1520">
        <v>1</v>
      </c>
      <c r="O1238" s="1521">
        <v>2</v>
      </c>
    </row>
    <row r="1239" spans="3:15" ht="13.5">
      <c r="C1239" s="1526" t="s">
        <v>5200</v>
      </c>
      <c r="D1239" s="1523">
        <v>1</v>
      </c>
      <c r="E1239" s="1523">
        <v>1</v>
      </c>
      <c r="F1239" s="1524">
        <v>2</v>
      </c>
      <c r="G1239" s="1537" t="s">
        <v>5200</v>
      </c>
      <c r="H1239" s="1521">
        <v>1</v>
      </c>
      <c r="I1239" s="1521">
        <v>1</v>
      </c>
      <c r="J1239" s="1538">
        <v>1</v>
      </c>
      <c r="K1239" s="1525"/>
      <c r="L1239" s="1519">
        <v>13117130410</v>
      </c>
      <c r="M1239" s="1520">
        <v>1</v>
      </c>
      <c r="N1239" s="1520">
        <v>1</v>
      </c>
      <c r="O1239" s="1521">
        <v>2</v>
      </c>
    </row>
    <row r="1240" spans="3:15" ht="13.5">
      <c r="C1240" s="1526" t="s">
        <v>5201</v>
      </c>
      <c r="D1240" s="1523">
        <v>1</v>
      </c>
      <c r="E1240" s="1523">
        <v>1</v>
      </c>
      <c r="F1240" s="1524">
        <v>2</v>
      </c>
      <c r="G1240" s="1537" t="s">
        <v>5201</v>
      </c>
      <c r="H1240" s="1521">
        <v>1</v>
      </c>
      <c r="I1240" s="1521">
        <v>0</v>
      </c>
      <c r="J1240" s="1538">
        <v>1</v>
      </c>
      <c r="K1240" s="1525"/>
      <c r="L1240" s="1519">
        <v>13117130503</v>
      </c>
      <c r="M1240" s="1520">
        <v>1</v>
      </c>
      <c r="N1240" s="1520">
        <v>1</v>
      </c>
      <c r="O1240" s="1521">
        <v>2</v>
      </c>
    </row>
    <row r="1241" spans="3:15" ht="13.5">
      <c r="C1241" s="1526" t="s">
        <v>5202</v>
      </c>
      <c r="D1241" s="1523">
        <v>1</v>
      </c>
      <c r="E1241" s="1523">
        <v>1</v>
      </c>
      <c r="F1241" s="1524">
        <v>2</v>
      </c>
      <c r="G1241" s="1537" t="s">
        <v>5202</v>
      </c>
      <c r="H1241" s="1521">
        <v>1</v>
      </c>
      <c r="I1241" s="1521">
        <v>0</v>
      </c>
      <c r="J1241" s="1538">
        <v>1</v>
      </c>
      <c r="K1241" s="1525"/>
      <c r="L1241" s="1519">
        <v>13117130504</v>
      </c>
      <c r="M1241" s="1520">
        <v>1</v>
      </c>
      <c r="N1241" s="1520">
        <v>1</v>
      </c>
      <c r="O1241" s="1521">
        <v>2</v>
      </c>
    </row>
    <row r="1242" spans="3:15" ht="13.5">
      <c r="C1242" s="1526" t="s">
        <v>5203</v>
      </c>
      <c r="D1242" s="1523">
        <v>1</v>
      </c>
      <c r="E1242" s="1523">
        <v>1</v>
      </c>
      <c r="F1242" s="1524">
        <v>2</v>
      </c>
      <c r="G1242" s="1537" t="s">
        <v>5203</v>
      </c>
      <c r="H1242" s="1521">
        <v>1</v>
      </c>
      <c r="I1242" s="1521" t="s">
        <v>4099</v>
      </c>
      <c r="J1242" s="1538">
        <v>1</v>
      </c>
      <c r="K1242" s="1525"/>
      <c r="L1242" s="1519">
        <v>13117130505</v>
      </c>
      <c r="M1242" s="1520">
        <v>1</v>
      </c>
      <c r="N1242" s="1520">
        <v>1</v>
      </c>
      <c r="O1242" s="1521">
        <v>2</v>
      </c>
    </row>
    <row r="1243" spans="3:15" ht="13.5">
      <c r="C1243" s="1526" t="s">
        <v>5204</v>
      </c>
      <c r="D1243" s="1523">
        <v>1</v>
      </c>
      <c r="E1243" s="1523">
        <v>1</v>
      </c>
      <c r="F1243" s="1524">
        <v>2</v>
      </c>
      <c r="G1243" s="1537" t="s">
        <v>5204</v>
      </c>
      <c r="H1243" s="1521">
        <v>1</v>
      </c>
      <c r="I1243" s="1521">
        <v>1</v>
      </c>
      <c r="J1243" s="1538">
        <v>2</v>
      </c>
      <c r="K1243" s="1525"/>
      <c r="L1243" s="1519">
        <v>13117130506</v>
      </c>
      <c r="M1243" s="1520">
        <v>1</v>
      </c>
      <c r="N1243" s="1520">
        <v>1</v>
      </c>
      <c r="O1243" s="1521">
        <v>2</v>
      </c>
    </row>
    <row r="1244" spans="3:15" ht="13.5">
      <c r="C1244" s="1526" t="s">
        <v>5205</v>
      </c>
      <c r="D1244" s="1523">
        <v>1</v>
      </c>
      <c r="E1244" s="1523">
        <v>1</v>
      </c>
      <c r="F1244" s="1524">
        <v>2</v>
      </c>
      <c r="G1244" s="1537" t="s">
        <v>5205</v>
      </c>
      <c r="H1244" s="1521">
        <v>1</v>
      </c>
      <c r="I1244" s="1521">
        <v>1</v>
      </c>
      <c r="J1244" s="1538">
        <v>2</v>
      </c>
      <c r="K1244" s="1525"/>
      <c r="L1244" s="1519">
        <v>13117130507</v>
      </c>
      <c r="M1244" s="1520">
        <v>1</v>
      </c>
      <c r="N1244" s="1520">
        <v>1</v>
      </c>
      <c r="O1244" s="1521">
        <v>2</v>
      </c>
    </row>
    <row r="1245" spans="3:15" ht="13.5">
      <c r="C1245" s="1526" t="s">
        <v>5206</v>
      </c>
      <c r="D1245" s="1523">
        <v>1</v>
      </c>
      <c r="E1245" s="1523">
        <v>1</v>
      </c>
      <c r="F1245" s="1524">
        <v>2</v>
      </c>
      <c r="G1245" s="1537" t="s">
        <v>5206</v>
      </c>
      <c r="H1245" s="1521">
        <v>1</v>
      </c>
      <c r="I1245" s="1521">
        <v>1</v>
      </c>
      <c r="J1245" s="1538">
        <v>2</v>
      </c>
      <c r="K1245" s="1525"/>
      <c r="L1245" s="1519">
        <v>13117130508</v>
      </c>
      <c r="M1245" s="1520">
        <v>1</v>
      </c>
      <c r="N1245" s="1520">
        <v>1</v>
      </c>
      <c r="O1245" s="1521">
        <v>2</v>
      </c>
    </row>
    <row r="1246" spans="3:15" ht="13.5">
      <c r="C1246" s="1526" t="s">
        <v>5207</v>
      </c>
      <c r="D1246" s="1523">
        <v>1</v>
      </c>
      <c r="E1246" s="1523">
        <v>1</v>
      </c>
      <c r="F1246" s="1524">
        <v>2</v>
      </c>
      <c r="G1246" s="1537" t="s">
        <v>5207</v>
      </c>
      <c r="H1246" s="1521">
        <v>1</v>
      </c>
      <c r="I1246" s="1521">
        <v>1</v>
      </c>
      <c r="J1246" s="1538">
        <v>2</v>
      </c>
      <c r="K1246" s="1525"/>
      <c r="L1246" s="1519">
        <v>13117130509</v>
      </c>
      <c r="M1246" s="1520">
        <v>1</v>
      </c>
      <c r="N1246" s="1520">
        <v>1</v>
      </c>
      <c r="O1246" s="1521">
        <v>2</v>
      </c>
    </row>
    <row r="1247" spans="3:15" ht="13.5">
      <c r="C1247" s="1526" t="s">
        <v>5208</v>
      </c>
      <c r="D1247" s="1523">
        <v>1</v>
      </c>
      <c r="E1247" s="1523">
        <v>1</v>
      </c>
      <c r="F1247" s="1524">
        <v>2</v>
      </c>
      <c r="G1247" s="1537" t="s">
        <v>5208</v>
      </c>
      <c r="H1247" s="1521">
        <v>1</v>
      </c>
      <c r="I1247" s="1521">
        <v>1</v>
      </c>
      <c r="J1247" s="1538">
        <v>2</v>
      </c>
      <c r="K1247" s="1525"/>
      <c r="L1247" s="1519">
        <v>13117130510</v>
      </c>
      <c r="M1247" s="1520">
        <v>1</v>
      </c>
      <c r="N1247" s="1520">
        <v>1</v>
      </c>
      <c r="O1247" s="1521">
        <v>2</v>
      </c>
    </row>
    <row r="1248" spans="3:15" ht="13.5">
      <c r="C1248" s="1526" t="s">
        <v>5209</v>
      </c>
      <c r="D1248" s="1523">
        <v>1</v>
      </c>
      <c r="E1248" s="1523">
        <v>1</v>
      </c>
      <c r="F1248" s="1524">
        <v>2</v>
      </c>
      <c r="G1248" s="1537" t="s">
        <v>5209</v>
      </c>
      <c r="H1248" s="1521">
        <v>1</v>
      </c>
      <c r="I1248" s="1521">
        <v>1</v>
      </c>
      <c r="J1248" s="1538">
        <v>2</v>
      </c>
      <c r="K1248" s="1525"/>
      <c r="L1248" s="1519">
        <v>13117130601</v>
      </c>
      <c r="M1248" s="1520">
        <v>1</v>
      </c>
      <c r="N1248" s="1520">
        <v>1</v>
      </c>
      <c r="O1248" s="1521">
        <v>2</v>
      </c>
    </row>
    <row r="1249" spans="3:15" ht="13.5">
      <c r="C1249" s="1526" t="s">
        <v>5210</v>
      </c>
      <c r="D1249" s="1523">
        <v>1</v>
      </c>
      <c r="E1249" s="1523">
        <v>1</v>
      </c>
      <c r="F1249" s="1524">
        <v>2</v>
      </c>
      <c r="G1249" s="1537" t="s">
        <v>5210</v>
      </c>
      <c r="H1249" s="1521">
        <v>1</v>
      </c>
      <c r="I1249" s="1521">
        <v>0</v>
      </c>
      <c r="J1249" s="1538">
        <v>1</v>
      </c>
      <c r="K1249" s="1525"/>
      <c r="L1249" s="1519">
        <v>13117130602</v>
      </c>
      <c r="M1249" s="1520">
        <v>1</v>
      </c>
      <c r="N1249" s="1520">
        <v>1</v>
      </c>
      <c r="O1249" s="1521">
        <v>2</v>
      </c>
    </row>
    <row r="1250" spans="3:15" ht="13.5">
      <c r="C1250" s="1526" t="s">
        <v>5211</v>
      </c>
      <c r="D1250" s="1523">
        <v>1</v>
      </c>
      <c r="E1250" s="1523">
        <v>1</v>
      </c>
      <c r="F1250" s="1524">
        <v>2</v>
      </c>
      <c r="G1250" s="1537" t="s">
        <v>5211</v>
      </c>
      <c r="H1250" s="1521">
        <v>1</v>
      </c>
      <c r="I1250" s="1521" t="s">
        <v>4099</v>
      </c>
      <c r="J1250" s="1538">
        <v>1</v>
      </c>
      <c r="K1250" s="1525"/>
      <c r="L1250" s="1519">
        <v>13117130603</v>
      </c>
      <c r="M1250" s="1520">
        <v>1</v>
      </c>
      <c r="N1250" s="1520">
        <v>1</v>
      </c>
      <c r="O1250" s="1521">
        <v>2</v>
      </c>
    </row>
    <row r="1251" spans="3:15" ht="13.5">
      <c r="C1251" s="1526" t="s">
        <v>5212</v>
      </c>
      <c r="D1251" s="1523">
        <v>1</v>
      </c>
      <c r="E1251" s="1523">
        <v>1</v>
      </c>
      <c r="F1251" s="1524">
        <v>2</v>
      </c>
      <c r="G1251" s="1537" t="s">
        <v>5212</v>
      </c>
      <c r="H1251" s="1521">
        <v>1</v>
      </c>
      <c r="I1251" s="1521">
        <v>1</v>
      </c>
      <c r="J1251" s="1538">
        <v>2</v>
      </c>
      <c r="K1251" s="1525"/>
      <c r="L1251" s="1519">
        <v>13117130604</v>
      </c>
      <c r="M1251" s="1520">
        <v>1</v>
      </c>
      <c r="N1251" s="1520">
        <v>1</v>
      </c>
      <c r="O1251" s="1521">
        <v>2</v>
      </c>
    </row>
    <row r="1252" spans="3:15" ht="13.5">
      <c r="C1252" s="1526" t="s">
        <v>5213</v>
      </c>
      <c r="D1252" s="1523">
        <v>1</v>
      </c>
      <c r="E1252" s="1523">
        <v>1</v>
      </c>
      <c r="F1252" s="1524">
        <v>2</v>
      </c>
      <c r="G1252" s="1537" t="s">
        <v>5213</v>
      </c>
      <c r="H1252" s="1521">
        <v>1</v>
      </c>
      <c r="I1252" s="1521">
        <v>1</v>
      </c>
      <c r="J1252" s="1538">
        <v>2</v>
      </c>
      <c r="K1252" s="1525"/>
      <c r="L1252" s="1519">
        <v>13117130605</v>
      </c>
      <c r="M1252" s="1520">
        <v>1</v>
      </c>
      <c r="N1252" s="1520">
        <v>1</v>
      </c>
      <c r="O1252" s="1521">
        <v>2</v>
      </c>
    </row>
    <row r="1253" spans="3:15" ht="13.5">
      <c r="C1253" s="1526" t="s">
        <v>5214</v>
      </c>
      <c r="D1253" s="1523">
        <v>1</v>
      </c>
      <c r="E1253" s="1523">
        <v>1</v>
      </c>
      <c r="F1253" s="1524">
        <v>2</v>
      </c>
      <c r="G1253" s="1537" t="s">
        <v>5214</v>
      </c>
      <c r="H1253" s="1521">
        <v>1</v>
      </c>
      <c r="I1253" s="1521">
        <v>1</v>
      </c>
      <c r="J1253" s="1538">
        <v>2</v>
      </c>
      <c r="K1253" s="1525"/>
      <c r="L1253" s="1519">
        <v>13117130606</v>
      </c>
      <c r="M1253" s="1520">
        <v>1</v>
      </c>
      <c r="N1253" s="1520">
        <v>1</v>
      </c>
      <c r="O1253" s="1521">
        <v>2</v>
      </c>
    </row>
    <row r="1254" spans="3:15" ht="13.5">
      <c r="C1254" s="1526" t="s">
        <v>5215</v>
      </c>
      <c r="D1254" s="1523">
        <v>1</v>
      </c>
      <c r="E1254" s="1523">
        <v>1</v>
      </c>
      <c r="F1254" s="1524">
        <v>2</v>
      </c>
      <c r="G1254" s="1537" t="s">
        <v>5215</v>
      </c>
      <c r="H1254" s="1521">
        <v>1</v>
      </c>
      <c r="I1254" s="1521">
        <v>1</v>
      </c>
      <c r="J1254" s="1538">
        <v>2</v>
      </c>
      <c r="K1254" s="1525"/>
      <c r="L1254" s="1519">
        <v>13117130607</v>
      </c>
      <c r="M1254" s="1520">
        <v>1</v>
      </c>
      <c r="N1254" s="1520">
        <v>1</v>
      </c>
      <c r="O1254" s="1521">
        <v>2</v>
      </c>
    </row>
    <row r="1255" spans="3:15" ht="13.5">
      <c r="C1255" s="1526" t="s">
        <v>5216</v>
      </c>
      <c r="D1255" s="1523">
        <v>1</v>
      </c>
      <c r="E1255" s="1523">
        <v>1</v>
      </c>
      <c r="F1255" s="1524">
        <v>2</v>
      </c>
      <c r="G1255" s="1537" t="s">
        <v>5216</v>
      </c>
      <c r="H1255" s="1521">
        <v>1</v>
      </c>
      <c r="I1255" s="1521">
        <v>1</v>
      </c>
      <c r="J1255" s="1538">
        <v>2</v>
      </c>
      <c r="K1255" s="1525"/>
      <c r="L1255" s="1519">
        <v>13117130608</v>
      </c>
      <c r="M1255" s="1520">
        <v>1</v>
      </c>
      <c r="N1255" s="1520">
        <v>1</v>
      </c>
      <c r="O1255" s="1521">
        <v>2</v>
      </c>
    </row>
    <row r="1256" spans="3:15" ht="13.5">
      <c r="C1256" s="1526" t="s">
        <v>5217</v>
      </c>
      <c r="D1256" s="1523">
        <v>1</v>
      </c>
      <c r="E1256" s="1523">
        <v>1</v>
      </c>
      <c r="F1256" s="1524">
        <v>2</v>
      </c>
      <c r="G1256" s="1537" t="s">
        <v>5217</v>
      </c>
      <c r="H1256" s="1521">
        <v>1</v>
      </c>
      <c r="I1256" s="1521">
        <v>1</v>
      </c>
      <c r="J1256" s="1538">
        <v>2</v>
      </c>
      <c r="K1256" s="1525"/>
      <c r="L1256" s="1519">
        <v>13117130609</v>
      </c>
      <c r="M1256" s="1520">
        <v>1</v>
      </c>
      <c r="N1256" s="1520">
        <v>1</v>
      </c>
      <c r="O1256" s="1521">
        <v>2</v>
      </c>
    </row>
    <row r="1257" spans="3:15" ht="13.5">
      <c r="C1257" s="1526" t="s">
        <v>5218</v>
      </c>
      <c r="D1257" s="1523">
        <v>1</v>
      </c>
      <c r="E1257" s="1523">
        <v>1</v>
      </c>
      <c r="F1257" s="1524">
        <v>2</v>
      </c>
      <c r="G1257" s="1537" t="s">
        <v>5218</v>
      </c>
      <c r="H1257" s="1521">
        <v>1</v>
      </c>
      <c r="I1257" s="1521">
        <v>1</v>
      </c>
      <c r="J1257" s="1538">
        <v>2</v>
      </c>
      <c r="K1257" s="1525"/>
      <c r="L1257" s="1519">
        <v>13117130610</v>
      </c>
      <c r="M1257" s="1520">
        <v>1</v>
      </c>
      <c r="N1257" s="1520">
        <v>1</v>
      </c>
      <c r="O1257" s="1521">
        <v>2</v>
      </c>
    </row>
    <row r="1258" spans="3:15" ht="13.5">
      <c r="C1258" s="1526" t="s">
        <v>5219</v>
      </c>
      <c r="D1258" s="1523">
        <v>1</v>
      </c>
      <c r="E1258" s="1523">
        <v>1</v>
      </c>
      <c r="F1258" s="1524">
        <v>2</v>
      </c>
      <c r="G1258" s="1537" t="s">
        <v>5219</v>
      </c>
      <c r="H1258" s="1521">
        <v>1</v>
      </c>
      <c r="I1258" s="1521">
        <v>1</v>
      </c>
      <c r="J1258" s="1538">
        <v>2</v>
      </c>
      <c r="K1258" s="1525"/>
      <c r="L1258" s="1519">
        <v>13117130611</v>
      </c>
      <c r="M1258" s="1520">
        <v>1</v>
      </c>
      <c r="N1258" s="1520">
        <v>1</v>
      </c>
      <c r="O1258" s="1521">
        <v>2</v>
      </c>
    </row>
    <row r="1259" spans="3:15" ht="13.5">
      <c r="C1259" s="1526" t="s">
        <v>5220</v>
      </c>
      <c r="D1259" s="1523">
        <v>1</v>
      </c>
      <c r="E1259" s="1523">
        <v>1</v>
      </c>
      <c r="F1259" s="1524">
        <v>2</v>
      </c>
      <c r="G1259" s="1537" t="s">
        <v>5220</v>
      </c>
      <c r="H1259" s="1521">
        <v>1</v>
      </c>
      <c r="I1259" s="1521">
        <v>1</v>
      </c>
      <c r="J1259" s="1538">
        <v>2</v>
      </c>
      <c r="K1259" s="1525"/>
      <c r="L1259" s="1519">
        <v>13117130612</v>
      </c>
      <c r="M1259" s="1520">
        <v>1</v>
      </c>
      <c r="N1259" s="1520">
        <v>1</v>
      </c>
      <c r="O1259" s="1521">
        <v>2</v>
      </c>
    </row>
    <row r="1260" spans="3:15" ht="13.5">
      <c r="C1260" s="1526" t="s">
        <v>5221</v>
      </c>
      <c r="D1260" s="1523">
        <v>1</v>
      </c>
      <c r="E1260" s="1523">
        <v>1</v>
      </c>
      <c r="F1260" s="1524">
        <v>2</v>
      </c>
      <c r="G1260" s="1537" t="s">
        <v>5221</v>
      </c>
      <c r="H1260" s="1521">
        <v>1</v>
      </c>
      <c r="I1260" s="1521" t="s">
        <v>4099</v>
      </c>
      <c r="J1260" s="1538">
        <v>1</v>
      </c>
      <c r="K1260" s="1525"/>
      <c r="L1260" s="1519">
        <v>13117130613</v>
      </c>
      <c r="M1260" s="1520">
        <v>1</v>
      </c>
      <c r="N1260" s="1520">
        <v>1</v>
      </c>
      <c r="O1260" s="1521">
        <v>2</v>
      </c>
    </row>
    <row r="1261" spans="3:15" ht="13.5">
      <c r="C1261" s="1526" t="s">
        <v>5222</v>
      </c>
      <c r="D1261" s="1523">
        <v>0</v>
      </c>
      <c r="E1261" s="1523">
        <v>0</v>
      </c>
      <c r="F1261" s="1524">
        <v>0</v>
      </c>
      <c r="G1261" s="1537" t="s">
        <v>5222</v>
      </c>
      <c r="H1261" s="1521">
        <v>0</v>
      </c>
      <c r="I1261" s="1521">
        <v>0</v>
      </c>
      <c r="J1261" s="1538">
        <v>0</v>
      </c>
      <c r="K1261" s="1525"/>
      <c r="L1261" s="1519">
        <v>13119890101</v>
      </c>
      <c r="M1261" s="1520">
        <v>0</v>
      </c>
      <c r="N1261" s="1520">
        <v>0</v>
      </c>
      <c r="O1261" s="1521">
        <v>0</v>
      </c>
    </row>
    <row r="1262" spans="3:15" ht="13.5">
      <c r="C1262" s="1526" t="s">
        <v>5223</v>
      </c>
      <c r="D1262" s="1523">
        <v>0</v>
      </c>
      <c r="E1262" s="1523">
        <v>1</v>
      </c>
      <c r="F1262" s="1524">
        <v>1</v>
      </c>
      <c r="G1262" s="1537" t="s">
        <v>5223</v>
      </c>
      <c r="H1262" s="1521">
        <v>0</v>
      </c>
      <c r="I1262" s="1521">
        <v>0</v>
      </c>
      <c r="J1262" s="1538">
        <v>0</v>
      </c>
      <c r="K1262" s="1525"/>
      <c r="L1262" s="1519">
        <v>13119890102</v>
      </c>
      <c r="M1262" s="1520">
        <v>0</v>
      </c>
      <c r="N1262" s="1520">
        <v>1</v>
      </c>
      <c r="O1262" s="1521">
        <v>1</v>
      </c>
    </row>
    <row r="1263" spans="3:15" ht="13.5">
      <c r="C1263" s="1526" t="s">
        <v>5224</v>
      </c>
      <c r="D1263" s="1523">
        <v>0</v>
      </c>
      <c r="E1263" s="1523">
        <v>0</v>
      </c>
      <c r="F1263" s="1524">
        <v>0</v>
      </c>
      <c r="G1263" s="1537" t="s">
        <v>5224</v>
      </c>
      <c r="H1263" s="1521">
        <v>0</v>
      </c>
      <c r="I1263" s="1521">
        <v>0</v>
      </c>
      <c r="J1263" s="1538">
        <v>0</v>
      </c>
      <c r="K1263" s="1525"/>
      <c r="L1263" s="1519">
        <v>13119890200</v>
      </c>
      <c r="M1263" s="1520">
        <v>0</v>
      </c>
      <c r="N1263" s="1520">
        <v>0</v>
      </c>
      <c r="O1263" s="1521">
        <v>0</v>
      </c>
    </row>
    <row r="1264" spans="3:15" ht="13.5">
      <c r="C1264" s="1526" t="s">
        <v>5225</v>
      </c>
      <c r="D1264" s="1523">
        <v>0</v>
      </c>
      <c r="E1264" s="1523">
        <v>0</v>
      </c>
      <c r="F1264" s="1524">
        <v>0</v>
      </c>
      <c r="G1264" s="1537" t="s">
        <v>5225</v>
      </c>
      <c r="H1264" s="1521">
        <v>0</v>
      </c>
      <c r="I1264" s="1521">
        <v>0</v>
      </c>
      <c r="J1264" s="1538">
        <v>0</v>
      </c>
      <c r="K1264" s="1525"/>
      <c r="L1264" s="1519">
        <v>13119890300</v>
      </c>
      <c r="M1264" s="1520">
        <v>0</v>
      </c>
      <c r="N1264" s="1520">
        <v>0</v>
      </c>
      <c r="O1264" s="1521">
        <v>0</v>
      </c>
    </row>
    <row r="1265" spans="3:15" ht="13.5">
      <c r="C1265" s="1526" t="s">
        <v>5226</v>
      </c>
      <c r="D1265" s="1523">
        <v>0</v>
      </c>
      <c r="E1265" s="1523">
        <v>0</v>
      </c>
      <c r="F1265" s="1524">
        <v>0</v>
      </c>
      <c r="G1265" s="1537" t="s">
        <v>5226</v>
      </c>
      <c r="H1265" s="1521">
        <v>0</v>
      </c>
      <c r="I1265" s="1521">
        <v>0</v>
      </c>
      <c r="J1265" s="1538">
        <v>0</v>
      </c>
      <c r="K1265" s="1525"/>
      <c r="L1265" s="1519">
        <v>13119890400</v>
      </c>
      <c r="M1265" s="1520">
        <v>0</v>
      </c>
      <c r="N1265" s="1520">
        <v>0</v>
      </c>
      <c r="O1265" s="1521">
        <v>0</v>
      </c>
    </row>
    <row r="1266" spans="3:15" ht="13.5">
      <c r="C1266" s="1526" t="s">
        <v>5227</v>
      </c>
      <c r="D1266" s="1523">
        <v>1</v>
      </c>
      <c r="E1266" s="1523">
        <v>1</v>
      </c>
      <c r="F1266" s="1524">
        <v>2</v>
      </c>
      <c r="G1266" s="1537" t="s">
        <v>5227</v>
      </c>
      <c r="H1266" s="1521">
        <v>1</v>
      </c>
      <c r="I1266" s="1521">
        <v>1</v>
      </c>
      <c r="J1266" s="1538">
        <v>2</v>
      </c>
      <c r="K1266" s="1525"/>
      <c r="L1266" s="1519">
        <v>13121000100</v>
      </c>
      <c r="M1266" s="1520">
        <v>1</v>
      </c>
      <c r="N1266" s="1520">
        <v>1</v>
      </c>
      <c r="O1266" s="1521">
        <v>2</v>
      </c>
    </row>
    <row r="1267" spans="3:15" ht="13.5">
      <c r="C1267" s="1526" t="s">
        <v>5228</v>
      </c>
      <c r="D1267" s="1523">
        <v>1</v>
      </c>
      <c r="E1267" s="1523">
        <v>1</v>
      </c>
      <c r="F1267" s="1524">
        <v>2</v>
      </c>
      <c r="G1267" s="1537" t="s">
        <v>5228</v>
      </c>
      <c r="H1267" s="1521">
        <v>1</v>
      </c>
      <c r="I1267" s="1521">
        <v>1</v>
      </c>
      <c r="J1267" s="1538">
        <v>2</v>
      </c>
      <c r="K1267" s="1525"/>
      <c r="L1267" s="1519">
        <v>13121000200</v>
      </c>
      <c r="M1267" s="1520">
        <v>1</v>
      </c>
      <c r="N1267" s="1520">
        <v>1</v>
      </c>
      <c r="O1267" s="1521">
        <v>2</v>
      </c>
    </row>
    <row r="1268" spans="3:15" ht="13.5">
      <c r="C1268" s="1526" t="s">
        <v>5229</v>
      </c>
      <c r="D1268" s="1523">
        <v>1</v>
      </c>
      <c r="E1268" s="1523">
        <v>1</v>
      </c>
      <c r="F1268" s="1524">
        <v>2</v>
      </c>
      <c r="G1268" s="1537" t="s">
        <v>5229</v>
      </c>
      <c r="H1268" s="1521">
        <v>1</v>
      </c>
      <c r="I1268" s="1521">
        <v>1</v>
      </c>
      <c r="J1268" s="1538">
        <v>2</v>
      </c>
      <c r="K1268" s="1525"/>
      <c r="L1268" s="1519">
        <v>13121000400</v>
      </c>
      <c r="M1268" s="1520">
        <v>1</v>
      </c>
      <c r="N1268" s="1520">
        <v>1</v>
      </c>
      <c r="O1268" s="1521">
        <v>2</v>
      </c>
    </row>
    <row r="1269" spans="3:15" ht="13.5">
      <c r="C1269" s="1526" t="s">
        <v>5230</v>
      </c>
      <c r="D1269" s="1523">
        <v>1</v>
      </c>
      <c r="E1269" s="1523">
        <v>1</v>
      </c>
      <c r="F1269" s="1524">
        <v>2</v>
      </c>
      <c r="G1269" s="1537" t="s">
        <v>5230</v>
      </c>
      <c r="H1269" s="1521">
        <v>1</v>
      </c>
      <c r="I1269" s="1521" t="s">
        <v>4099</v>
      </c>
      <c r="J1269" s="1538">
        <v>1</v>
      </c>
      <c r="K1269" s="1525"/>
      <c r="L1269" s="1519">
        <v>13121000500</v>
      </c>
      <c r="M1269" s="1520">
        <v>1</v>
      </c>
      <c r="N1269" s="1520">
        <v>1</v>
      </c>
      <c r="O1269" s="1521">
        <v>2</v>
      </c>
    </row>
    <row r="1270" spans="3:15" ht="13.5">
      <c r="C1270" s="1526" t="s">
        <v>5231</v>
      </c>
      <c r="D1270" s="1523">
        <v>0</v>
      </c>
      <c r="E1270" s="1523">
        <v>1</v>
      </c>
      <c r="F1270" s="1524">
        <v>1</v>
      </c>
      <c r="G1270" s="1537" t="s">
        <v>5231</v>
      </c>
      <c r="H1270" s="1521">
        <v>0</v>
      </c>
      <c r="I1270" s="1521" t="s">
        <v>4099</v>
      </c>
      <c r="J1270" s="1538">
        <v>0</v>
      </c>
      <c r="K1270" s="1525"/>
      <c r="L1270" s="1519">
        <v>13121000600</v>
      </c>
      <c r="M1270" s="1520">
        <v>0</v>
      </c>
      <c r="N1270" s="1520">
        <v>1</v>
      </c>
      <c r="O1270" s="1521">
        <v>1</v>
      </c>
    </row>
    <row r="1271" spans="3:15" ht="13.5">
      <c r="C1271" s="1526" t="s">
        <v>5232</v>
      </c>
      <c r="D1271" s="1523">
        <v>0</v>
      </c>
      <c r="E1271" s="1523">
        <v>0</v>
      </c>
      <c r="F1271" s="1524">
        <v>0</v>
      </c>
      <c r="G1271" s="1537" t="s">
        <v>5232</v>
      </c>
      <c r="H1271" s="1521">
        <v>0</v>
      </c>
      <c r="I1271" s="1521" t="s">
        <v>4099</v>
      </c>
      <c r="J1271" s="1538">
        <v>0</v>
      </c>
      <c r="K1271" s="1525"/>
      <c r="L1271" s="1519">
        <v>13121000700</v>
      </c>
      <c r="M1271" s="1520">
        <v>0</v>
      </c>
      <c r="N1271" s="1520">
        <v>0</v>
      </c>
      <c r="O1271" s="1521">
        <v>0</v>
      </c>
    </row>
    <row r="1272" spans="3:15" ht="13.5">
      <c r="C1272" s="1526" t="s">
        <v>5233</v>
      </c>
      <c r="D1272" s="1523">
        <v>1</v>
      </c>
      <c r="E1272" s="1523">
        <v>1</v>
      </c>
      <c r="F1272" s="1524">
        <v>2</v>
      </c>
      <c r="G1272" s="1537" t="s">
        <v>5233</v>
      </c>
      <c r="H1272" s="1521">
        <v>1</v>
      </c>
      <c r="I1272" s="1521" t="s">
        <v>4099</v>
      </c>
      <c r="J1272" s="1538">
        <v>1</v>
      </c>
      <c r="K1272" s="1525"/>
      <c r="L1272" s="1519">
        <v>13121001001</v>
      </c>
      <c r="M1272" s="1520">
        <v>1</v>
      </c>
      <c r="N1272" s="1520">
        <v>1</v>
      </c>
      <c r="O1272" s="1521">
        <v>2</v>
      </c>
    </row>
    <row r="1273" spans="3:15" ht="13.5">
      <c r="C1273" s="1526" t="s">
        <v>5234</v>
      </c>
      <c r="D1273" s="1523">
        <v>0</v>
      </c>
      <c r="E1273" s="1523">
        <v>1</v>
      </c>
      <c r="F1273" s="1524">
        <v>1</v>
      </c>
      <c r="G1273" s="1537" t="s">
        <v>5234</v>
      </c>
      <c r="H1273" s="1521">
        <v>0</v>
      </c>
      <c r="I1273" s="1521" t="s">
        <v>4099</v>
      </c>
      <c r="J1273" s="1538">
        <v>0</v>
      </c>
      <c r="K1273" s="1525"/>
      <c r="L1273" s="1519">
        <v>13121001002</v>
      </c>
      <c r="M1273" s="1520">
        <v>0</v>
      </c>
      <c r="N1273" s="1520">
        <v>1</v>
      </c>
      <c r="O1273" s="1521">
        <v>1</v>
      </c>
    </row>
    <row r="1274" spans="3:15" ht="13.5">
      <c r="C1274" s="1526" t="s">
        <v>5235</v>
      </c>
      <c r="D1274" s="1523">
        <v>1</v>
      </c>
      <c r="E1274" s="1523">
        <v>1</v>
      </c>
      <c r="F1274" s="1524">
        <v>2</v>
      </c>
      <c r="G1274" s="1537" t="s">
        <v>5235</v>
      </c>
      <c r="H1274" s="1521">
        <v>1</v>
      </c>
      <c r="I1274" s="1521" t="s">
        <v>4099</v>
      </c>
      <c r="J1274" s="1538">
        <v>1</v>
      </c>
      <c r="K1274" s="1525"/>
      <c r="L1274" s="1519">
        <v>13121001100</v>
      </c>
      <c r="M1274" s="1520">
        <v>1</v>
      </c>
      <c r="N1274" s="1520">
        <v>1</v>
      </c>
      <c r="O1274" s="1521">
        <v>2</v>
      </c>
    </row>
    <row r="1275" spans="3:15" ht="13.5">
      <c r="C1275" s="1526" t="s">
        <v>5236</v>
      </c>
      <c r="D1275" s="1523">
        <v>1</v>
      </c>
      <c r="E1275" s="1523">
        <v>1</v>
      </c>
      <c r="F1275" s="1524">
        <v>2</v>
      </c>
      <c r="G1275" s="1537" t="s">
        <v>5236</v>
      </c>
      <c r="H1275" s="1521">
        <v>1</v>
      </c>
      <c r="I1275" s="1521">
        <v>1</v>
      </c>
      <c r="J1275" s="1538">
        <v>2</v>
      </c>
      <c r="K1275" s="1525"/>
      <c r="L1275" s="1519">
        <v>13121001201</v>
      </c>
      <c r="M1275" s="1520">
        <v>1</v>
      </c>
      <c r="N1275" s="1520">
        <v>1</v>
      </c>
      <c r="O1275" s="1521">
        <v>2</v>
      </c>
    </row>
    <row r="1276" spans="3:15" ht="13.5">
      <c r="C1276" s="1526" t="s">
        <v>5237</v>
      </c>
      <c r="D1276" s="1523">
        <v>1</v>
      </c>
      <c r="E1276" s="1523">
        <v>1</v>
      </c>
      <c r="F1276" s="1524">
        <v>2</v>
      </c>
      <c r="G1276" s="1537" t="s">
        <v>5237</v>
      </c>
      <c r="H1276" s="1521">
        <v>1</v>
      </c>
      <c r="I1276" s="1521" t="s">
        <v>4099</v>
      </c>
      <c r="J1276" s="1538">
        <v>1</v>
      </c>
      <c r="K1276" s="1525"/>
      <c r="L1276" s="1519">
        <v>13121001202</v>
      </c>
      <c r="M1276" s="1520">
        <v>1</v>
      </c>
      <c r="N1276" s="1520">
        <v>1</v>
      </c>
      <c r="O1276" s="1521">
        <v>2</v>
      </c>
    </row>
    <row r="1277" spans="3:15" ht="13.5">
      <c r="C1277" s="1526" t="s">
        <v>5238</v>
      </c>
      <c r="D1277" s="1523">
        <v>1</v>
      </c>
      <c r="E1277" s="1523">
        <v>1</v>
      </c>
      <c r="F1277" s="1524">
        <v>2</v>
      </c>
      <c r="G1277" s="1537" t="s">
        <v>5238</v>
      </c>
      <c r="H1277" s="1521">
        <v>1</v>
      </c>
      <c r="I1277" s="1521">
        <v>1</v>
      </c>
      <c r="J1277" s="1538">
        <v>2</v>
      </c>
      <c r="K1277" s="1525"/>
      <c r="L1277" s="1519">
        <v>13121001300</v>
      </c>
      <c r="M1277" s="1520">
        <v>1</v>
      </c>
      <c r="N1277" s="1520">
        <v>1</v>
      </c>
      <c r="O1277" s="1521">
        <v>2</v>
      </c>
    </row>
    <row r="1278" spans="3:15" ht="13.5">
      <c r="C1278" s="1526" t="s">
        <v>5239</v>
      </c>
      <c r="D1278" s="1523">
        <v>1</v>
      </c>
      <c r="E1278" s="1523">
        <v>1</v>
      </c>
      <c r="F1278" s="1524">
        <v>2</v>
      </c>
      <c r="G1278" s="1537" t="s">
        <v>5239</v>
      </c>
      <c r="H1278" s="1521">
        <v>1</v>
      </c>
      <c r="I1278" s="1521" t="s">
        <v>4099</v>
      </c>
      <c r="J1278" s="1538">
        <v>1</v>
      </c>
      <c r="K1278" s="1525"/>
      <c r="L1278" s="1519">
        <v>13121001400</v>
      </c>
      <c r="M1278" s="1520">
        <v>1</v>
      </c>
      <c r="N1278" s="1520">
        <v>1</v>
      </c>
      <c r="O1278" s="1521">
        <v>2</v>
      </c>
    </row>
    <row r="1279" spans="3:15" ht="13.5">
      <c r="C1279" s="1526" t="s">
        <v>5240</v>
      </c>
      <c r="D1279" s="1523">
        <v>1</v>
      </c>
      <c r="E1279" s="1523">
        <v>1</v>
      </c>
      <c r="F1279" s="1524">
        <v>2</v>
      </c>
      <c r="G1279" s="1537" t="s">
        <v>5240</v>
      </c>
      <c r="H1279" s="1521">
        <v>1</v>
      </c>
      <c r="I1279" s="1521">
        <v>0</v>
      </c>
      <c r="J1279" s="1538">
        <v>1</v>
      </c>
      <c r="K1279" s="1525"/>
      <c r="L1279" s="1519">
        <v>13121001500</v>
      </c>
      <c r="M1279" s="1520">
        <v>1</v>
      </c>
      <c r="N1279" s="1520">
        <v>1</v>
      </c>
      <c r="O1279" s="1521">
        <v>2</v>
      </c>
    </row>
    <row r="1280" spans="3:15" ht="13.5">
      <c r="C1280" s="1526" t="s">
        <v>5241</v>
      </c>
      <c r="D1280" s="1523">
        <v>1</v>
      </c>
      <c r="E1280" s="1523">
        <v>1</v>
      </c>
      <c r="F1280" s="1524">
        <v>2</v>
      </c>
      <c r="G1280" s="1537" t="s">
        <v>5241</v>
      </c>
      <c r="H1280" s="1521">
        <v>1</v>
      </c>
      <c r="I1280" s="1521" t="s">
        <v>4099</v>
      </c>
      <c r="J1280" s="1538">
        <v>1</v>
      </c>
      <c r="K1280" s="1525"/>
      <c r="L1280" s="1519">
        <v>13121001600</v>
      </c>
      <c r="M1280" s="1520">
        <v>1</v>
      </c>
      <c r="N1280" s="1520">
        <v>1</v>
      </c>
      <c r="O1280" s="1521">
        <v>2</v>
      </c>
    </row>
    <row r="1281" spans="3:15" ht="13.5">
      <c r="C1281" s="1526" t="s">
        <v>5242</v>
      </c>
      <c r="D1281" s="1523">
        <v>1</v>
      </c>
      <c r="E1281" s="1523">
        <v>0</v>
      </c>
      <c r="F1281" s="1524">
        <v>1</v>
      </c>
      <c r="G1281" s="1537" t="s">
        <v>5242</v>
      </c>
      <c r="H1281" s="1521">
        <v>1</v>
      </c>
      <c r="I1281" s="1521">
        <v>1</v>
      </c>
      <c r="J1281" s="1538">
        <v>2</v>
      </c>
      <c r="K1281" s="1525"/>
      <c r="L1281" s="1519">
        <v>13121001700</v>
      </c>
      <c r="M1281" s="1520">
        <v>1</v>
      </c>
      <c r="N1281" s="1520">
        <v>1</v>
      </c>
      <c r="O1281" s="1521">
        <v>2</v>
      </c>
    </row>
    <row r="1282" spans="3:15" ht="13.5">
      <c r="C1282" s="1526" t="s">
        <v>5243</v>
      </c>
      <c r="D1282" s="1523">
        <v>0</v>
      </c>
      <c r="E1282" s="1523">
        <v>0</v>
      </c>
      <c r="F1282" s="1524">
        <v>0</v>
      </c>
      <c r="G1282" s="1537" t="s">
        <v>5243</v>
      </c>
      <c r="H1282" s="1521">
        <v>0</v>
      </c>
      <c r="I1282" s="1521">
        <v>1</v>
      </c>
      <c r="J1282" s="1538">
        <v>1</v>
      </c>
      <c r="K1282" s="1525"/>
      <c r="L1282" s="1519">
        <v>13121001800</v>
      </c>
      <c r="M1282" s="1520">
        <v>0</v>
      </c>
      <c r="N1282" s="1520">
        <v>1</v>
      </c>
      <c r="O1282" s="1521">
        <v>1</v>
      </c>
    </row>
    <row r="1283" spans="3:15" ht="13.5">
      <c r="C1283" s="1526" t="s">
        <v>5244</v>
      </c>
      <c r="D1283" s="1523">
        <v>0</v>
      </c>
      <c r="E1283" s="1523">
        <v>1</v>
      </c>
      <c r="F1283" s="1524">
        <v>1</v>
      </c>
      <c r="G1283" s="1537" t="s">
        <v>5244</v>
      </c>
      <c r="H1283" s="1521">
        <v>0</v>
      </c>
      <c r="I1283" s="1521" t="s">
        <v>4099</v>
      </c>
      <c r="J1283" s="1538">
        <v>0</v>
      </c>
      <c r="K1283" s="1525"/>
      <c r="L1283" s="1519">
        <v>13121001900</v>
      </c>
      <c r="M1283" s="1520">
        <v>0</v>
      </c>
      <c r="N1283" s="1520">
        <v>1</v>
      </c>
      <c r="O1283" s="1521">
        <v>1</v>
      </c>
    </row>
    <row r="1284" spans="3:15" ht="13.5">
      <c r="C1284" s="1526" t="s">
        <v>5245</v>
      </c>
      <c r="D1284" s="1523">
        <v>0</v>
      </c>
      <c r="E1284" s="1523">
        <v>0</v>
      </c>
      <c r="F1284" s="1524">
        <v>0</v>
      </c>
      <c r="G1284" s="1537" t="s">
        <v>5245</v>
      </c>
      <c r="H1284" s="1521">
        <v>0</v>
      </c>
      <c r="I1284" s="1521" t="s">
        <v>4099</v>
      </c>
      <c r="J1284" s="1538">
        <v>0</v>
      </c>
      <c r="K1284" s="1525"/>
      <c r="L1284" s="1519">
        <v>13121002100</v>
      </c>
      <c r="M1284" s="1520">
        <v>0</v>
      </c>
      <c r="N1284" s="1520">
        <v>0</v>
      </c>
      <c r="O1284" s="1521">
        <v>0</v>
      </c>
    </row>
    <row r="1285" spans="3:15" ht="13.5">
      <c r="C1285" s="1526" t="s">
        <v>5246</v>
      </c>
      <c r="D1285" s="1523">
        <v>0</v>
      </c>
      <c r="E1285" s="1523">
        <v>0</v>
      </c>
      <c r="F1285" s="1524">
        <v>0</v>
      </c>
      <c r="G1285" s="1537" t="s">
        <v>5246</v>
      </c>
      <c r="H1285" s="1521">
        <v>0</v>
      </c>
      <c r="I1285" s="1521">
        <v>0</v>
      </c>
      <c r="J1285" s="1538">
        <v>0</v>
      </c>
      <c r="K1285" s="1525"/>
      <c r="L1285" s="1519">
        <v>13121002300</v>
      </c>
      <c r="M1285" s="1520">
        <v>0</v>
      </c>
      <c r="N1285" s="1520">
        <v>0</v>
      </c>
      <c r="O1285" s="1521">
        <v>0</v>
      </c>
    </row>
    <row r="1286" spans="3:15" ht="13.5">
      <c r="C1286" s="1526" t="s">
        <v>5247</v>
      </c>
      <c r="D1286" s="1523">
        <v>0</v>
      </c>
      <c r="E1286" s="1523">
        <v>0</v>
      </c>
      <c r="F1286" s="1524">
        <v>0</v>
      </c>
      <c r="G1286" s="1537" t="s">
        <v>5247</v>
      </c>
      <c r="H1286" s="1521">
        <v>0</v>
      </c>
      <c r="I1286" s="1521">
        <v>0</v>
      </c>
      <c r="J1286" s="1538">
        <v>0</v>
      </c>
      <c r="K1286" s="1525"/>
      <c r="L1286" s="1519">
        <v>13121002400</v>
      </c>
      <c r="M1286" s="1520">
        <v>0</v>
      </c>
      <c r="N1286" s="1520">
        <v>0</v>
      </c>
      <c r="O1286" s="1521">
        <v>0</v>
      </c>
    </row>
    <row r="1287" spans="3:15" ht="13.5">
      <c r="C1287" s="1526" t="s">
        <v>5248</v>
      </c>
      <c r="D1287" s="1523">
        <v>0</v>
      </c>
      <c r="E1287" s="1523">
        <v>0</v>
      </c>
      <c r="F1287" s="1524">
        <v>0</v>
      </c>
      <c r="G1287" s="1537" t="s">
        <v>5248</v>
      </c>
      <c r="H1287" s="1521">
        <v>0</v>
      </c>
      <c r="I1287" s="1521">
        <v>0</v>
      </c>
      <c r="J1287" s="1538">
        <v>0</v>
      </c>
      <c r="K1287" s="1525"/>
      <c r="L1287" s="1519">
        <v>13121002500</v>
      </c>
      <c r="M1287" s="1520">
        <v>0</v>
      </c>
      <c r="N1287" s="1520">
        <v>0</v>
      </c>
      <c r="O1287" s="1521">
        <v>0</v>
      </c>
    </row>
    <row r="1288" spans="3:15" ht="13.5">
      <c r="C1288" s="1526" t="s">
        <v>5249</v>
      </c>
      <c r="D1288" s="1523">
        <v>0</v>
      </c>
      <c r="E1288" s="1523">
        <v>0</v>
      </c>
      <c r="F1288" s="1524">
        <v>0</v>
      </c>
      <c r="G1288" s="1537" t="s">
        <v>5249</v>
      </c>
      <c r="H1288" s="1521">
        <v>0</v>
      </c>
      <c r="I1288" s="1521" t="s">
        <v>4099</v>
      </c>
      <c r="J1288" s="1538">
        <v>0</v>
      </c>
      <c r="K1288" s="1525"/>
      <c r="L1288" s="1519">
        <v>13121002600</v>
      </c>
      <c r="M1288" s="1520">
        <v>0</v>
      </c>
      <c r="N1288" s="1520">
        <v>0</v>
      </c>
      <c r="O1288" s="1521">
        <v>0</v>
      </c>
    </row>
    <row r="1289" spans="3:15" ht="13.5">
      <c r="C1289" s="1526" t="s">
        <v>5250</v>
      </c>
      <c r="D1289" s="1523">
        <v>0</v>
      </c>
      <c r="E1289" s="1523">
        <v>0</v>
      </c>
      <c r="F1289" s="1524">
        <v>0</v>
      </c>
      <c r="G1289" s="1537" t="s">
        <v>5250</v>
      </c>
      <c r="H1289" s="1521">
        <v>0</v>
      </c>
      <c r="I1289" s="1521" t="s">
        <v>4099</v>
      </c>
      <c r="J1289" s="1538">
        <v>0</v>
      </c>
      <c r="K1289" s="1525"/>
      <c r="L1289" s="1519">
        <v>13121002800</v>
      </c>
      <c r="M1289" s="1520">
        <v>0</v>
      </c>
      <c r="N1289" s="1520">
        <v>0</v>
      </c>
      <c r="O1289" s="1521">
        <v>0</v>
      </c>
    </row>
    <row r="1290" spans="3:15" ht="13.5">
      <c r="C1290" s="1526" t="s">
        <v>5251</v>
      </c>
      <c r="D1290" s="1523">
        <v>1</v>
      </c>
      <c r="E1290" s="1523">
        <v>1</v>
      </c>
      <c r="F1290" s="1524">
        <v>2</v>
      </c>
      <c r="G1290" s="1537" t="s">
        <v>5251</v>
      </c>
      <c r="H1290" s="1521">
        <v>1</v>
      </c>
      <c r="I1290" s="1521">
        <v>1</v>
      </c>
      <c r="J1290" s="1538">
        <v>2</v>
      </c>
      <c r="K1290" s="1525"/>
      <c r="L1290" s="1519">
        <v>13121002900</v>
      </c>
      <c r="M1290" s="1520">
        <v>1</v>
      </c>
      <c r="N1290" s="1520">
        <v>1</v>
      </c>
      <c r="O1290" s="1521">
        <v>2</v>
      </c>
    </row>
    <row r="1291" spans="3:15" ht="13.5">
      <c r="C1291" s="1526" t="s">
        <v>5252</v>
      </c>
      <c r="D1291" s="1523">
        <v>1</v>
      </c>
      <c r="E1291" s="1523">
        <v>1</v>
      </c>
      <c r="F1291" s="1524">
        <v>2</v>
      </c>
      <c r="G1291" s="1537" t="s">
        <v>5252</v>
      </c>
      <c r="H1291" s="1521">
        <v>1</v>
      </c>
      <c r="I1291" s="1521" t="s">
        <v>4099</v>
      </c>
      <c r="J1291" s="1538">
        <v>1</v>
      </c>
      <c r="K1291" s="1525"/>
      <c r="L1291" s="1519">
        <v>13121003000</v>
      </c>
      <c r="M1291" s="1520">
        <v>1</v>
      </c>
      <c r="N1291" s="1520">
        <v>1</v>
      </c>
      <c r="O1291" s="1521">
        <v>2</v>
      </c>
    </row>
    <row r="1292" spans="3:15" ht="13.5">
      <c r="C1292" s="1526" t="s">
        <v>5253</v>
      </c>
      <c r="D1292" s="1523">
        <v>1</v>
      </c>
      <c r="E1292" s="1523">
        <v>0</v>
      </c>
      <c r="F1292" s="1524">
        <v>1</v>
      </c>
      <c r="G1292" s="1537" t="s">
        <v>5253</v>
      </c>
      <c r="H1292" s="1521">
        <v>1</v>
      </c>
      <c r="I1292" s="1521">
        <v>0</v>
      </c>
      <c r="J1292" s="1538">
        <v>1</v>
      </c>
      <c r="K1292" s="1525"/>
      <c r="L1292" s="1519">
        <v>13121003100</v>
      </c>
      <c r="M1292" s="1520">
        <v>1</v>
      </c>
      <c r="N1292" s="1520">
        <v>0</v>
      </c>
      <c r="O1292" s="1521">
        <v>1</v>
      </c>
    </row>
    <row r="1293" spans="3:15" ht="13.5">
      <c r="C1293" s="1526" t="s">
        <v>5254</v>
      </c>
      <c r="D1293" s="1523">
        <v>1</v>
      </c>
      <c r="E1293" s="1523">
        <v>1</v>
      </c>
      <c r="F1293" s="1524">
        <v>2</v>
      </c>
      <c r="G1293" s="1537" t="s">
        <v>5254</v>
      </c>
      <c r="H1293" s="1521">
        <v>1</v>
      </c>
      <c r="I1293" s="1521" t="s">
        <v>4099</v>
      </c>
      <c r="J1293" s="1538">
        <v>1</v>
      </c>
      <c r="K1293" s="1525"/>
      <c r="L1293" s="1519">
        <v>13121003200</v>
      </c>
      <c r="M1293" s="1520">
        <v>1</v>
      </c>
      <c r="N1293" s="1520">
        <v>1</v>
      </c>
      <c r="O1293" s="1521">
        <v>2</v>
      </c>
    </row>
    <row r="1294" spans="3:15" ht="13.5">
      <c r="C1294" s="1526" t="s">
        <v>5255</v>
      </c>
      <c r="D1294" s="1523">
        <v>0</v>
      </c>
      <c r="E1294" s="1523">
        <v>0</v>
      </c>
      <c r="F1294" s="1524">
        <v>0</v>
      </c>
      <c r="G1294" s="1537" t="s">
        <v>5255</v>
      </c>
      <c r="H1294" s="1521">
        <v>0</v>
      </c>
      <c r="I1294" s="1521" t="s">
        <v>4099</v>
      </c>
      <c r="J1294" s="1538">
        <v>0</v>
      </c>
      <c r="K1294" s="1525"/>
      <c r="L1294" s="1519">
        <v>13121003500</v>
      </c>
      <c r="M1294" s="1520">
        <v>0</v>
      </c>
      <c r="N1294" s="1520">
        <v>0</v>
      </c>
      <c r="O1294" s="1521">
        <v>0</v>
      </c>
    </row>
    <row r="1295" spans="3:15" ht="13.5">
      <c r="C1295" s="1526" t="s">
        <v>5256</v>
      </c>
      <c r="D1295" s="1523">
        <v>1</v>
      </c>
      <c r="E1295" s="1523">
        <v>0</v>
      </c>
      <c r="F1295" s="1524">
        <v>1</v>
      </c>
      <c r="G1295" s="1537" t="s">
        <v>5256</v>
      </c>
      <c r="H1295" s="1521">
        <v>0</v>
      </c>
      <c r="I1295" s="1521">
        <v>0</v>
      </c>
      <c r="J1295" s="1538">
        <v>0</v>
      </c>
      <c r="K1295" s="1525"/>
      <c r="L1295" s="1519">
        <v>13121003600</v>
      </c>
      <c r="M1295" s="1520">
        <v>1</v>
      </c>
      <c r="N1295" s="1520">
        <v>0</v>
      </c>
      <c r="O1295" s="1521">
        <v>1</v>
      </c>
    </row>
    <row r="1296" spans="3:15" ht="13.5">
      <c r="C1296" s="1526" t="s">
        <v>5257</v>
      </c>
      <c r="D1296" s="1523" t="s">
        <v>4099</v>
      </c>
      <c r="E1296" s="1523" t="s">
        <v>4099</v>
      </c>
      <c r="F1296" s="1524">
        <v>0</v>
      </c>
      <c r="G1296" s="1537" t="s">
        <v>5257</v>
      </c>
      <c r="H1296" s="1521">
        <v>0</v>
      </c>
      <c r="I1296" s="1521" t="s">
        <v>4099</v>
      </c>
      <c r="J1296" s="1538">
        <v>0</v>
      </c>
      <c r="K1296" s="1525"/>
      <c r="L1296" s="1519">
        <v>13121003700</v>
      </c>
      <c r="M1296" s="1520">
        <v>0</v>
      </c>
      <c r="N1296" s="1520">
        <v>0</v>
      </c>
      <c r="O1296" s="1521">
        <v>0</v>
      </c>
    </row>
    <row r="1297" spans="3:15" ht="13.5">
      <c r="C1297" s="1526" t="s">
        <v>5258</v>
      </c>
      <c r="D1297" s="1523">
        <v>0</v>
      </c>
      <c r="E1297" s="1523">
        <v>0</v>
      </c>
      <c r="F1297" s="1524">
        <v>0</v>
      </c>
      <c r="G1297" s="1537" t="s">
        <v>5258</v>
      </c>
      <c r="H1297" s="1521">
        <v>0</v>
      </c>
      <c r="I1297" s="1521" t="s">
        <v>4099</v>
      </c>
      <c r="J1297" s="1538">
        <v>0</v>
      </c>
      <c r="K1297" s="1525"/>
      <c r="L1297" s="1519">
        <v>13121003800</v>
      </c>
      <c r="M1297" s="1520">
        <v>0</v>
      </c>
      <c r="N1297" s="1520">
        <v>0</v>
      </c>
      <c r="O1297" s="1521">
        <v>0</v>
      </c>
    </row>
    <row r="1298" spans="3:15" ht="13.5">
      <c r="C1298" s="1526" t="s">
        <v>5259</v>
      </c>
      <c r="D1298" s="1523">
        <v>0</v>
      </c>
      <c r="E1298" s="1523">
        <v>0</v>
      </c>
      <c r="F1298" s="1524">
        <v>0</v>
      </c>
      <c r="G1298" s="1537" t="s">
        <v>5259</v>
      </c>
      <c r="H1298" s="1521">
        <v>0</v>
      </c>
      <c r="I1298" s="1521">
        <v>0</v>
      </c>
      <c r="J1298" s="1538">
        <v>0</v>
      </c>
      <c r="K1298" s="1525"/>
      <c r="L1298" s="1519">
        <v>13121003900</v>
      </c>
      <c r="M1298" s="1520">
        <v>0</v>
      </c>
      <c r="N1298" s="1520">
        <v>0</v>
      </c>
      <c r="O1298" s="1521">
        <v>0</v>
      </c>
    </row>
    <row r="1299" spans="3:15" ht="13.5">
      <c r="C1299" s="1526" t="s">
        <v>5260</v>
      </c>
      <c r="D1299" s="1523">
        <v>0</v>
      </c>
      <c r="E1299" s="1523">
        <v>0</v>
      </c>
      <c r="F1299" s="1524">
        <v>0</v>
      </c>
      <c r="G1299" s="1537" t="s">
        <v>5260</v>
      </c>
      <c r="H1299" s="1521">
        <v>0</v>
      </c>
      <c r="I1299" s="1521">
        <v>0</v>
      </c>
      <c r="J1299" s="1538">
        <v>0</v>
      </c>
      <c r="K1299" s="1525"/>
      <c r="L1299" s="1519">
        <v>13121004000</v>
      </c>
      <c r="M1299" s="1520">
        <v>0</v>
      </c>
      <c r="N1299" s="1520">
        <v>0</v>
      </c>
      <c r="O1299" s="1521">
        <v>0</v>
      </c>
    </row>
    <row r="1300" spans="3:15" ht="13.5">
      <c r="C1300" s="1526" t="s">
        <v>5261</v>
      </c>
      <c r="D1300" s="1523">
        <v>0</v>
      </c>
      <c r="E1300" s="1523">
        <v>0</v>
      </c>
      <c r="F1300" s="1524">
        <v>0</v>
      </c>
      <c r="G1300" s="1537" t="s">
        <v>5261</v>
      </c>
      <c r="H1300" s="1521">
        <v>0</v>
      </c>
      <c r="I1300" s="1521">
        <v>0</v>
      </c>
      <c r="J1300" s="1538">
        <v>0</v>
      </c>
      <c r="K1300" s="1525"/>
      <c r="L1300" s="1519">
        <v>13121004100</v>
      </c>
      <c r="M1300" s="1520">
        <v>0</v>
      </c>
      <c r="N1300" s="1520">
        <v>0</v>
      </c>
      <c r="O1300" s="1521">
        <v>0</v>
      </c>
    </row>
    <row r="1301" spans="3:15" ht="13.5">
      <c r="C1301" s="1526" t="s">
        <v>5262</v>
      </c>
      <c r="D1301" s="1523">
        <v>0</v>
      </c>
      <c r="E1301" s="1523">
        <v>0</v>
      </c>
      <c r="F1301" s="1524">
        <v>0</v>
      </c>
      <c r="G1301" s="1537" t="s">
        <v>5262</v>
      </c>
      <c r="H1301" s="1521">
        <v>0</v>
      </c>
      <c r="I1301" s="1521">
        <v>0</v>
      </c>
      <c r="J1301" s="1538">
        <v>0</v>
      </c>
      <c r="K1301" s="1525"/>
      <c r="L1301" s="1519">
        <v>13121004200</v>
      </c>
      <c r="M1301" s="1520">
        <v>0</v>
      </c>
      <c r="N1301" s="1520">
        <v>0</v>
      </c>
      <c r="O1301" s="1521">
        <v>0</v>
      </c>
    </row>
    <row r="1302" spans="3:15" ht="13.5">
      <c r="C1302" s="1526" t="s">
        <v>5263</v>
      </c>
      <c r="D1302" s="1523">
        <v>0</v>
      </c>
      <c r="E1302" s="1523">
        <v>0</v>
      </c>
      <c r="F1302" s="1524">
        <v>0</v>
      </c>
      <c r="G1302" s="1537" t="s">
        <v>5263</v>
      </c>
      <c r="H1302" s="1521">
        <v>0</v>
      </c>
      <c r="I1302" s="1521" t="s">
        <v>4099</v>
      </c>
      <c r="J1302" s="1538">
        <v>0</v>
      </c>
      <c r="K1302" s="1525"/>
      <c r="L1302" s="1519">
        <v>13121004300</v>
      </c>
      <c r="M1302" s="1520">
        <v>0</v>
      </c>
      <c r="N1302" s="1520">
        <v>0</v>
      </c>
      <c r="O1302" s="1521">
        <v>0</v>
      </c>
    </row>
    <row r="1303" spans="3:15" ht="13.5">
      <c r="C1303" s="1526" t="s">
        <v>5264</v>
      </c>
      <c r="D1303" s="1523">
        <v>0</v>
      </c>
      <c r="E1303" s="1523">
        <v>0</v>
      </c>
      <c r="F1303" s="1524">
        <v>0</v>
      </c>
      <c r="G1303" s="1537" t="s">
        <v>5264</v>
      </c>
      <c r="H1303" s="1521">
        <v>0</v>
      </c>
      <c r="I1303" s="1521">
        <v>0</v>
      </c>
      <c r="J1303" s="1538">
        <v>0</v>
      </c>
      <c r="K1303" s="1525"/>
      <c r="L1303" s="1519">
        <v>13121004400</v>
      </c>
      <c r="M1303" s="1520">
        <v>0</v>
      </c>
      <c r="N1303" s="1520">
        <v>0</v>
      </c>
      <c r="O1303" s="1521">
        <v>0</v>
      </c>
    </row>
    <row r="1304" spans="3:15" ht="13.5">
      <c r="C1304" s="1526" t="s">
        <v>5265</v>
      </c>
      <c r="D1304" s="1523">
        <v>0</v>
      </c>
      <c r="E1304" s="1523">
        <v>0</v>
      </c>
      <c r="F1304" s="1524">
        <v>0</v>
      </c>
      <c r="G1304" s="1537" t="s">
        <v>5265</v>
      </c>
      <c r="H1304" s="1521">
        <v>0</v>
      </c>
      <c r="I1304" s="1521" t="s">
        <v>4099</v>
      </c>
      <c r="J1304" s="1538">
        <v>0</v>
      </c>
      <c r="K1304" s="1525"/>
      <c r="L1304" s="1519">
        <v>13121004800</v>
      </c>
      <c r="M1304" s="1520">
        <v>0</v>
      </c>
      <c r="N1304" s="1520">
        <v>0</v>
      </c>
      <c r="O1304" s="1521">
        <v>0</v>
      </c>
    </row>
    <row r="1305" spans="3:15" ht="13.5">
      <c r="C1305" s="1526" t="s">
        <v>5266</v>
      </c>
      <c r="D1305" s="1523">
        <v>1</v>
      </c>
      <c r="E1305" s="1523">
        <v>0</v>
      </c>
      <c r="F1305" s="1524">
        <v>1</v>
      </c>
      <c r="G1305" s="1537" t="s">
        <v>5266</v>
      </c>
      <c r="H1305" s="1521">
        <v>1</v>
      </c>
      <c r="I1305" s="1521" t="s">
        <v>4099</v>
      </c>
      <c r="J1305" s="1538">
        <v>1</v>
      </c>
      <c r="K1305" s="1525"/>
      <c r="L1305" s="1519">
        <v>13121004900</v>
      </c>
      <c r="M1305" s="1520">
        <v>1</v>
      </c>
      <c r="N1305" s="1520">
        <v>0</v>
      </c>
      <c r="O1305" s="1521">
        <v>1</v>
      </c>
    </row>
    <row r="1306" spans="3:15" ht="13.5">
      <c r="C1306" s="1526" t="s">
        <v>5267</v>
      </c>
      <c r="D1306" s="1523">
        <v>1</v>
      </c>
      <c r="E1306" s="1523">
        <v>1</v>
      </c>
      <c r="F1306" s="1524">
        <v>2</v>
      </c>
      <c r="G1306" s="1537" t="s">
        <v>5267</v>
      </c>
      <c r="H1306" s="1521">
        <v>1</v>
      </c>
      <c r="I1306" s="1521">
        <v>1</v>
      </c>
      <c r="J1306" s="1538">
        <v>2</v>
      </c>
      <c r="K1306" s="1525"/>
      <c r="L1306" s="1519">
        <v>13121005000</v>
      </c>
      <c r="M1306" s="1520">
        <v>1</v>
      </c>
      <c r="N1306" s="1520">
        <v>1</v>
      </c>
      <c r="O1306" s="1521">
        <v>2</v>
      </c>
    </row>
    <row r="1307" spans="3:15" ht="13.5">
      <c r="C1307" s="1526" t="s">
        <v>5268</v>
      </c>
      <c r="D1307" s="1523">
        <v>1</v>
      </c>
      <c r="E1307" s="1523">
        <v>1</v>
      </c>
      <c r="F1307" s="1524">
        <v>2</v>
      </c>
      <c r="G1307" s="1537" t="s">
        <v>5268</v>
      </c>
      <c r="H1307" s="1521">
        <v>1</v>
      </c>
      <c r="I1307" s="1521">
        <v>1</v>
      </c>
      <c r="J1307" s="1538">
        <v>2</v>
      </c>
      <c r="K1307" s="1525"/>
      <c r="L1307" s="1519">
        <v>13121005200</v>
      </c>
      <c r="M1307" s="1520">
        <v>1</v>
      </c>
      <c r="N1307" s="1520">
        <v>1</v>
      </c>
      <c r="O1307" s="1521">
        <v>2</v>
      </c>
    </row>
    <row r="1308" spans="3:15" ht="13.5">
      <c r="C1308" s="1526" t="s">
        <v>5269</v>
      </c>
      <c r="D1308" s="1523">
        <v>1</v>
      </c>
      <c r="E1308" s="1523">
        <v>1</v>
      </c>
      <c r="F1308" s="1524">
        <v>2</v>
      </c>
      <c r="G1308" s="1537" t="s">
        <v>5269</v>
      </c>
      <c r="H1308" s="1521">
        <v>1</v>
      </c>
      <c r="I1308" s="1521">
        <v>1</v>
      </c>
      <c r="J1308" s="1538">
        <v>2</v>
      </c>
      <c r="K1308" s="1525"/>
      <c r="L1308" s="1519">
        <v>13121005300</v>
      </c>
      <c r="M1308" s="1520">
        <v>1</v>
      </c>
      <c r="N1308" s="1520">
        <v>1</v>
      </c>
      <c r="O1308" s="1521">
        <v>2</v>
      </c>
    </row>
    <row r="1309" spans="3:15" ht="13.5">
      <c r="C1309" s="1526" t="s">
        <v>5270</v>
      </c>
      <c r="D1309" s="1523">
        <v>0</v>
      </c>
      <c r="E1309" s="1523">
        <v>0</v>
      </c>
      <c r="F1309" s="1524">
        <v>0</v>
      </c>
      <c r="G1309" s="1537" t="s">
        <v>5270</v>
      </c>
      <c r="H1309" s="1521">
        <v>0</v>
      </c>
      <c r="I1309" s="1521">
        <v>0</v>
      </c>
      <c r="J1309" s="1538">
        <v>0</v>
      </c>
      <c r="K1309" s="1525"/>
      <c r="L1309" s="1519">
        <v>13121005501</v>
      </c>
      <c r="M1309" s="1520">
        <v>0</v>
      </c>
      <c r="N1309" s="1520">
        <v>0</v>
      </c>
      <c r="O1309" s="1521">
        <v>0</v>
      </c>
    </row>
    <row r="1310" spans="3:15" ht="13.5">
      <c r="C1310" s="1526" t="s">
        <v>5271</v>
      </c>
      <c r="D1310" s="1523">
        <v>0</v>
      </c>
      <c r="E1310" s="1523">
        <v>0</v>
      </c>
      <c r="F1310" s="1524">
        <v>0</v>
      </c>
      <c r="G1310" s="1537" t="s">
        <v>5271</v>
      </c>
      <c r="H1310" s="1521">
        <v>0</v>
      </c>
      <c r="I1310" s="1521">
        <v>0</v>
      </c>
      <c r="J1310" s="1538">
        <v>0</v>
      </c>
      <c r="K1310" s="1525"/>
      <c r="L1310" s="1519">
        <v>13121005502</v>
      </c>
      <c r="M1310" s="1520">
        <v>0</v>
      </c>
      <c r="N1310" s="1520">
        <v>0</v>
      </c>
      <c r="O1310" s="1521">
        <v>0</v>
      </c>
    </row>
    <row r="1311" spans="3:15" ht="13.5">
      <c r="C1311" s="1526" t="s">
        <v>5272</v>
      </c>
      <c r="D1311" s="1523">
        <v>0</v>
      </c>
      <c r="E1311" s="1523">
        <v>0</v>
      </c>
      <c r="F1311" s="1524">
        <v>0</v>
      </c>
      <c r="G1311" s="1537" t="s">
        <v>5272</v>
      </c>
      <c r="H1311" s="1521">
        <v>0</v>
      </c>
      <c r="I1311" s="1521">
        <v>0</v>
      </c>
      <c r="J1311" s="1538">
        <v>0</v>
      </c>
      <c r="K1311" s="1525"/>
      <c r="L1311" s="1519">
        <v>13121005700</v>
      </c>
      <c r="M1311" s="1520">
        <v>0</v>
      </c>
      <c r="N1311" s="1520">
        <v>0</v>
      </c>
      <c r="O1311" s="1521">
        <v>0</v>
      </c>
    </row>
    <row r="1312" spans="3:15" ht="13.5">
      <c r="C1312" s="1526" t="s">
        <v>5273</v>
      </c>
      <c r="D1312" s="1523">
        <v>0</v>
      </c>
      <c r="E1312" s="1523">
        <v>0</v>
      </c>
      <c r="F1312" s="1524">
        <v>0</v>
      </c>
      <c r="G1312" s="1537" t="s">
        <v>5273</v>
      </c>
      <c r="H1312" s="1521">
        <v>0</v>
      </c>
      <c r="I1312" s="1521">
        <v>0</v>
      </c>
      <c r="J1312" s="1538">
        <v>0</v>
      </c>
      <c r="K1312" s="1525"/>
      <c r="L1312" s="1519">
        <v>13121005800</v>
      </c>
      <c r="M1312" s="1520">
        <v>0</v>
      </c>
      <c r="N1312" s="1520">
        <v>0</v>
      </c>
      <c r="O1312" s="1521">
        <v>0</v>
      </c>
    </row>
    <row r="1313" spans="3:15" ht="13.5">
      <c r="C1313" s="1526" t="s">
        <v>5274</v>
      </c>
      <c r="D1313" s="1523">
        <v>0</v>
      </c>
      <c r="E1313" s="1523">
        <v>0</v>
      </c>
      <c r="F1313" s="1524">
        <v>0</v>
      </c>
      <c r="G1313" s="1537" t="s">
        <v>5274</v>
      </c>
      <c r="H1313" s="1521">
        <v>0</v>
      </c>
      <c r="I1313" s="1521">
        <v>0</v>
      </c>
      <c r="J1313" s="1538">
        <v>0</v>
      </c>
      <c r="K1313" s="1525"/>
      <c r="L1313" s="1519">
        <v>13121006000</v>
      </c>
      <c r="M1313" s="1520">
        <v>0</v>
      </c>
      <c r="N1313" s="1520">
        <v>0</v>
      </c>
      <c r="O1313" s="1521">
        <v>0</v>
      </c>
    </row>
    <row r="1314" spans="3:15" ht="13.5">
      <c r="C1314" s="1526" t="s">
        <v>5275</v>
      </c>
      <c r="D1314" s="1523">
        <v>0</v>
      </c>
      <c r="E1314" s="1523">
        <v>0</v>
      </c>
      <c r="F1314" s="1524">
        <v>0</v>
      </c>
      <c r="G1314" s="1537" t="s">
        <v>5275</v>
      </c>
      <c r="H1314" s="1521">
        <v>0</v>
      </c>
      <c r="I1314" s="1521">
        <v>0</v>
      </c>
      <c r="J1314" s="1538">
        <v>0</v>
      </c>
      <c r="K1314" s="1525"/>
      <c r="L1314" s="1519">
        <v>13121006100</v>
      </c>
      <c r="M1314" s="1520">
        <v>0</v>
      </c>
      <c r="N1314" s="1520">
        <v>0</v>
      </c>
      <c r="O1314" s="1521">
        <v>0</v>
      </c>
    </row>
    <row r="1315" spans="3:15" ht="13.5">
      <c r="C1315" s="1526" t="s">
        <v>5276</v>
      </c>
      <c r="D1315" s="1523">
        <v>0</v>
      </c>
      <c r="E1315" s="1523">
        <v>0</v>
      </c>
      <c r="F1315" s="1524">
        <v>0</v>
      </c>
      <c r="G1315" s="1537" t="s">
        <v>5276</v>
      </c>
      <c r="H1315" s="1521">
        <v>0</v>
      </c>
      <c r="I1315" s="1521">
        <v>0</v>
      </c>
      <c r="J1315" s="1538">
        <v>0</v>
      </c>
      <c r="K1315" s="1525"/>
      <c r="L1315" s="1519">
        <v>13121006200</v>
      </c>
      <c r="M1315" s="1520">
        <v>0</v>
      </c>
      <c r="N1315" s="1520">
        <v>0</v>
      </c>
      <c r="O1315" s="1521">
        <v>0</v>
      </c>
    </row>
    <row r="1316" spans="3:15" ht="13.5">
      <c r="C1316" s="1526" t="s">
        <v>5277</v>
      </c>
      <c r="D1316" s="1523">
        <v>0</v>
      </c>
      <c r="E1316" s="1523">
        <v>0</v>
      </c>
      <c r="F1316" s="1524">
        <v>0</v>
      </c>
      <c r="G1316" s="1537" t="s">
        <v>5277</v>
      </c>
      <c r="H1316" s="1521">
        <v>0</v>
      </c>
      <c r="I1316" s="1521">
        <v>0</v>
      </c>
      <c r="J1316" s="1538">
        <v>0</v>
      </c>
      <c r="K1316" s="1525"/>
      <c r="L1316" s="1519">
        <v>13121006300</v>
      </c>
      <c r="M1316" s="1520">
        <v>0</v>
      </c>
      <c r="N1316" s="1520">
        <v>0</v>
      </c>
      <c r="O1316" s="1521">
        <v>0</v>
      </c>
    </row>
    <row r="1317" spans="3:15" ht="13.5">
      <c r="C1317" s="1526" t="s">
        <v>5278</v>
      </c>
      <c r="D1317" s="1523">
        <v>0</v>
      </c>
      <c r="E1317" s="1523">
        <v>0</v>
      </c>
      <c r="F1317" s="1524">
        <v>0</v>
      </c>
      <c r="G1317" s="1537" t="s">
        <v>5278</v>
      </c>
      <c r="H1317" s="1521">
        <v>0</v>
      </c>
      <c r="I1317" s="1521" t="s">
        <v>4099</v>
      </c>
      <c r="J1317" s="1538">
        <v>0</v>
      </c>
      <c r="K1317" s="1525"/>
      <c r="L1317" s="1519">
        <v>13121006400</v>
      </c>
      <c r="M1317" s="1520">
        <v>0</v>
      </c>
      <c r="N1317" s="1520">
        <v>0</v>
      </c>
      <c r="O1317" s="1521">
        <v>0</v>
      </c>
    </row>
    <row r="1318" spans="3:15" ht="13.5">
      <c r="C1318" s="1526" t="s">
        <v>5279</v>
      </c>
      <c r="D1318" s="1523">
        <v>0</v>
      </c>
      <c r="E1318" s="1523">
        <v>0</v>
      </c>
      <c r="F1318" s="1524">
        <v>0</v>
      </c>
      <c r="G1318" s="1537" t="s">
        <v>5279</v>
      </c>
      <c r="H1318" s="1521">
        <v>0</v>
      </c>
      <c r="I1318" s="1521">
        <v>0</v>
      </c>
      <c r="J1318" s="1538">
        <v>0</v>
      </c>
      <c r="K1318" s="1525"/>
      <c r="L1318" s="1519">
        <v>13121006500</v>
      </c>
      <c r="M1318" s="1520">
        <v>0</v>
      </c>
      <c r="N1318" s="1520">
        <v>0</v>
      </c>
      <c r="O1318" s="1521">
        <v>0</v>
      </c>
    </row>
    <row r="1319" spans="3:15" ht="13.5">
      <c r="C1319" s="1526" t="s">
        <v>5280</v>
      </c>
      <c r="D1319" s="1523">
        <v>0</v>
      </c>
      <c r="E1319" s="1523">
        <v>0</v>
      </c>
      <c r="F1319" s="1524">
        <v>0</v>
      </c>
      <c r="G1319" s="1537" t="s">
        <v>5280</v>
      </c>
      <c r="H1319" s="1521">
        <v>0</v>
      </c>
      <c r="I1319" s="1521">
        <v>0</v>
      </c>
      <c r="J1319" s="1538">
        <v>0</v>
      </c>
      <c r="K1319" s="1525"/>
      <c r="L1319" s="1519">
        <v>13121006601</v>
      </c>
      <c r="M1319" s="1520">
        <v>0</v>
      </c>
      <c r="N1319" s="1520">
        <v>0</v>
      </c>
      <c r="O1319" s="1521">
        <v>0</v>
      </c>
    </row>
    <row r="1320" spans="3:15" ht="13.5">
      <c r="C1320" s="1526" t="s">
        <v>5281</v>
      </c>
      <c r="D1320" s="1523">
        <v>0</v>
      </c>
      <c r="E1320" s="1523">
        <v>0</v>
      </c>
      <c r="F1320" s="1524">
        <v>0</v>
      </c>
      <c r="G1320" s="1537" t="s">
        <v>5281</v>
      </c>
      <c r="H1320" s="1521">
        <v>0</v>
      </c>
      <c r="I1320" s="1521">
        <v>0</v>
      </c>
      <c r="J1320" s="1538">
        <v>0</v>
      </c>
      <c r="K1320" s="1525"/>
      <c r="L1320" s="1519">
        <v>13121006602</v>
      </c>
      <c r="M1320" s="1520">
        <v>0</v>
      </c>
      <c r="N1320" s="1520">
        <v>0</v>
      </c>
      <c r="O1320" s="1521">
        <v>0</v>
      </c>
    </row>
    <row r="1321" spans="3:15" ht="13.5">
      <c r="C1321" s="1526" t="s">
        <v>5282</v>
      </c>
      <c r="D1321" s="1523">
        <v>0</v>
      </c>
      <c r="E1321" s="1523">
        <v>0</v>
      </c>
      <c r="F1321" s="1524">
        <v>0</v>
      </c>
      <c r="G1321" s="1537" t="s">
        <v>5282</v>
      </c>
      <c r="H1321" s="1521">
        <v>0</v>
      </c>
      <c r="I1321" s="1521">
        <v>0</v>
      </c>
      <c r="J1321" s="1538">
        <v>0</v>
      </c>
      <c r="K1321" s="1525"/>
      <c r="L1321" s="1519">
        <v>13121006700</v>
      </c>
      <c r="M1321" s="1520">
        <v>0</v>
      </c>
      <c r="N1321" s="1520">
        <v>0</v>
      </c>
      <c r="O1321" s="1521">
        <v>0</v>
      </c>
    </row>
    <row r="1322" spans="3:15" ht="13.5">
      <c r="C1322" s="1526" t="s">
        <v>5283</v>
      </c>
      <c r="D1322" s="1523" t="s">
        <v>4099</v>
      </c>
      <c r="E1322" s="1523" t="s">
        <v>4099</v>
      </c>
      <c r="F1322" s="1524">
        <v>0</v>
      </c>
      <c r="G1322" s="1537" t="s">
        <v>5283</v>
      </c>
      <c r="H1322" s="1521" t="s">
        <v>4099</v>
      </c>
      <c r="I1322" s="1521" t="s">
        <v>4099</v>
      </c>
      <c r="J1322" s="1538">
        <v>0</v>
      </c>
      <c r="K1322" s="1525"/>
      <c r="L1322" s="1519">
        <v>13121006801</v>
      </c>
      <c r="M1322" s="1520">
        <v>0</v>
      </c>
      <c r="N1322" s="1520">
        <v>0</v>
      </c>
      <c r="O1322" s="1521">
        <v>0</v>
      </c>
    </row>
    <row r="1323" spans="3:15" ht="13.5">
      <c r="C1323" s="1526" t="s">
        <v>5284</v>
      </c>
      <c r="D1323" s="1523">
        <v>0</v>
      </c>
      <c r="E1323" s="1523">
        <v>0</v>
      </c>
      <c r="F1323" s="1524">
        <v>0</v>
      </c>
      <c r="G1323" s="1537" t="s">
        <v>5284</v>
      </c>
      <c r="H1323" s="1521">
        <v>0</v>
      </c>
      <c r="I1323" s="1521">
        <v>0</v>
      </c>
      <c r="J1323" s="1538">
        <v>0</v>
      </c>
      <c r="K1323" s="1525"/>
      <c r="L1323" s="1519">
        <v>13121006802</v>
      </c>
      <c r="M1323" s="1520">
        <v>0</v>
      </c>
      <c r="N1323" s="1520">
        <v>0</v>
      </c>
      <c r="O1323" s="1521">
        <v>0</v>
      </c>
    </row>
    <row r="1324" spans="3:15" ht="13.5">
      <c r="C1324" s="1526" t="s">
        <v>5285</v>
      </c>
      <c r="D1324" s="1523">
        <v>0</v>
      </c>
      <c r="E1324" s="1523">
        <v>0</v>
      </c>
      <c r="F1324" s="1524">
        <v>0</v>
      </c>
      <c r="G1324" s="1537" t="s">
        <v>5285</v>
      </c>
      <c r="H1324" s="1521">
        <v>1</v>
      </c>
      <c r="I1324" s="1521">
        <v>0</v>
      </c>
      <c r="J1324" s="1538">
        <v>1</v>
      </c>
      <c r="K1324" s="1525"/>
      <c r="L1324" s="1519">
        <v>13121006900</v>
      </c>
      <c r="M1324" s="1520">
        <v>1</v>
      </c>
      <c r="N1324" s="1520">
        <v>0</v>
      </c>
      <c r="O1324" s="1521">
        <v>1</v>
      </c>
    </row>
    <row r="1325" spans="3:15" ht="13.5">
      <c r="C1325" s="1526" t="s">
        <v>5286</v>
      </c>
      <c r="D1325" s="1523">
        <v>0</v>
      </c>
      <c r="E1325" s="1523">
        <v>0</v>
      </c>
      <c r="F1325" s="1524">
        <v>0</v>
      </c>
      <c r="G1325" s="1537" t="s">
        <v>5286</v>
      </c>
      <c r="H1325" s="1521">
        <v>0</v>
      </c>
      <c r="I1325" s="1521">
        <v>0</v>
      </c>
      <c r="J1325" s="1538">
        <v>0</v>
      </c>
      <c r="K1325" s="1525"/>
      <c r="L1325" s="1519">
        <v>13121007001</v>
      </c>
      <c r="M1325" s="1520">
        <v>0</v>
      </c>
      <c r="N1325" s="1520">
        <v>0</v>
      </c>
      <c r="O1325" s="1521">
        <v>0</v>
      </c>
    </row>
    <row r="1326" spans="3:15" ht="13.5">
      <c r="C1326" s="1526" t="s">
        <v>5287</v>
      </c>
      <c r="D1326" s="1523">
        <v>0</v>
      </c>
      <c r="E1326" s="1523">
        <v>0</v>
      </c>
      <c r="F1326" s="1524">
        <v>0</v>
      </c>
      <c r="G1326" s="1537" t="s">
        <v>5287</v>
      </c>
      <c r="H1326" s="1521">
        <v>0</v>
      </c>
      <c r="I1326" s="1521">
        <v>0</v>
      </c>
      <c r="J1326" s="1538">
        <v>0</v>
      </c>
      <c r="K1326" s="1525"/>
      <c r="L1326" s="1519">
        <v>13121007002</v>
      </c>
      <c r="M1326" s="1520">
        <v>0</v>
      </c>
      <c r="N1326" s="1520">
        <v>0</v>
      </c>
      <c r="O1326" s="1521">
        <v>0</v>
      </c>
    </row>
    <row r="1327" spans="3:15" ht="13.5">
      <c r="C1327" s="1526" t="s">
        <v>5288</v>
      </c>
      <c r="D1327" s="1523">
        <v>0</v>
      </c>
      <c r="E1327" s="1523">
        <v>0</v>
      </c>
      <c r="F1327" s="1524">
        <v>0</v>
      </c>
      <c r="G1327" s="1537" t="s">
        <v>5288</v>
      </c>
      <c r="H1327" s="1521">
        <v>0</v>
      </c>
      <c r="I1327" s="1521">
        <v>0</v>
      </c>
      <c r="J1327" s="1538">
        <v>0</v>
      </c>
      <c r="K1327" s="1525"/>
      <c r="L1327" s="1519">
        <v>13121007100</v>
      </c>
      <c r="M1327" s="1520">
        <v>0</v>
      </c>
      <c r="N1327" s="1520">
        <v>0</v>
      </c>
      <c r="O1327" s="1521">
        <v>0</v>
      </c>
    </row>
    <row r="1328" spans="3:15" ht="13.5">
      <c r="C1328" s="1526" t="s">
        <v>5289</v>
      </c>
      <c r="D1328" s="1523">
        <v>0</v>
      </c>
      <c r="E1328" s="1523">
        <v>0</v>
      </c>
      <c r="F1328" s="1524">
        <v>0</v>
      </c>
      <c r="G1328" s="1537" t="s">
        <v>5289</v>
      </c>
      <c r="H1328" s="1521">
        <v>0</v>
      </c>
      <c r="I1328" s="1521">
        <v>0</v>
      </c>
      <c r="J1328" s="1538">
        <v>0</v>
      </c>
      <c r="K1328" s="1525"/>
      <c r="L1328" s="1519">
        <v>13121007200</v>
      </c>
      <c r="M1328" s="1520">
        <v>0</v>
      </c>
      <c r="N1328" s="1520">
        <v>0</v>
      </c>
      <c r="O1328" s="1521">
        <v>0</v>
      </c>
    </row>
    <row r="1329" spans="3:15" ht="13.5">
      <c r="C1329" s="1526" t="s">
        <v>5290</v>
      </c>
      <c r="D1329" s="1523">
        <v>0</v>
      </c>
      <c r="E1329" s="1523">
        <v>0</v>
      </c>
      <c r="F1329" s="1524">
        <v>0</v>
      </c>
      <c r="G1329" s="1537" t="s">
        <v>5290</v>
      </c>
      <c r="H1329" s="1521">
        <v>0</v>
      </c>
      <c r="I1329" s="1521">
        <v>0</v>
      </c>
      <c r="J1329" s="1538">
        <v>0</v>
      </c>
      <c r="K1329" s="1525"/>
      <c r="L1329" s="1519">
        <v>13121007300</v>
      </c>
      <c r="M1329" s="1520">
        <v>0</v>
      </c>
      <c r="N1329" s="1520">
        <v>0</v>
      </c>
      <c r="O1329" s="1521">
        <v>0</v>
      </c>
    </row>
    <row r="1330" spans="3:15" ht="13.5">
      <c r="C1330" s="1526" t="s">
        <v>5291</v>
      </c>
      <c r="D1330" s="1523">
        <v>0</v>
      </c>
      <c r="E1330" s="1523">
        <v>0</v>
      </c>
      <c r="F1330" s="1524">
        <v>0</v>
      </c>
      <c r="G1330" s="1537" t="s">
        <v>5291</v>
      </c>
      <c r="H1330" s="1521">
        <v>0</v>
      </c>
      <c r="I1330" s="1521">
        <v>0</v>
      </c>
      <c r="J1330" s="1538">
        <v>0</v>
      </c>
      <c r="K1330" s="1525"/>
      <c r="L1330" s="1519">
        <v>13121007400</v>
      </c>
      <c r="M1330" s="1520">
        <v>0</v>
      </c>
      <c r="N1330" s="1520">
        <v>0</v>
      </c>
      <c r="O1330" s="1521">
        <v>0</v>
      </c>
    </row>
    <row r="1331" spans="3:15" ht="13.5">
      <c r="C1331" s="1526" t="s">
        <v>5292</v>
      </c>
      <c r="D1331" s="1523">
        <v>0</v>
      </c>
      <c r="E1331" s="1523">
        <v>0</v>
      </c>
      <c r="F1331" s="1524">
        <v>0</v>
      </c>
      <c r="G1331" s="1537" t="s">
        <v>5292</v>
      </c>
      <c r="H1331" s="1521">
        <v>0</v>
      </c>
      <c r="I1331" s="1521">
        <v>0</v>
      </c>
      <c r="J1331" s="1538">
        <v>0</v>
      </c>
      <c r="K1331" s="1525"/>
      <c r="L1331" s="1519">
        <v>13121007500</v>
      </c>
      <c r="M1331" s="1520">
        <v>0</v>
      </c>
      <c r="N1331" s="1520">
        <v>0</v>
      </c>
      <c r="O1331" s="1521">
        <v>0</v>
      </c>
    </row>
    <row r="1332" spans="3:15" ht="13.5">
      <c r="C1332" s="1526" t="s">
        <v>5293</v>
      </c>
      <c r="D1332" s="1523">
        <v>0</v>
      </c>
      <c r="E1332" s="1523">
        <v>0</v>
      </c>
      <c r="F1332" s="1524">
        <v>0</v>
      </c>
      <c r="G1332" s="1537" t="s">
        <v>5293</v>
      </c>
      <c r="H1332" s="1521">
        <v>0</v>
      </c>
      <c r="I1332" s="1521">
        <v>0</v>
      </c>
      <c r="J1332" s="1538">
        <v>0</v>
      </c>
      <c r="K1332" s="1525"/>
      <c r="L1332" s="1519">
        <v>13121007602</v>
      </c>
      <c r="M1332" s="1520">
        <v>0</v>
      </c>
      <c r="N1332" s="1520">
        <v>0</v>
      </c>
      <c r="O1332" s="1521">
        <v>0</v>
      </c>
    </row>
    <row r="1333" spans="3:15" ht="13.5">
      <c r="C1333" s="1526" t="s">
        <v>5294</v>
      </c>
      <c r="D1333" s="1523">
        <v>0</v>
      </c>
      <c r="E1333" s="1523">
        <v>0</v>
      </c>
      <c r="F1333" s="1524">
        <v>0</v>
      </c>
      <c r="G1333" s="1537" t="s">
        <v>5294</v>
      </c>
      <c r="H1333" s="1521">
        <v>0</v>
      </c>
      <c r="I1333" s="1521">
        <v>0</v>
      </c>
      <c r="J1333" s="1538">
        <v>0</v>
      </c>
      <c r="K1333" s="1525"/>
      <c r="L1333" s="1519">
        <v>13121007603</v>
      </c>
      <c r="M1333" s="1520">
        <v>0</v>
      </c>
      <c r="N1333" s="1520">
        <v>0</v>
      </c>
      <c r="O1333" s="1521">
        <v>0</v>
      </c>
    </row>
    <row r="1334" spans="3:15" ht="13.5">
      <c r="C1334" s="1526" t="s">
        <v>5295</v>
      </c>
      <c r="D1334" s="1523">
        <v>0</v>
      </c>
      <c r="E1334" s="1523">
        <v>0</v>
      </c>
      <c r="F1334" s="1524">
        <v>0</v>
      </c>
      <c r="G1334" s="1537" t="s">
        <v>5295</v>
      </c>
      <c r="H1334" s="1521">
        <v>0</v>
      </c>
      <c r="I1334" s="1521" t="s">
        <v>4099</v>
      </c>
      <c r="J1334" s="1538">
        <v>0</v>
      </c>
      <c r="K1334" s="1525"/>
      <c r="L1334" s="1519">
        <v>13121007604</v>
      </c>
      <c r="M1334" s="1520">
        <v>0</v>
      </c>
      <c r="N1334" s="1520">
        <v>0</v>
      </c>
      <c r="O1334" s="1521">
        <v>0</v>
      </c>
    </row>
    <row r="1335" spans="3:15" ht="13.5">
      <c r="C1335" s="1526" t="s">
        <v>5296</v>
      </c>
      <c r="D1335" s="1523">
        <v>0</v>
      </c>
      <c r="E1335" s="1523">
        <v>0</v>
      </c>
      <c r="F1335" s="1524">
        <v>0</v>
      </c>
      <c r="G1335" s="1537" t="s">
        <v>5296</v>
      </c>
      <c r="H1335" s="1521">
        <v>0</v>
      </c>
      <c r="I1335" s="1521">
        <v>0</v>
      </c>
      <c r="J1335" s="1538">
        <v>0</v>
      </c>
      <c r="K1335" s="1525"/>
      <c r="L1335" s="1519">
        <v>13121007703</v>
      </c>
      <c r="M1335" s="1520">
        <v>0</v>
      </c>
      <c r="N1335" s="1520">
        <v>0</v>
      </c>
      <c r="O1335" s="1521">
        <v>0</v>
      </c>
    </row>
    <row r="1336" spans="3:15" ht="13.5">
      <c r="C1336" s="1526" t="s">
        <v>5297</v>
      </c>
      <c r="D1336" s="1523">
        <v>0</v>
      </c>
      <c r="E1336" s="1523">
        <v>0</v>
      </c>
      <c r="F1336" s="1524">
        <v>0</v>
      </c>
      <c r="G1336" s="1537" t="s">
        <v>5297</v>
      </c>
      <c r="H1336" s="1521">
        <v>0</v>
      </c>
      <c r="I1336" s="1521">
        <v>0</v>
      </c>
      <c r="J1336" s="1538">
        <v>0</v>
      </c>
      <c r="K1336" s="1525"/>
      <c r="L1336" s="1519">
        <v>13121007704</v>
      </c>
      <c r="M1336" s="1520">
        <v>0</v>
      </c>
      <c r="N1336" s="1520">
        <v>0</v>
      </c>
      <c r="O1336" s="1521">
        <v>0</v>
      </c>
    </row>
    <row r="1337" spans="3:15" ht="13.5">
      <c r="C1337" s="1526" t="s">
        <v>5298</v>
      </c>
      <c r="D1337" s="1523">
        <v>0</v>
      </c>
      <c r="E1337" s="1523">
        <v>0</v>
      </c>
      <c r="F1337" s="1524">
        <v>0</v>
      </c>
      <c r="G1337" s="1537" t="s">
        <v>5298</v>
      </c>
      <c r="H1337" s="1521">
        <v>0</v>
      </c>
      <c r="I1337" s="1521">
        <v>0</v>
      </c>
      <c r="J1337" s="1538">
        <v>0</v>
      </c>
      <c r="K1337" s="1525"/>
      <c r="L1337" s="1519">
        <v>13121007705</v>
      </c>
      <c r="M1337" s="1520">
        <v>0</v>
      </c>
      <c r="N1337" s="1520">
        <v>0</v>
      </c>
      <c r="O1337" s="1521">
        <v>0</v>
      </c>
    </row>
    <row r="1338" spans="3:15" ht="13.5">
      <c r="C1338" s="1526" t="s">
        <v>5299</v>
      </c>
      <c r="D1338" s="1523">
        <v>0</v>
      </c>
      <c r="E1338" s="1523">
        <v>0</v>
      </c>
      <c r="F1338" s="1524">
        <v>0</v>
      </c>
      <c r="G1338" s="1537" t="s">
        <v>5299</v>
      </c>
      <c r="H1338" s="1521">
        <v>0</v>
      </c>
      <c r="I1338" s="1521">
        <v>1</v>
      </c>
      <c r="J1338" s="1538">
        <v>1</v>
      </c>
      <c r="K1338" s="1525"/>
      <c r="L1338" s="1519">
        <v>13121007706</v>
      </c>
      <c r="M1338" s="1520">
        <v>0</v>
      </c>
      <c r="N1338" s="1520">
        <v>1</v>
      </c>
      <c r="O1338" s="1521">
        <v>1</v>
      </c>
    </row>
    <row r="1339" spans="3:15" ht="13.5">
      <c r="C1339" s="1526" t="s">
        <v>5300</v>
      </c>
      <c r="D1339" s="1523">
        <v>0</v>
      </c>
      <c r="E1339" s="1523">
        <v>0</v>
      </c>
      <c r="F1339" s="1524">
        <v>0</v>
      </c>
      <c r="G1339" s="1537" t="s">
        <v>5300</v>
      </c>
      <c r="H1339" s="1521">
        <v>0</v>
      </c>
      <c r="I1339" s="1521">
        <v>0</v>
      </c>
      <c r="J1339" s="1538">
        <v>0</v>
      </c>
      <c r="K1339" s="1525"/>
      <c r="L1339" s="1519">
        <v>13121007802</v>
      </c>
      <c r="M1339" s="1520">
        <v>0</v>
      </c>
      <c r="N1339" s="1520">
        <v>0</v>
      </c>
      <c r="O1339" s="1521">
        <v>0</v>
      </c>
    </row>
    <row r="1340" spans="3:15" ht="13.5">
      <c r="C1340" s="1526" t="s">
        <v>5301</v>
      </c>
      <c r="D1340" s="1523">
        <v>0</v>
      </c>
      <c r="E1340" s="1523">
        <v>0</v>
      </c>
      <c r="F1340" s="1524">
        <v>0</v>
      </c>
      <c r="G1340" s="1537" t="s">
        <v>5301</v>
      </c>
      <c r="H1340" s="1521">
        <v>0</v>
      </c>
      <c r="I1340" s="1521">
        <v>0</v>
      </c>
      <c r="J1340" s="1538">
        <v>0</v>
      </c>
      <c r="K1340" s="1525"/>
      <c r="L1340" s="1519">
        <v>13121007805</v>
      </c>
      <c r="M1340" s="1520">
        <v>0</v>
      </c>
      <c r="N1340" s="1520">
        <v>0</v>
      </c>
      <c r="O1340" s="1521">
        <v>0</v>
      </c>
    </row>
    <row r="1341" spans="3:15" ht="13.5">
      <c r="C1341" s="1526" t="s">
        <v>5302</v>
      </c>
      <c r="D1341" s="1523">
        <v>0</v>
      </c>
      <c r="E1341" s="1523">
        <v>0</v>
      </c>
      <c r="F1341" s="1524">
        <v>0</v>
      </c>
      <c r="G1341" s="1537" t="s">
        <v>5302</v>
      </c>
      <c r="H1341" s="1521">
        <v>0</v>
      </c>
      <c r="I1341" s="1521">
        <v>1</v>
      </c>
      <c r="J1341" s="1538">
        <v>1</v>
      </c>
      <c r="K1341" s="1525"/>
      <c r="L1341" s="1519">
        <v>13121007806</v>
      </c>
      <c r="M1341" s="1520">
        <v>0</v>
      </c>
      <c r="N1341" s="1520">
        <v>1</v>
      </c>
      <c r="O1341" s="1521">
        <v>1</v>
      </c>
    </row>
    <row r="1342" spans="3:15" ht="13.5">
      <c r="C1342" s="1526" t="s">
        <v>5303</v>
      </c>
      <c r="D1342" s="1523">
        <v>0</v>
      </c>
      <c r="E1342" s="1523">
        <v>0</v>
      </c>
      <c r="F1342" s="1524">
        <v>0</v>
      </c>
      <c r="G1342" s="1537" t="s">
        <v>5303</v>
      </c>
      <c r="H1342" s="1521">
        <v>0</v>
      </c>
      <c r="I1342" s="1521">
        <v>0</v>
      </c>
      <c r="J1342" s="1538">
        <v>0</v>
      </c>
      <c r="K1342" s="1525"/>
      <c r="L1342" s="1519">
        <v>13121007807</v>
      </c>
      <c r="M1342" s="1520">
        <v>0</v>
      </c>
      <c r="N1342" s="1520">
        <v>0</v>
      </c>
      <c r="O1342" s="1521">
        <v>0</v>
      </c>
    </row>
    <row r="1343" spans="3:15" ht="13.5">
      <c r="C1343" s="1526" t="s">
        <v>5304</v>
      </c>
      <c r="D1343" s="1523">
        <v>0</v>
      </c>
      <c r="E1343" s="1523">
        <v>0</v>
      </c>
      <c r="F1343" s="1524">
        <v>0</v>
      </c>
      <c r="G1343" s="1537" t="s">
        <v>5304</v>
      </c>
      <c r="H1343" s="1521">
        <v>0</v>
      </c>
      <c r="I1343" s="1521">
        <v>0</v>
      </c>
      <c r="J1343" s="1538">
        <v>0</v>
      </c>
      <c r="K1343" s="1525"/>
      <c r="L1343" s="1519">
        <v>13121007808</v>
      </c>
      <c r="M1343" s="1520">
        <v>0</v>
      </c>
      <c r="N1343" s="1520">
        <v>0</v>
      </c>
      <c r="O1343" s="1521">
        <v>0</v>
      </c>
    </row>
    <row r="1344" spans="3:15" ht="13.5">
      <c r="C1344" s="1526" t="s">
        <v>5305</v>
      </c>
      <c r="D1344" s="1523">
        <v>0</v>
      </c>
      <c r="E1344" s="1523">
        <v>0</v>
      </c>
      <c r="F1344" s="1524">
        <v>0</v>
      </c>
      <c r="G1344" s="1537" t="s">
        <v>5305</v>
      </c>
      <c r="H1344" s="1521">
        <v>1</v>
      </c>
      <c r="I1344" s="1521">
        <v>1</v>
      </c>
      <c r="J1344" s="1538">
        <v>2</v>
      </c>
      <c r="K1344" s="1525"/>
      <c r="L1344" s="1519">
        <v>13121007900</v>
      </c>
      <c r="M1344" s="1520">
        <v>1</v>
      </c>
      <c r="N1344" s="1520">
        <v>1</v>
      </c>
      <c r="O1344" s="1521">
        <v>2</v>
      </c>
    </row>
    <row r="1345" spans="3:15" ht="13.5">
      <c r="C1345" s="1526" t="s">
        <v>5306</v>
      </c>
      <c r="D1345" s="1523">
        <v>0</v>
      </c>
      <c r="E1345" s="1523">
        <v>0</v>
      </c>
      <c r="F1345" s="1524">
        <v>0</v>
      </c>
      <c r="G1345" s="1537" t="s">
        <v>5306</v>
      </c>
      <c r="H1345" s="1521">
        <v>0</v>
      </c>
      <c r="I1345" s="1521">
        <v>0</v>
      </c>
      <c r="J1345" s="1538">
        <v>0</v>
      </c>
      <c r="K1345" s="1525"/>
      <c r="L1345" s="1519">
        <v>13121008000</v>
      </c>
      <c r="M1345" s="1520">
        <v>0</v>
      </c>
      <c r="N1345" s="1520">
        <v>0</v>
      </c>
      <c r="O1345" s="1521">
        <v>0</v>
      </c>
    </row>
    <row r="1346" spans="3:15" ht="13.5">
      <c r="C1346" s="1526" t="s">
        <v>5307</v>
      </c>
      <c r="D1346" s="1523">
        <v>0</v>
      </c>
      <c r="E1346" s="1523">
        <v>0</v>
      </c>
      <c r="F1346" s="1524">
        <v>0</v>
      </c>
      <c r="G1346" s="1537" t="s">
        <v>5307</v>
      </c>
      <c r="H1346" s="1521">
        <v>0</v>
      </c>
      <c r="I1346" s="1521">
        <v>0</v>
      </c>
      <c r="J1346" s="1538">
        <v>0</v>
      </c>
      <c r="K1346" s="1525"/>
      <c r="L1346" s="1519">
        <v>13121008101</v>
      </c>
      <c r="M1346" s="1520">
        <v>0</v>
      </c>
      <c r="N1346" s="1520">
        <v>0</v>
      </c>
      <c r="O1346" s="1521">
        <v>0</v>
      </c>
    </row>
    <row r="1347" spans="3:15" ht="13.5">
      <c r="C1347" s="1526" t="s">
        <v>5308</v>
      </c>
      <c r="D1347" s="1523">
        <v>0</v>
      </c>
      <c r="E1347" s="1523">
        <v>0</v>
      </c>
      <c r="F1347" s="1524">
        <v>0</v>
      </c>
      <c r="G1347" s="1537" t="s">
        <v>5308</v>
      </c>
      <c r="H1347" s="1521">
        <v>0</v>
      </c>
      <c r="I1347" s="1521">
        <v>0</v>
      </c>
      <c r="J1347" s="1538">
        <v>0</v>
      </c>
      <c r="K1347" s="1525"/>
      <c r="L1347" s="1519">
        <v>13121008102</v>
      </c>
      <c r="M1347" s="1520">
        <v>0</v>
      </c>
      <c r="N1347" s="1520">
        <v>0</v>
      </c>
      <c r="O1347" s="1521">
        <v>0</v>
      </c>
    </row>
    <row r="1348" spans="3:15" ht="13.5">
      <c r="C1348" s="1526" t="s">
        <v>5309</v>
      </c>
      <c r="D1348" s="1523">
        <v>0</v>
      </c>
      <c r="E1348" s="1523">
        <v>0</v>
      </c>
      <c r="F1348" s="1524">
        <v>0</v>
      </c>
      <c r="G1348" s="1537" t="s">
        <v>5309</v>
      </c>
      <c r="H1348" s="1521">
        <v>0</v>
      </c>
      <c r="I1348" s="1521">
        <v>0</v>
      </c>
      <c r="J1348" s="1538">
        <v>0</v>
      </c>
      <c r="K1348" s="1525"/>
      <c r="L1348" s="1519">
        <v>13121008201</v>
      </c>
      <c r="M1348" s="1520">
        <v>0</v>
      </c>
      <c r="N1348" s="1520">
        <v>0</v>
      </c>
      <c r="O1348" s="1521">
        <v>0</v>
      </c>
    </row>
    <row r="1349" spans="3:15" ht="13.5">
      <c r="C1349" s="1526" t="s">
        <v>5310</v>
      </c>
      <c r="D1349" s="1523">
        <v>0</v>
      </c>
      <c r="E1349" s="1523">
        <v>0</v>
      </c>
      <c r="F1349" s="1524">
        <v>0</v>
      </c>
      <c r="G1349" s="1537" t="s">
        <v>5310</v>
      </c>
      <c r="H1349" s="1521">
        <v>0</v>
      </c>
      <c r="I1349" s="1521">
        <v>0</v>
      </c>
      <c r="J1349" s="1538">
        <v>0</v>
      </c>
      <c r="K1349" s="1525"/>
      <c r="L1349" s="1519">
        <v>13121008202</v>
      </c>
      <c r="M1349" s="1520">
        <v>0</v>
      </c>
      <c r="N1349" s="1520">
        <v>0</v>
      </c>
      <c r="O1349" s="1521">
        <v>0</v>
      </c>
    </row>
    <row r="1350" spans="3:15" ht="13.5">
      <c r="C1350" s="1526" t="s">
        <v>5311</v>
      </c>
      <c r="D1350" s="1523">
        <v>0</v>
      </c>
      <c r="E1350" s="1523">
        <v>0</v>
      </c>
      <c r="F1350" s="1524">
        <v>0</v>
      </c>
      <c r="G1350" s="1537" t="s">
        <v>5311</v>
      </c>
      <c r="H1350" s="1521">
        <v>0</v>
      </c>
      <c r="I1350" s="1521" t="s">
        <v>4099</v>
      </c>
      <c r="J1350" s="1538">
        <v>0</v>
      </c>
      <c r="K1350" s="1525"/>
      <c r="L1350" s="1519">
        <v>13121008301</v>
      </c>
      <c r="M1350" s="1520">
        <v>0</v>
      </c>
      <c r="N1350" s="1520">
        <v>0</v>
      </c>
      <c r="O1350" s="1521">
        <v>0</v>
      </c>
    </row>
    <row r="1351" spans="3:15" ht="13.5">
      <c r="C1351" s="1526" t="s">
        <v>5312</v>
      </c>
      <c r="D1351" s="1523">
        <v>0</v>
      </c>
      <c r="E1351" s="1523">
        <v>0</v>
      </c>
      <c r="F1351" s="1524">
        <v>0</v>
      </c>
      <c r="G1351" s="1537" t="s">
        <v>5312</v>
      </c>
      <c r="H1351" s="1521">
        <v>0</v>
      </c>
      <c r="I1351" s="1521" t="s">
        <v>4099</v>
      </c>
      <c r="J1351" s="1538">
        <v>0</v>
      </c>
      <c r="K1351" s="1525"/>
      <c r="L1351" s="1519">
        <v>13121008302</v>
      </c>
      <c r="M1351" s="1520">
        <v>0</v>
      </c>
      <c r="N1351" s="1520">
        <v>0</v>
      </c>
      <c r="O1351" s="1521">
        <v>0</v>
      </c>
    </row>
    <row r="1352" spans="3:15" ht="13.5">
      <c r="C1352" s="1526" t="s">
        <v>5313</v>
      </c>
      <c r="D1352" s="1523">
        <v>0</v>
      </c>
      <c r="E1352" s="1523">
        <v>0</v>
      </c>
      <c r="F1352" s="1524">
        <v>0</v>
      </c>
      <c r="G1352" s="1537" t="s">
        <v>5313</v>
      </c>
      <c r="H1352" s="1521">
        <v>0</v>
      </c>
      <c r="I1352" s="1521">
        <v>0</v>
      </c>
      <c r="J1352" s="1538">
        <v>0</v>
      </c>
      <c r="K1352" s="1525"/>
      <c r="L1352" s="1519">
        <v>13121008400</v>
      </c>
      <c r="M1352" s="1520">
        <v>0</v>
      </c>
      <c r="N1352" s="1520">
        <v>0</v>
      </c>
      <c r="O1352" s="1521">
        <v>0</v>
      </c>
    </row>
    <row r="1353" spans="3:15" ht="13.5">
      <c r="C1353" s="1526" t="s">
        <v>5314</v>
      </c>
      <c r="D1353" s="1523">
        <v>0</v>
      </c>
      <c r="E1353" s="1523">
        <v>0</v>
      </c>
      <c r="F1353" s="1524">
        <v>0</v>
      </c>
      <c r="G1353" s="1537" t="s">
        <v>5314</v>
      </c>
      <c r="H1353" s="1521">
        <v>0</v>
      </c>
      <c r="I1353" s="1521">
        <v>0</v>
      </c>
      <c r="J1353" s="1538">
        <v>0</v>
      </c>
      <c r="K1353" s="1525"/>
      <c r="L1353" s="1519">
        <v>13121008500</v>
      </c>
      <c r="M1353" s="1520">
        <v>0</v>
      </c>
      <c r="N1353" s="1520">
        <v>0</v>
      </c>
      <c r="O1353" s="1521">
        <v>0</v>
      </c>
    </row>
    <row r="1354" spans="3:15" ht="13.5">
      <c r="C1354" s="1526" t="s">
        <v>5315</v>
      </c>
      <c r="D1354" s="1523">
        <v>0</v>
      </c>
      <c r="E1354" s="1523">
        <v>0</v>
      </c>
      <c r="F1354" s="1524">
        <v>0</v>
      </c>
      <c r="G1354" s="1537" t="s">
        <v>5315</v>
      </c>
      <c r="H1354" s="1521">
        <v>0</v>
      </c>
      <c r="I1354" s="1521">
        <v>0</v>
      </c>
      <c r="J1354" s="1538">
        <v>0</v>
      </c>
      <c r="K1354" s="1525"/>
      <c r="L1354" s="1519">
        <v>13121008601</v>
      </c>
      <c r="M1354" s="1520">
        <v>0</v>
      </c>
      <c r="N1354" s="1520">
        <v>0</v>
      </c>
      <c r="O1354" s="1521">
        <v>0</v>
      </c>
    </row>
    <row r="1355" spans="3:15" ht="13.5">
      <c r="C1355" s="1526" t="s">
        <v>5316</v>
      </c>
      <c r="D1355" s="1523">
        <v>0</v>
      </c>
      <c r="E1355" s="1523">
        <v>0</v>
      </c>
      <c r="F1355" s="1524">
        <v>0</v>
      </c>
      <c r="G1355" s="1537" t="s">
        <v>5316</v>
      </c>
      <c r="H1355" s="1521">
        <v>0</v>
      </c>
      <c r="I1355" s="1521" t="s">
        <v>4099</v>
      </c>
      <c r="J1355" s="1538">
        <v>0</v>
      </c>
      <c r="K1355" s="1525"/>
      <c r="L1355" s="1519">
        <v>13121008602</v>
      </c>
      <c r="M1355" s="1520">
        <v>0</v>
      </c>
      <c r="N1355" s="1520">
        <v>0</v>
      </c>
      <c r="O1355" s="1521">
        <v>0</v>
      </c>
    </row>
    <row r="1356" spans="3:15" ht="13.5">
      <c r="C1356" s="1526" t="s">
        <v>5317</v>
      </c>
      <c r="D1356" s="1523">
        <v>0</v>
      </c>
      <c r="E1356" s="1523">
        <v>0</v>
      </c>
      <c r="F1356" s="1524">
        <v>0</v>
      </c>
      <c r="G1356" s="1537" t="s">
        <v>5317</v>
      </c>
      <c r="H1356" s="1521">
        <v>0</v>
      </c>
      <c r="I1356" s="1521">
        <v>0</v>
      </c>
      <c r="J1356" s="1538">
        <v>0</v>
      </c>
      <c r="K1356" s="1525"/>
      <c r="L1356" s="1519">
        <v>13121008700</v>
      </c>
      <c r="M1356" s="1520">
        <v>0</v>
      </c>
      <c r="N1356" s="1520">
        <v>0</v>
      </c>
      <c r="O1356" s="1521">
        <v>0</v>
      </c>
    </row>
    <row r="1357" spans="3:15" ht="13.5">
      <c r="C1357" s="1526" t="s">
        <v>5318</v>
      </c>
      <c r="D1357" s="1523">
        <v>1</v>
      </c>
      <c r="E1357" s="1523">
        <v>1</v>
      </c>
      <c r="F1357" s="1524">
        <v>2</v>
      </c>
      <c r="G1357" s="1537" t="s">
        <v>5318</v>
      </c>
      <c r="H1357" s="1521">
        <v>1</v>
      </c>
      <c r="I1357" s="1521" t="s">
        <v>4099</v>
      </c>
      <c r="J1357" s="1538">
        <v>1</v>
      </c>
      <c r="K1357" s="1525"/>
      <c r="L1357" s="1519">
        <v>13121008800</v>
      </c>
      <c r="M1357" s="1520">
        <v>1</v>
      </c>
      <c r="N1357" s="1520">
        <v>1</v>
      </c>
      <c r="O1357" s="1521">
        <v>2</v>
      </c>
    </row>
    <row r="1358" spans="3:15" ht="13.5">
      <c r="C1358" s="1526" t="s">
        <v>5319</v>
      </c>
      <c r="D1358" s="1523">
        <v>1</v>
      </c>
      <c r="E1358" s="1523">
        <v>1</v>
      </c>
      <c r="F1358" s="1524">
        <v>2</v>
      </c>
      <c r="G1358" s="1537" t="s">
        <v>5319</v>
      </c>
      <c r="H1358" s="1521">
        <v>1</v>
      </c>
      <c r="I1358" s="1521">
        <v>1</v>
      </c>
      <c r="J1358" s="1538">
        <v>2</v>
      </c>
      <c r="K1358" s="1525"/>
      <c r="L1358" s="1519">
        <v>13121008902</v>
      </c>
      <c r="M1358" s="1520">
        <v>1</v>
      </c>
      <c r="N1358" s="1520">
        <v>1</v>
      </c>
      <c r="O1358" s="1521">
        <v>2</v>
      </c>
    </row>
    <row r="1359" spans="3:15" ht="13.5">
      <c r="C1359" s="1526" t="s">
        <v>5320</v>
      </c>
      <c r="D1359" s="1523">
        <v>1</v>
      </c>
      <c r="E1359" s="1523">
        <v>0</v>
      </c>
      <c r="F1359" s="1524">
        <v>1</v>
      </c>
      <c r="G1359" s="1537" t="s">
        <v>5320</v>
      </c>
      <c r="H1359" s="1521">
        <v>1</v>
      </c>
      <c r="I1359" s="1521" t="s">
        <v>4099</v>
      </c>
      <c r="J1359" s="1538">
        <v>1</v>
      </c>
      <c r="K1359" s="1525"/>
      <c r="L1359" s="1519">
        <v>13121008903</v>
      </c>
      <c r="M1359" s="1520">
        <v>1</v>
      </c>
      <c r="N1359" s="1520">
        <v>0</v>
      </c>
      <c r="O1359" s="1521">
        <v>1</v>
      </c>
    </row>
    <row r="1360" spans="3:15" ht="13.5">
      <c r="C1360" s="1526" t="s">
        <v>5321</v>
      </c>
      <c r="D1360" s="1523">
        <v>1</v>
      </c>
      <c r="E1360" s="1523">
        <v>1</v>
      </c>
      <c r="F1360" s="1524">
        <v>2</v>
      </c>
      <c r="G1360" s="1537" t="s">
        <v>5321</v>
      </c>
      <c r="H1360" s="1521">
        <v>1</v>
      </c>
      <c r="I1360" s="1521">
        <v>1</v>
      </c>
      <c r="J1360" s="1538">
        <v>2</v>
      </c>
      <c r="K1360" s="1525"/>
      <c r="L1360" s="1519">
        <v>13121008904</v>
      </c>
      <c r="M1360" s="1520">
        <v>1</v>
      </c>
      <c r="N1360" s="1520">
        <v>1</v>
      </c>
      <c r="O1360" s="1521">
        <v>2</v>
      </c>
    </row>
    <row r="1361" spans="3:15" ht="13.5">
      <c r="C1361" s="1526" t="s">
        <v>5322</v>
      </c>
      <c r="D1361" s="1523">
        <v>1</v>
      </c>
      <c r="E1361" s="1523">
        <v>1</v>
      </c>
      <c r="F1361" s="1524">
        <v>2</v>
      </c>
      <c r="G1361" s="1537" t="s">
        <v>5322</v>
      </c>
      <c r="H1361" s="1521">
        <v>1</v>
      </c>
      <c r="I1361" s="1521">
        <v>1</v>
      </c>
      <c r="J1361" s="1538">
        <v>2</v>
      </c>
      <c r="K1361" s="1525"/>
      <c r="L1361" s="1519">
        <v>13121009000</v>
      </c>
      <c r="M1361" s="1520">
        <v>1</v>
      </c>
      <c r="N1361" s="1520">
        <v>1</v>
      </c>
      <c r="O1361" s="1521">
        <v>2</v>
      </c>
    </row>
    <row r="1362" spans="3:15" ht="13.5">
      <c r="C1362" s="1526" t="s">
        <v>5323</v>
      </c>
      <c r="D1362" s="1523">
        <v>1</v>
      </c>
      <c r="E1362" s="1523">
        <v>1</v>
      </c>
      <c r="F1362" s="1524">
        <v>2</v>
      </c>
      <c r="G1362" s="1537" t="s">
        <v>5323</v>
      </c>
      <c r="H1362" s="1521">
        <v>1</v>
      </c>
      <c r="I1362" s="1521">
        <v>1</v>
      </c>
      <c r="J1362" s="1538">
        <v>2</v>
      </c>
      <c r="K1362" s="1525"/>
      <c r="L1362" s="1519">
        <v>13121009101</v>
      </c>
      <c r="M1362" s="1520">
        <v>1</v>
      </c>
      <c r="N1362" s="1520">
        <v>1</v>
      </c>
      <c r="O1362" s="1521">
        <v>2</v>
      </c>
    </row>
    <row r="1363" spans="3:15" ht="13.5">
      <c r="C1363" s="1526" t="s">
        <v>5324</v>
      </c>
      <c r="D1363" s="1523">
        <v>1</v>
      </c>
      <c r="E1363" s="1523">
        <v>1</v>
      </c>
      <c r="F1363" s="1524">
        <v>2</v>
      </c>
      <c r="G1363" s="1537" t="s">
        <v>5324</v>
      </c>
      <c r="H1363" s="1521">
        <v>1</v>
      </c>
      <c r="I1363" s="1521">
        <v>1</v>
      </c>
      <c r="J1363" s="1538">
        <v>2</v>
      </c>
      <c r="K1363" s="1525"/>
      <c r="L1363" s="1519">
        <v>13121009102</v>
      </c>
      <c r="M1363" s="1520">
        <v>1</v>
      </c>
      <c r="N1363" s="1520">
        <v>1</v>
      </c>
      <c r="O1363" s="1521">
        <v>2</v>
      </c>
    </row>
    <row r="1364" spans="3:15" ht="13.5">
      <c r="C1364" s="1526" t="s">
        <v>5325</v>
      </c>
      <c r="D1364" s="1523">
        <v>1</v>
      </c>
      <c r="E1364" s="1523">
        <v>0</v>
      </c>
      <c r="F1364" s="1524">
        <v>1</v>
      </c>
      <c r="G1364" s="1537" t="s">
        <v>5325</v>
      </c>
      <c r="H1364" s="1521">
        <v>1</v>
      </c>
      <c r="I1364" s="1521">
        <v>1</v>
      </c>
      <c r="J1364" s="1538">
        <v>2</v>
      </c>
      <c r="K1364" s="1525"/>
      <c r="L1364" s="1519">
        <v>13121009200</v>
      </c>
      <c r="M1364" s="1520">
        <v>1</v>
      </c>
      <c r="N1364" s="1520">
        <v>1</v>
      </c>
      <c r="O1364" s="1521">
        <v>2</v>
      </c>
    </row>
    <row r="1365" spans="3:15" ht="13.5">
      <c r="C1365" s="1526" t="s">
        <v>5326</v>
      </c>
      <c r="D1365" s="1523">
        <v>1</v>
      </c>
      <c r="E1365" s="1523">
        <v>1</v>
      </c>
      <c r="F1365" s="1524">
        <v>2</v>
      </c>
      <c r="G1365" s="1537" t="s">
        <v>5326</v>
      </c>
      <c r="H1365" s="1521">
        <v>1</v>
      </c>
      <c r="I1365" s="1521">
        <v>1</v>
      </c>
      <c r="J1365" s="1538">
        <v>2</v>
      </c>
      <c r="K1365" s="1525"/>
      <c r="L1365" s="1519">
        <v>13121009300</v>
      </c>
      <c r="M1365" s="1520">
        <v>1</v>
      </c>
      <c r="N1365" s="1520">
        <v>1</v>
      </c>
      <c r="O1365" s="1521">
        <v>2</v>
      </c>
    </row>
    <row r="1366" spans="3:15" ht="13.5">
      <c r="C1366" s="1526" t="s">
        <v>5327</v>
      </c>
      <c r="D1366" s="1523">
        <v>1</v>
      </c>
      <c r="E1366" s="1523">
        <v>1</v>
      </c>
      <c r="F1366" s="1524">
        <v>2</v>
      </c>
      <c r="G1366" s="1537" t="s">
        <v>5327</v>
      </c>
      <c r="H1366" s="1521">
        <v>1</v>
      </c>
      <c r="I1366" s="1521" t="s">
        <v>4099</v>
      </c>
      <c r="J1366" s="1538">
        <v>1</v>
      </c>
      <c r="K1366" s="1525"/>
      <c r="L1366" s="1519">
        <v>13121009402</v>
      </c>
      <c r="M1366" s="1520">
        <v>1</v>
      </c>
      <c r="N1366" s="1520">
        <v>1</v>
      </c>
      <c r="O1366" s="1521">
        <v>2</v>
      </c>
    </row>
    <row r="1367" spans="3:15" ht="13.5">
      <c r="C1367" s="1526" t="s">
        <v>5328</v>
      </c>
      <c r="D1367" s="1523">
        <v>1</v>
      </c>
      <c r="E1367" s="1523">
        <v>1</v>
      </c>
      <c r="F1367" s="1524">
        <v>2</v>
      </c>
      <c r="G1367" s="1537" t="s">
        <v>5328</v>
      </c>
      <c r="H1367" s="1521">
        <v>1</v>
      </c>
      <c r="I1367" s="1521">
        <v>1</v>
      </c>
      <c r="J1367" s="1538">
        <v>2</v>
      </c>
      <c r="K1367" s="1525"/>
      <c r="L1367" s="1519">
        <v>13121009403</v>
      </c>
      <c r="M1367" s="1520">
        <v>1</v>
      </c>
      <c r="N1367" s="1520">
        <v>1</v>
      </c>
      <c r="O1367" s="1521">
        <v>2</v>
      </c>
    </row>
    <row r="1368" spans="3:15" ht="13.5">
      <c r="C1368" s="1526" t="s">
        <v>5329</v>
      </c>
      <c r="D1368" s="1523">
        <v>1</v>
      </c>
      <c r="E1368" s="1523">
        <v>1</v>
      </c>
      <c r="F1368" s="1524">
        <v>2</v>
      </c>
      <c r="G1368" s="1537" t="s">
        <v>5329</v>
      </c>
      <c r="H1368" s="1521">
        <v>1</v>
      </c>
      <c r="I1368" s="1521">
        <v>1</v>
      </c>
      <c r="J1368" s="1538">
        <v>2</v>
      </c>
      <c r="K1368" s="1525"/>
      <c r="L1368" s="1519">
        <v>13121009404</v>
      </c>
      <c r="M1368" s="1520">
        <v>1</v>
      </c>
      <c r="N1368" s="1520">
        <v>1</v>
      </c>
      <c r="O1368" s="1521">
        <v>2</v>
      </c>
    </row>
    <row r="1369" spans="3:15" ht="13.5">
      <c r="C1369" s="1526" t="s">
        <v>5330</v>
      </c>
      <c r="D1369" s="1523">
        <v>1</v>
      </c>
      <c r="E1369" s="1523">
        <v>1</v>
      </c>
      <c r="F1369" s="1524">
        <v>2</v>
      </c>
      <c r="G1369" s="1537" t="s">
        <v>5330</v>
      </c>
      <c r="H1369" s="1521">
        <v>1</v>
      </c>
      <c r="I1369" s="1521">
        <v>1</v>
      </c>
      <c r="J1369" s="1538">
        <v>2</v>
      </c>
      <c r="K1369" s="1525"/>
      <c r="L1369" s="1519">
        <v>13121009501</v>
      </c>
      <c r="M1369" s="1520">
        <v>1</v>
      </c>
      <c r="N1369" s="1520">
        <v>1</v>
      </c>
      <c r="O1369" s="1521">
        <v>2</v>
      </c>
    </row>
    <row r="1370" spans="3:15" ht="13.5">
      <c r="C1370" s="1526" t="s">
        <v>5331</v>
      </c>
      <c r="D1370" s="1523">
        <v>1</v>
      </c>
      <c r="E1370" s="1523">
        <v>0</v>
      </c>
      <c r="F1370" s="1524">
        <v>1</v>
      </c>
      <c r="G1370" s="1537" t="s">
        <v>5331</v>
      </c>
      <c r="H1370" s="1521">
        <v>1</v>
      </c>
      <c r="I1370" s="1521" t="s">
        <v>4099</v>
      </c>
      <c r="J1370" s="1538">
        <v>1</v>
      </c>
      <c r="K1370" s="1525"/>
      <c r="L1370" s="1519">
        <v>13121009502</v>
      </c>
      <c r="M1370" s="1520">
        <v>1</v>
      </c>
      <c r="N1370" s="1520">
        <v>0</v>
      </c>
      <c r="O1370" s="1521">
        <v>1</v>
      </c>
    </row>
    <row r="1371" spans="3:15" ht="13.5">
      <c r="C1371" s="1526" t="s">
        <v>5332</v>
      </c>
      <c r="D1371" s="1523">
        <v>1</v>
      </c>
      <c r="E1371" s="1523">
        <v>1</v>
      </c>
      <c r="F1371" s="1524">
        <v>2</v>
      </c>
      <c r="G1371" s="1537" t="s">
        <v>5332</v>
      </c>
      <c r="H1371" s="1521">
        <v>1</v>
      </c>
      <c r="I1371" s="1521">
        <v>1</v>
      </c>
      <c r="J1371" s="1538">
        <v>2</v>
      </c>
      <c r="K1371" s="1525"/>
      <c r="L1371" s="1519">
        <v>13121009601</v>
      </c>
      <c r="M1371" s="1520">
        <v>1</v>
      </c>
      <c r="N1371" s="1520">
        <v>1</v>
      </c>
      <c r="O1371" s="1521">
        <v>2</v>
      </c>
    </row>
    <row r="1372" spans="3:15" ht="13.5">
      <c r="C1372" s="1526" t="s">
        <v>5333</v>
      </c>
      <c r="D1372" s="1523">
        <v>1</v>
      </c>
      <c r="E1372" s="1523">
        <v>1</v>
      </c>
      <c r="F1372" s="1524">
        <v>2</v>
      </c>
      <c r="G1372" s="1537" t="s">
        <v>5333</v>
      </c>
      <c r="H1372" s="1521">
        <v>1</v>
      </c>
      <c r="I1372" s="1521">
        <v>1</v>
      </c>
      <c r="J1372" s="1538">
        <v>2</v>
      </c>
      <c r="K1372" s="1525"/>
      <c r="L1372" s="1519">
        <v>13121009602</v>
      </c>
      <c r="M1372" s="1520">
        <v>1</v>
      </c>
      <c r="N1372" s="1520">
        <v>1</v>
      </c>
      <c r="O1372" s="1521">
        <v>2</v>
      </c>
    </row>
    <row r="1373" spans="3:15" ht="13.5">
      <c r="C1373" s="1526" t="s">
        <v>5334</v>
      </c>
      <c r="D1373" s="1523">
        <v>1</v>
      </c>
      <c r="E1373" s="1523">
        <v>1</v>
      </c>
      <c r="F1373" s="1524">
        <v>2</v>
      </c>
      <c r="G1373" s="1537" t="s">
        <v>5334</v>
      </c>
      <c r="H1373" s="1521">
        <v>1</v>
      </c>
      <c r="I1373" s="1521">
        <v>1</v>
      </c>
      <c r="J1373" s="1538">
        <v>2</v>
      </c>
      <c r="K1373" s="1525"/>
      <c r="L1373" s="1519">
        <v>13121009603</v>
      </c>
      <c r="M1373" s="1520">
        <v>1</v>
      </c>
      <c r="N1373" s="1520">
        <v>1</v>
      </c>
      <c r="O1373" s="1521">
        <v>2</v>
      </c>
    </row>
    <row r="1374" spans="3:15" ht="13.5">
      <c r="C1374" s="1526" t="s">
        <v>5335</v>
      </c>
      <c r="D1374" s="1523">
        <v>1</v>
      </c>
      <c r="E1374" s="1523">
        <v>1</v>
      </c>
      <c r="F1374" s="1524">
        <v>2</v>
      </c>
      <c r="G1374" s="1537" t="s">
        <v>5335</v>
      </c>
      <c r="H1374" s="1521">
        <v>1</v>
      </c>
      <c r="I1374" s="1521">
        <v>1</v>
      </c>
      <c r="J1374" s="1538">
        <v>2</v>
      </c>
      <c r="K1374" s="1525"/>
      <c r="L1374" s="1519">
        <v>13121009700</v>
      </c>
      <c r="M1374" s="1520">
        <v>1</v>
      </c>
      <c r="N1374" s="1520">
        <v>1</v>
      </c>
      <c r="O1374" s="1521">
        <v>2</v>
      </c>
    </row>
    <row r="1375" spans="3:15" ht="13.5">
      <c r="C1375" s="1526" t="s">
        <v>5336</v>
      </c>
      <c r="D1375" s="1523">
        <v>1</v>
      </c>
      <c r="E1375" s="1523">
        <v>1</v>
      </c>
      <c r="F1375" s="1524">
        <v>2</v>
      </c>
      <c r="G1375" s="1537" t="s">
        <v>5336</v>
      </c>
      <c r="H1375" s="1521">
        <v>1</v>
      </c>
      <c r="I1375" s="1521">
        <v>1</v>
      </c>
      <c r="J1375" s="1538">
        <v>2</v>
      </c>
      <c r="K1375" s="1525"/>
      <c r="L1375" s="1519">
        <v>13121009801</v>
      </c>
      <c r="M1375" s="1520">
        <v>1</v>
      </c>
      <c r="N1375" s="1520">
        <v>1</v>
      </c>
      <c r="O1375" s="1521">
        <v>2</v>
      </c>
    </row>
    <row r="1376" spans="3:15" ht="13.5">
      <c r="C1376" s="1526" t="s">
        <v>5337</v>
      </c>
      <c r="D1376" s="1523">
        <v>1</v>
      </c>
      <c r="E1376" s="1523">
        <v>1</v>
      </c>
      <c r="F1376" s="1524">
        <v>2</v>
      </c>
      <c r="G1376" s="1537" t="s">
        <v>5337</v>
      </c>
      <c r="H1376" s="1521">
        <v>1</v>
      </c>
      <c r="I1376" s="1521">
        <v>1</v>
      </c>
      <c r="J1376" s="1538">
        <v>2</v>
      </c>
      <c r="K1376" s="1525"/>
      <c r="L1376" s="1519">
        <v>13121009802</v>
      </c>
      <c r="M1376" s="1520">
        <v>1</v>
      </c>
      <c r="N1376" s="1520">
        <v>1</v>
      </c>
      <c r="O1376" s="1521">
        <v>2</v>
      </c>
    </row>
    <row r="1377" spans="3:15" ht="13.5">
      <c r="C1377" s="1526" t="s">
        <v>5338</v>
      </c>
      <c r="D1377" s="1523">
        <v>1</v>
      </c>
      <c r="E1377" s="1523">
        <v>1</v>
      </c>
      <c r="F1377" s="1524">
        <v>2</v>
      </c>
      <c r="G1377" s="1537" t="s">
        <v>5338</v>
      </c>
      <c r="H1377" s="1521">
        <v>1</v>
      </c>
      <c r="I1377" s="1521" t="s">
        <v>4099</v>
      </c>
      <c r="J1377" s="1538">
        <v>1</v>
      </c>
      <c r="K1377" s="1525"/>
      <c r="L1377" s="1519">
        <v>13121009900</v>
      </c>
      <c r="M1377" s="1520">
        <v>1</v>
      </c>
      <c r="N1377" s="1520">
        <v>1</v>
      </c>
      <c r="O1377" s="1521">
        <v>2</v>
      </c>
    </row>
    <row r="1378" spans="3:15" ht="13.5">
      <c r="C1378" s="1526" t="s">
        <v>5339</v>
      </c>
      <c r="D1378" s="1523">
        <v>1</v>
      </c>
      <c r="E1378" s="1523">
        <v>1</v>
      </c>
      <c r="F1378" s="1524">
        <v>2</v>
      </c>
      <c r="G1378" s="1537" t="s">
        <v>5339</v>
      </c>
      <c r="H1378" s="1521">
        <v>1</v>
      </c>
      <c r="I1378" s="1521">
        <v>1</v>
      </c>
      <c r="J1378" s="1538">
        <v>2</v>
      </c>
      <c r="K1378" s="1525"/>
      <c r="L1378" s="1519">
        <v>13121010001</v>
      </c>
      <c r="M1378" s="1520">
        <v>1</v>
      </c>
      <c r="N1378" s="1520">
        <v>1</v>
      </c>
      <c r="O1378" s="1521">
        <v>2</v>
      </c>
    </row>
    <row r="1379" spans="3:15" ht="13.5">
      <c r="C1379" s="1526" t="s">
        <v>5340</v>
      </c>
      <c r="D1379" s="1523">
        <v>1</v>
      </c>
      <c r="E1379" s="1523">
        <v>1</v>
      </c>
      <c r="F1379" s="1524">
        <v>2</v>
      </c>
      <c r="G1379" s="1537" t="s">
        <v>5340</v>
      </c>
      <c r="H1379" s="1521">
        <v>1</v>
      </c>
      <c r="I1379" s="1521">
        <v>1</v>
      </c>
      <c r="J1379" s="1538">
        <v>2</v>
      </c>
      <c r="K1379" s="1525"/>
      <c r="L1379" s="1519">
        <v>13121010002</v>
      </c>
      <c r="M1379" s="1520">
        <v>1</v>
      </c>
      <c r="N1379" s="1520">
        <v>1</v>
      </c>
      <c r="O1379" s="1521">
        <v>2</v>
      </c>
    </row>
    <row r="1380" spans="3:15" ht="13.5">
      <c r="C1380" s="1526" t="s">
        <v>5341</v>
      </c>
      <c r="D1380" s="1523">
        <v>1</v>
      </c>
      <c r="E1380" s="1523">
        <v>1</v>
      </c>
      <c r="F1380" s="1524">
        <v>2</v>
      </c>
      <c r="G1380" s="1537" t="s">
        <v>5341</v>
      </c>
      <c r="H1380" s="1521">
        <v>1</v>
      </c>
      <c r="I1380" s="1521">
        <v>1</v>
      </c>
      <c r="J1380" s="1538">
        <v>2</v>
      </c>
      <c r="K1380" s="1525"/>
      <c r="L1380" s="1519">
        <v>13121010106</v>
      </c>
      <c r="M1380" s="1520">
        <v>1</v>
      </c>
      <c r="N1380" s="1520">
        <v>1</v>
      </c>
      <c r="O1380" s="1521">
        <v>2</v>
      </c>
    </row>
    <row r="1381" spans="3:15" ht="13.5">
      <c r="C1381" s="1526" t="s">
        <v>5342</v>
      </c>
      <c r="D1381" s="1523">
        <v>1</v>
      </c>
      <c r="E1381" s="1523">
        <v>1</v>
      </c>
      <c r="F1381" s="1524">
        <v>2</v>
      </c>
      <c r="G1381" s="1537" t="s">
        <v>5342</v>
      </c>
      <c r="H1381" s="1521">
        <v>1</v>
      </c>
      <c r="I1381" s="1521">
        <v>1</v>
      </c>
      <c r="J1381" s="1538">
        <v>2</v>
      </c>
      <c r="K1381" s="1525"/>
      <c r="L1381" s="1519">
        <v>13121010107</v>
      </c>
      <c r="M1381" s="1520">
        <v>1</v>
      </c>
      <c r="N1381" s="1520">
        <v>1</v>
      </c>
      <c r="O1381" s="1521">
        <v>2</v>
      </c>
    </row>
    <row r="1382" spans="3:15" ht="13.5">
      <c r="C1382" s="1526" t="s">
        <v>5343</v>
      </c>
      <c r="D1382" s="1523">
        <v>1</v>
      </c>
      <c r="E1382" s="1523">
        <v>1</v>
      </c>
      <c r="F1382" s="1524">
        <v>2</v>
      </c>
      <c r="G1382" s="1537" t="s">
        <v>5343</v>
      </c>
      <c r="H1382" s="1521">
        <v>1</v>
      </c>
      <c r="I1382" s="1521">
        <v>1</v>
      </c>
      <c r="J1382" s="1538">
        <v>2</v>
      </c>
      <c r="K1382" s="1525"/>
      <c r="L1382" s="1519">
        <v>13121010108</v>
      </c>
      <c r="M1382" s="1520">
        <v>1</v>
      </c>
      <c r="N1382" s="1520">
        <v>1</v>
      </c>
      <c r="O1382" s="1521">
        <v>2</v>
      </c>
    </row>
    <row r="1383" spans="3:15" ht="13.5">
      <c r="C1383" s="1526" t="s">
        <v>5344</v>
      </c>
      <c r="D1383" s="1523">
        <v>1</v>
      </c>
      <c r="E1383" s="1523">
        <v>1</v>
      </c>
      <c r="F1383" s="1524">
        <v>2</v>
      </c>
      <c r="G1383" s="1537" t="s">
        <v>5344</v>
      </c>
      <c r="H1383" s="1521">
        <v>1</v>
      </c>
      <c r="I1383" s="1521">
        <v>1</v>
      </c>
      <c r="J1383" s="1538">
        <v>2</v>
      </c>
      <c r="K1383" s="1525"/>
      <c r="L1383" s="1519">
        <v>13121010110</v>
      </c>
      <c r="M1383" s="1520">
        <v>1</v>
      </c>
      <c r="N1383" s="1520">
        <v>1</v>
      </c>
      <c r="O1383" s="1521">
        <v>2</v>
      </c>
    </row>
    <row r="1384" spans="3:15" ht="13.5">
      <c r="C1384" s="1526" t="s">
        <v>5345</v>
      </c>
      <c r="D1384" s="1523">
        <v>1</v>
      </c>
      <c r="E1384" s="1523">
        <v>0</v>
      </c>
      <c r="F1384" s="1524">
        <v>1</v>
      </c>
      <c r="G1384" s="1537" t="s">
        <v>5345</v>
      </c>
      <c r="H1384" s="1521">
        <v>1</v>
      </c>
      <c r="I1384" s="1521">
        <v>0</v>
      </c>
      <c r="J1384" s="1538">
        <v>1</v>
      </c>
      <c r="K1384" s="1525"/>
      <c r="L1384" s="1519">
        <v>13121010113</v>
      </c>
      <c r="M1384" s="1520">
        <v>1</v>
      </c>
      <c r="N1384" s="1520">
        <v>0</v>
      </c>
      <c r="O1384" s="1521">
        <v>1</v>
      </c>
    </row>
    <row r="1385" spans="3:15" ht="13.5">
      <c r="C1385" s="1526" t="s">
        <v>5346</v>
      </c>
      <c r="D1385" s="1523">
        <v>1</v>
      </c>
      <c r="E1385" s="1523">
        <v>1</v>
      </c>
      <c r="F1385" s="1524">
        <v>2</v>
      </c>
      <c r="G1385" s="1537" t="s">
        <v>5346</v>
      </c>
      <c r="H1385" s="1521">
        <v>1</v>
      </c>
      <c r="I1385" s="1521">
        <v>1</v>
      </c>
      <c r="J1385" s="1538">
        <v>2</v>
      </c>
      <c r="K1385" s="1525"/>
      <c r="L1385" s="1519">
        <v>13121010114</v>
      </c>
      <c r="M1385" s="1520">
        <v>1</v>
      </c>
      <c r="N1385" s="1520">
        <v>1</v>
      </c>
      <c r="O1385" s="1521">
        <v>2</v>
      </c>
    </row>
    <row r="1386" spans="3:15" ht="13.5">
      <c r="C1386" s="1526" t="s">
        <v>5347</v>
      </c>
      <c r="D1386" s="1523">
        <v>1</v>
      </c>
      <c r="E1386" s="1523">
        <v>1</v>
      </c>
      <c r="F1386" s="1524">
        <v>2</v>
      </c>
      <c r="G1386" s="1537" t="s">
        <v>5347</v>
      </c>
      <c r="H1386" s="1521">
        <v>1</v>
      </c>
      <c r="I1386" s="1521">
        <v>1</v>
      </c>
      <c r="J1386" s="1538">
        <v>2</v>
      </c>
      <c r="K1386" s="1525"/>
      <c r="L1386" s="1519">
        <v>13121010115</v>
      </c>
      <c r="M1386" s="1520">
        <v>1</v>
      </c>
      <c r="N1386" s="1520">
        <v>1</v>
      </c>
      <c r="O1386" s="1521">
        <v>2</v>
      </c>
    </row>
    <row r="1387" spans="3:15" ht="13.5">
      <c r="C1387" s="1526" t="s">
        <v>5348</v>
      </c>
      <c r="D1387" s="1523">
        <v>1</v>
      </c>
      <c r="E1387" s="1523">
        <v>0</v>
      </c>
      <c r="F1387" s="1524">
        <v>1</v>
      </c>
      <c r="G1387" s="1537" t="s">
        <v>5348</v>
      </c>
      <c r="H1387" s="1521">
        <v>1</v>
      </c>
      <c r="I1387" s="1521" t="s">
        <v>4099</v>
      </c>
      <c r="J1387" s="1538">
        <v>1</v>
      </c>
      <c r="K1387" s="1525"/>
      <c r="L1387" s="1519">
        <v>13121010117</v>
      </c>
      <c r="M1387" s="1520">
        <v>1</v>
      </c>
      <c r="N1387" s="1520">
        <v>0</v>
      </c>
      <c r="O1387" s="1521">
        <v>1</v>
      </c>
    </row>
    <row r="1388" spans="3:15" ht="13.5">
      <c r="C1388" s="1526" t="s">
        <v>5349</v>
      </c>
      <c r="D1388" s="1523">
        <v>0</v>
      </c>
      <c r="E1388" s="1523">
        <v>0</v>
      </c>
      <c r="F1388" s="1524">
        <v>0</v>
      </c>
      <c r="G1388" s="1537" t="s">
        <v>5349</v>
      </c>
      <c r="H1388" s="1521">
        <v>1</v>
      </c>
      <c r="I1388" s="1521" t="s">
        <v>4099</v>
      </c>
      <c r="J1388" s="1538">
        <v>1</v>
      </c>
      <c r="K1388" s="1525"/>
      <c r="L1388" s="1519">
        <v>13121010118</v>
      </c>
      <c r="M1388" s="1520">
        <v>1</v>
      </c>
      <c r="N1388" s="1520">
        <v>0</v>
      </c>
      <c r="O1388" s="1521">
        <v>1</v>
      </c>
    </row>
    <row r="1389" spans="3:15" ht="13.5">
      <c r="C1389" s="1526" t="s">
        <v>5350</v>
      </c>
      <c r="D1389" s="1523">
        <v>0</v>
      </c>
      <c r="E1389" s="1523">
        <v>0</v>
      </c>
      <c r="F1389" s="1524">
        <v>0</v>
      </c>
      <c r="G1389" s="1537" t="s">
        <v>5350</v>
      </c>
      <c r="H1389" s="1521">
        <v>0</v>
      </c>
      <c r="I1389" s="1521">
        <v>0</v>
      </c>
      <c r="J1389" s="1538">
        <v>0</v>
      </c>
      <c r="K1389" s="1525"/>
      <c r="L1389" s="1519">
        <v>13121010119</v>
      </c>
      <c r="M1389" s="1520">
        <v>0</v>
      </c>
      <c r="N1389" s="1520">
        <v>0</v>
      </c>
      <c r="O1389" s="1521">
        <v>0</v>
      </c>
    </row>
    <row r="1390" spans="3:15" ht="13.5">
      <c r="C1390" s="1526" t="s">
        <v>5351</v>
      </c>
      <c r="D1390" s="1523">
        <v>1</v>
      </c>
      <c r="E1390" s="1523">
        <v>1</v>
      </c>
      <c r="F1390" s="1524">
        <v>2</v>
      </c>
      <c r="G1390" s="1537" t="s">
        <v>5351</v>
      </c>
      <c r="H1390" s="1521">
        <v>1</v>
      </c>
      <c r="I1390" s="1521" t="s">
        <v>4099</v>
      </c>
      <c r="J1390" s="1538">
        <v>1</v>
      </c>
      <c r="K1390" s="1525"/>
      <c r="L1390" s="1519">
        <v>13121010120</v>
      </c>
      <c r="M1390" s="1520">
        <v>1</v>
      </c>
      <c r="N1390" s="1520">
        <v>1</v>
      </c>
      <c r="O1390" s="1521">
        <v>2</v>
      </c>
    </row>
    <row r="1391" spans="3:15" ht="13.5">
      <c r="C1391" s="1526" t="s">
        <v>5352</v>
      </c>
      <c r="D1391" s="1523">
        <v>1</v>
      </c>
      <c r="E1391" s="1523">
        <v>1</v>
      </c>
      <c r="F1391" s="1524">
        <v>2</v>
      </c>
      <c r="G1391" s="1537" t="s">
        <v>5352</v>
      </c>
      <c r="H1391" s="1521">
        <v>1</v>
      </c>
      <c r="I1391" s="1521">
        <v>1</v>
      </c>
      <c r="J1391" s="1538">
        <v>2</v>
      </c>
      <c r="K1391" s="1525"/>
      <c r="L1391" s="1519">
        <v>13121010121</v>
      </c>
      <c r="M1391" s="1520">
        <v>1</v>
      </c>
      <c r="N1391" s="1520">
        <v>1</v>
      </c>
      <c r="O1391" s="1521">
        <v>2</v>
      </c>
    </row>
    <row r="1392" spans="3:15" ht="13.5">
      <c r="C1392" s="1526" t="s">
        <v>5353</v>
      </c>
      <c r="D1392" s="1523">
        <v>1</v>
      </c>
      <c r="E1392" s="1523">
        <v>1</v>
      </c>
      <c r="F1392" s="1524">
        <v>2</v>
      </c>
      <c r="G1392" s="1537" t="s">
        <v>5353</v>
      </c>
      <c r="H1392" s="1521">
        <v>1</v>
      </c>
      <c r="I1392" s="1521">
        <v>1</v>
      </c>
      <c r="J1392" s="1538">
        <v>2</v>
      </c>
      <c r="K1392" s="1525"/>
      <c r="L1392" s="1519">
        <v>13121010122</v>
      </c>
      <c r="M1392" s="1520">
        <v>1</v>
      </c>
      <c r="N1392" s="1520">
        <v>1</v>
      </c>
      <c r="O1392" s="1521">
        <v>2</v>
      </c>
    </row>
    <row r="1393" spans="3:15" ht="13.5">
      <c r="C1393" s="1526" t="s">
        <v>5354</v>
      </c>
      <c r="D1393" s="1523">
        <v>1</v>
      </c>
      <c r="E1393" s="1523">
        <v>0</v>
      </c>
      <c r="F1393" s="1524">
        <v>1</v>
      </c>
      <c r="G1393" s="1537" t="s">
        <v>5354</v>
      </c>
      <c r="H1393" s="1521">
        <v>1</v>
      </c>
      <c r="I1393" s="1521">
        <v>1</v>
      </c>
      <c r="J1393" s="1538">
        <v>2</v>
      </c>
      <c r="K1393" s="1525"/>
      <c r="L1393" s="1519">
        <v>13121010123</v>
      </c>
      <c r="M1393" s="1520">
        <v>1</v>
      </c>
      <c r="N1393" s="1520">
        <v>1</v>
      </c>
      <c r="O1393" s="1521">
        <v>2</v>
      </c>
    </row>
    <row r="1394" spans="3:15" ht="13.5">
      <c r="C1394" s="1526" t="s">
        <v>5355</v>
      </c>
      <c r="D1394" s="1523">
        <v>1</v>
      </c>
      <c r="E1394" s="1523">
        <v>1</v>
      </c>
      <c r="F1394" s="1524">
        <v>2</v>
      </c>
      <c r="G1394" s="1537" t="s">
        <v>5355</v>
      </c>
      <c r="H1394" s="1521">
        <v>1</v>
      </c>
      <c r="I1394" s="1521">
        <v>1</v>
      </c>
      <c r="J1394" s="1538">
        <v>2</v>
      </c>
      <c r="K1394" s="1525"/>
      <c r="L1394" s="1519">
        <v>13121010204</v>
      </c>
      <c r="M1394" s="1520">
        <v>1</v>
      </c>
      <c r="N1394" s="1520">
        <v>1</v>
      </c>
      <c r="O1394" s="1521">
        <v>2</v>
      </c>
    </row>
    <row r="1395" spans="3:15" ht="13.5">
      <c r="C1395" s="1526" t="s">
        <v>5356</v>
      </c>
      <c r="D1395" s="1523">
        <v>1</v>
      </c>
      <c r="E1395" s="1523">
        <v>1</v>
      </c>
      <c r="F1395" s="1524">
        <v>2</v>
      </c>
      <c r="G1395" s="1537" t="s">
        <v>5356</v>
      </c>
      <c r="H1395" s="1521">
        <v>1</v>
      </c>
      <c r="I1395" s="1521">
        <v>1</v>
      </c>
      <c r="J1395" s="1538">
        <v>2</v>
      </c>
      <c r="K1395" s="1525"/>
      <c r="L1395" s="1519">
        <v>13121010205</v>
      </c>
      <c r="M1395" s="1520">
        <v>1</v>
      </c>
      <c r="N1395" s="1520">
        <v>1</v>
      </c>
      <c r="O1395" s="1521">
        <v>2</v>
      </c>
    </row>
    <row r="1396" spans="3:15" ht="13.5">
      <c r="C1396" s="1526" t="s">
        <v>5357</v>
      </c>
      <c r="D1396" s="1523">
        <v>1</v>
      </c>
      <c r="E1396" s="1523">
        <v>1</v>
      </c>
      <c r="F1396" s="1524">
        <v>2</v>
      </c>
      <c r="G1396" s="1537" t="s">
        <v>5357</v>
      </c>
      <c r="H1396" s="1521">
        <v>1</v>
      </c>
      <c r="I1396" s="1521">
        <v>1</v>
      </c>
      <c r="J1396" s="1538">
        <v>2</v>
      </c>
      <c r="K1396" s="1525"/>
      <c r="L1396" s="1519">
        <v>13121010206</v>
      </c>
      <c r="M1396" s="1520">
        <v>1</v>
      </c>
      <c r="N1396" s="1520">
        <v>1</v>
      </c>
      <c r="O1396" s="1521">
        <v>2</v>
      </c>
    </row>
    <row r="1397" spans="3:15" ht="13.5">
      <c r="C1397" s="1526" t="s">
        <v>5358</v>
      </c>
      <c r="D1397" s="1523">
        <v>1</v>
      </c>
      <c r="E1397" s="1523">
        <v>0</v>
      </c>
      <c r="F1397" s="1524">
        <v>1</v>
      </c>
      <c r="G1397" s="1537" t="s">
        <v>5358</v>
      </c>
      <c r="H1397" s="1521">
        <v>1</v>
      </c>
      <c r="I1397" s="1521">
        <v>1</v>
      </c>
      <c r="J1397" s="1538">
        <v>2</v>
      </c>
      <c r="K1397" s="1525"/>
      <c r="L1397" s="1519">
        <v>13121010208</v>
      </c>
      <c r="M1397" s="1520">
        <v>1</v>
      </c>
      <c r="N1397" s="1520">
        <v>1</v>
      </c>
      <c r="O1397" s="1521">
        <v>2</v>
      </c>
    </row>
    <row r="1398" spans="3:15" ht="13.5">
      <c r="C1398" s="1526" t="s">
        <v>5359</v>
      </c>
      <c r="D1398" s="1523">
        <v>1</v>
      </c>
      <c r="E1398" s="1523">
        <v>1</v>
      </c>
      <c r="F1398" s="1524">
        <v>2</v>
      </c>
      <c r="G1398" s="1537" t="s">
        <v>5359</v>
      </c>
      <c r="H1398" s="1521">
        <v>1</v>
      </c>
      <c r="I1398" s="1521" t="s">
        <v>4099</v>
      </c>
      <c r="J1398" s="1538">
        <v>1</v>
      </c>
      <c r="K1398" s="1525"/>
      <c r="L1398" s="1519">
        <v>13121010209</v>
      </c>
      <c r="M1398" s="1520">
        <v>1</v>
      </c>
      <c r="N1398" s="1520">
        <v>1</v>
      </c>
      <c r="O1398" s="1521">
        <v>2</v>
      </c>
    </row>
    <row r="1399" spans="3:15" ht="13.5">
      <c r="C1399" s="1526" t="s">
        <v>5360</v>
      </c>
      <c r="D1399" s="1523">
        <v>1</v>
      </c>
      <c r="E1399" s="1523">
        <v>1</v>
      </c>
      <c r="F1399" s="1524">
        <v>2</v>
      </c>
      <c r="G1399" s="1537" t="s">
        <v>5360</v>
      </c>
      <c r="H1399" s="1521">
        <v>1</v>
      </c>
      <c r="I1399" s="1521">
        <v>1</v>
      </c>
      <c r="J1399" s="1538">
        <v>2</v>
      </c>
      <c r="K1399" s="1525"/>
      <c r="L1399" s="1519">
        <v>13121010210</v>
      </c>
      <c r="M1399" s="1520">
        <v>1</v>
      </c>
      <c r="N1399" s="1520">
        <v>1</v>
      </c>
      <c r="O1399" s="1521">
        <v>2</v>
      </c>
    </row>
    <row r="1400" spans="3:15" ht="13.5">
      <c r="C1400" s="1526" t="s">
        <v>5361</v>
      </c>
      <c r="D1400" s="1523">
        <v>1</v>
      </c>
      <c r="E1400" s="1523">
        <v>1</v>
      </c>
      <c r="F1400" s="1524">
        <v>2</v>
      </c>
      <c r="G1400" s="1537" t="s">
        <v>5361</v>
      </c>
      <c r="H1400" s="1521">
        <v>1</v>
      </c>
      <c r="I1400" s="1521">
        <v>1</v>
      </c>
      <c r="J1400" s="1538">
        <v>2</v>
      </c>
      <c r="K1400" s="1525"/>
      <c r="L1400" s="1519">
        <v>13121010211</v>
      </c>
      <c r="M1400" s="1520">
        <v>1</v>
      </c>
      <c r="N1400" s="1520">
        <v>1</v>
      </c>
      <c r="O1400" s="1521">
        <v>2</v>
      </c>
    </row>
    <row r="1401" spans="3:15" ht="13.5">
      <c r="C1401" s="1526" t="s">
        <v>5362</v>
      </c>
      <c r="D1401" s="1523">
        <v>1</v>
      </c>
      <c r="E1401" s="1523">
        <v>0</v>
      </c>
      <c r="F1401" s="1524">
        <v>1</v>
      </c>
      <c r="G1401" s="1537" t="s">
        <v>5362</v>
      </c>
      <c r="H1401" s="1521">
        <v>1</v>
      </c>
      <c r="I1401" s="1521">
        <v>0</v>
      </c>
      <c r="J1401" s="1538">
        <v>1</v>
      </c>
      <c r="K1401" s="1525"/>
      <c r="L1401" s="1519">
        <v>13121010212</v>
      </c>
      <c r="M1401" s="1520">
        <v>1</v>
      </c>
      <c r="N1401" s="1520">
        <v>0</v>
      </c>
      <c r="O1401" s="1521">
        <v>1</v>
      </c>
    </row>
    <row r="1402" spans="3:15" ht="13.5">
      <c r="C1402" s="1526" t="s">
        <v>5363</v>
      </c>
      <c r="D1402" s="1523">
        <v>1</v>
      </c>
      <c r="E1402" s="1523">
        <v>0</v>
      </c>
      <c r="F1402" s="1524">
        <v>1</v>
      </c>
      <c r="G1402" s="1537" t="s">
        <v>5363</v>
      </c>
      <c r="H1402" s="1521">
        <v>1</v>
      </c>
      <c r="I1402" s="1521">
        <v>1</v>
      </c>
      <c r="J1402" s="1538">
        <v>2</v>
      </c>
      <c r="K1402" s="1525"/>
      <c r="L1402" s="1519">
        <v>13121010301</v>
      </c>
      <c r="M1402" s="1520">
        <v>1</v>
      </c>
      <c r="N1402" s="1520">
        <v>1</v>
      </c>
      <c r="O1402" s="1521">
        <v>2</v>
      </c>
    </row>
    <row r="1403" spans="3:15" ht="13.5">
      <c r="C1403" s="1526" t="s">
        <v>5364</v>
      </c>
      <c r="D1403" s="1523">
        <v>1</v>
      </c>
      <c r="E1403" s="1523">
        <v>0</v>
      </c>
      <c r="F1403" s="1524">
        <v>1</v>
      </c>
      <c r="G1403" s="1537" t="s">
        <v>5364</v>
      </c>
      <c r="H1403" s="1521">
        <v>1</v>
      </c>
      <c r="I1403" s="1521">
        <v>1</v>
      </c>
      <c r="J1403" s="1538">
        <v>2</v>
      </c>
      <c r="K1403" s="1525"/>
      <c r="L1403" s="1519">
        <v>13121010303</v>
      </c>
      <c r="M1403" s="1520">
        <v>1</v>
      </c>
      <c r="N1403" s="1520">
        <v>1</v>
      </c>
      <c r="O1403" s="1521">
        <v>2</v>
      </c>
    </row>
    <row r="1404" spans="3:15" ht="13.5">
      <c r="C1404" s="1526" t="s">
        <v>5365</v>
      </c>
      <c r="D1404" s="1523">
        <v>1</v>
      </c>
      <c r="E1404" s="1523">
        <v>1</v>
      </c>
      <c r="F1404" s="1524">
        <v>2</v>
      </c>
      <c r="G1404" s="1537" t="s">
        <v>5365</v>
      </c>
      <c r="H1404" s="1521">
        <v>1</v>
      </c>
      <c r="I1404" s="1521">
        <v>1</v>
      </c>
      <c r="J1404" s="1538">
        <v>2</v>
      </c>
      <c r="K1404" s="1525"/>
      <c r="L1404" s="1519">
        <v>13121010304</v>
      </c>
      <c r="M1404" s="1520">
        <v>1</v>
      </c>
      <c r="N1404" s="1520">
        <v>1</v>
      </c>
      <c r="O1404" s="1521">
        <v>2</v>
      </c>
    </row>
    <row r="1405" spans="3:15" ht="13.5">
      <c r="C1405" s="1526" t="s">
        <v>5366</v>
      </c>
      <c r="D1405" s="1523">
        <v>0</v>
      </c>
      <c r="E1405" s="1523">
        <v>0</v>
      </c>
      <c r="F1405" s="1524">
        <v>0</v>
      </c>
      <c r="G1405" s="1537" t="s">
        <v>5366</v>
      </c>
      <c r="H1405" s="1521">
        <v>0</v>
      </c>
      <c r="I1405" s="1521">
        <v>0</v>
      </c>
      <c r="J1405" s="1538">
        <v>0</v>
      </c>
      <c r="K1405" s="1525"/>
      <c r="L1405" s="1519">
        <v>13121010400</v>
      </c>
      <c r="M1405" s="1520">
        <v>0</v>
      </c>
      <c r="N1405" s="1520">
        <v>0</v>
      </c>
      <c r="O1405" s="1521">
        <v>0</v>
      </c>
    </row>
    <row r="1406" spans="3:15" ht="13.5">
      <c r="C1406" s="1526" t="s">
        <v>5367</v>
      </c>
      <c r="D1406" s="1523">
        <v>0</v>
      </c>
      <c r="E1406" s="1523">
        <v>0</v>
      </c>
      <c r="F1406" s="1524">
        <v>0</v>
      </c>
      <c r="G1406" s="1537" t="s">
        <v>5367</v>
      </c>
      <c r="H1406" s="1521">
        <v>0</v>
      </c>
      <c r="I1406" s="1521">
        <v>1</v>
      </c>
      <c r="J1406" s="1538">
        <v>1</v>
      </c>
      <c r="K1406" s="1525"/>
      <c r="L1406" s="1519">
        <v>13121010507</v>
      </c>
      <c r="M1406" s="1520">
        <v>0</v>
      </c>
      <c r="N1406" s="1520">
        <v>1</v>
      </c>
      <c r="O1406" s="1521">
        <v>1</v>
      </c>
    </row>
    <row r="1407" spans="3:15" ht="13.5">
      <c r="C1407" s="1526" t="s">
        <v>5368</v>
      </c>
      <c r="D1407" s="1523">
        <v>0</v>
      </c>
      <c r="E1407" s="1523">
        <v>0</v>
      </c>
      <c r="F1407" s="1524">
        <v>0</v>
      </c>
      <c r="G1407" s="1537" t="s">
        <v>5368</v>
      </c>
      <c r="H1407" s="1521">
        <v>0</v>
      </c>
      <c r="I1407" s="1521">
        <v>0</v>
      </c>
      <c r="J1407" s="1538">
        <v>0</v>
      </c>
      <c r="K1407" s="1525"/>
      <c r="L1407" s="1519">
        <v>13121010508</v>
      </c>
      <c r="M1407" s="1520">
        <v>0</v>
      </c>
      <c r="N1407" s="1520">
        <v>0</v>
      </c>
      <c r="O1407" s="1521">
        <v>0</v>
      </c>
    </row>
    <row r="1408" spans="3:15" ht="13.5">
      <c r="C1408" s="1526" t="s">
        <v>5369</v>
      </c>
      <c r="D1408" s="1523">
        <v>0</v>
      </c>
      <c r="E1408" s="1523">
        <v>0</v>
      </c>
      <c r="F1408" s="1524">
        <v>0</v>
      </c>
      <c r="G1408" s="1537" t="s">
        <v>5369</v>
      </c>
      <c r="H1408" s="1521">
        <v>0</v>
      </c>
      <c r="I1408" s="1521">
        <v>1</v>
      </c>
      <c r="J1408" s="1538">
        <v>1</v>
      </c>
      <c r="K1408" s="1525"/>
      <c r="L1408" s="1519">
        <v>13121010510</v>
      </c>
      <c r="M1408" s="1520">
        <v>0</v>
      </c>
      <c r="N1408" s="1520">
        <v>1</v>
      </c>
      <c r="O1408" s="1521">
        <v>1</v>
      </c>
    </row>
    <row r="1409" spans="3:15" ht="13.5">
      <c r="C1409" s="1526" t="s">
        <v>5370</v>
      </c>
      <c r="D1409" s="1523">
        <v>0</v>
      </c>
      <c r="E1409" s="1523">
        <v>0</v>
      </c>
      <c r="F1409" s="1524">
        <v>0</v>
      </c>
      <c r="G1409" s="1537" t="s">
        <v>5370</v>
      </c>
      <c r="H1409" s="1521">
        <v>0</v>
      </c>
      <c r="I1409" s="1521">
        <v>1</v>
      </c>
      <c r="J1409" s="1538">
        <v>1</v>
      </c>
      <c r="K1409" s="1525"/>
      <c r="L1409" s="1519">
        <v>13121010511</v>
      </c>
      <c r="M1409" s="1520">
        <v>0</v>
      </c>
      <c r="N1409" s="1520">
        <v>1</v>
      </c>
      <c r="O1409" s="1521">
        <v>1</v>
      </c>
    </row>
    <row r="1410" spans="3:15" ht="13.5">
      <c r="C1410" s="1526" t="s">
        <v>5371</v>
      </c>
      <c r="D1410" s="1523">
        <v>0</v>
      </c>
      <c r="E1410" s="1523">
        <v>0</v>
      </c>
      <c r="F1410" s="1524">
        <v>0</v>
      </c>
      <c r="G1410" s="1537" t="s">
        <v>5371</v>
      </c>
      <c r="H1410" s="1521">
        <v>0</v>
      </c>
      <c r="I1410" s="1521" t="s">
        <v>4099</v>
      </c>
      <c r="J1410" s="1538">
        <v>0</v>
      </c>
      <c r="K1410" s="1525"/>
      <c r="L1410" s="1519">
        <v>13121010512</v>
      </c>
      <c r="M1410" s="1520">
        <v>0</v>
      </c>
      <c r="N1410" s="1520">
        <v>0</v>
      </c>
      <c r="O1410" s="1521">
        <v>0</v>
      </c>
    </row>
    <row r="1411" spans="3:15" ht="13.5">
      <c r="C1411" s="1526" t="s">
        <v>5372</v>
      </c>
      <c r="D1411" s="1523">
        <v>0</v>
      </c>
      <c r="E1411" s="1523">
        <v>0</v>
      </c>
      <c r="F1411" s="1524">
        <v>0</v>
      </c>
      <c r="G1411" s="1537" t="s">
        <v>5372</v>
      </c>
      <c r="H1411" s="1521">
        <v>0</v>
      </c>
      <c r="I1411" s="1521">
        <v>0</v>
      </c>
      <c r="J1411" s="1538">
        <v>0</v>
      </c>
      <c r="K1411" s="1525"/>
      <c r="L1411" s="1519">
        <v>13121010513</v>
      </c>
      <c r="M1411" s="1520">
        <v>0</v>
      </c>
      <c r="N1411" s="1520">
        <v>0</v>
      </c>
      <c r="O1411" s="1521">
        <v>0</v>
      </c>
    </row>
    <row r="1412" spans="3:15" ht="13.5">
      <c r="C1412" s="1526" t="s">
        <v>5373</v>
      </c>
      <c r="D1412" s="1523">
        <v>1</v>
      </c>
      <c r="E1412" s="1523">
        <v>1</v>
      </c>
      <c r="F1412" s="1524">
        <v>2</v>
      </c>
      <c r="G1412" s="1537" t="s">
        <v>5373</v>
      </c>
      <c r="H1412" s="1521">
        <v>1</v>
      </c>
      <c r="I1412" s="1521">
        <v>1</v>
      </c>
      <c r="J1412" s="1538">
        <v>2</v>
      </c>
      <c r="K1412" s="1525"/>
      <c r="L1412" s="1519">
        <v>13121010514</v>
      </c>
      <c r="M1412" s="1520">
        <v>1</v>
      </c>
      <c r="N1412" s="1520">
        <v>1</v>
      </c>
      <c r="O1412" s="1521">
        <v>2</v>
      </c>
    </row>
    <row r="1413" spans="3:15" ht="13.5">
      <c r="C1413" s="1526" t="s">
        <v>5374</v>
      </c>
      <c r="D1413" s="1523">
        <v>0</v>
      </c>
      <c r="E1413" s="1523">
        <v>0</v>
      </c>
      <c r="F1413" s="1524">
        <v>0</v>
      </c>
      <c r="G1413" s="1537" t="s">
        <v>5374</v>
      </c>
      <c r="H1413" s="1521">
        <v>1</v>
      </c>
      <c r="I1413" s="1521">
        <v>0</v>
      </c>
      <c r="J1413" s="1538">
        <v>1</v>
      </c>
      <c r="K1413" s="1525"/>
      <c r="L1413" s="1519">
        <v>13121010515</v>
      </c>
      <c r="M1413" s="1520">
        <v>1</v>
      </c>
      <c r="N1413" s="1520">
        <v>0</v>
      </c>
      <c r="O1413" s="1521">
        <v>1</v>
      </c>
    </row>
    <row r="1414" spans="3:15" ht="13.5">
      <c r="C1414" s="1526" t="s">
        <v>5375</v>
      </c>
      <c r="D1414" s="1523">
        <v>0</v>
      </c>
      <c r="E1414" s="1523">
        <v>0</v>
      </c>
      <c r="F1414" s="1524">
        <v>0</v>
      </c>
      <c r="G1414" s="1537" t="s">
        <v>5375</v>
      </c>
      <c r="H1414" s="1521">
        <v>0</v>
      </c>
      <c r="I1414" s="1521">
        <v>0</v>
      </c>
      <c r="J1414" s="1538">
        <v>0</v>
      </c>
      <c r="K1414" s="1525"/>
      <c r="L1414" s="1519">
        <v>13121010516</v>
      </c>
      <c r="M1414" s="1520">
        <v>0</v>
      </c>
      <c r="N1414" s="1520">
        <v>0</v>
      </c>
      <c r="O1414" s="1521">
        <v>0</v>
      </c>
    </row>
    <row r="1415" spans="3:15" ht="13.5">
      <c r="C1415" s="1526" t="s">
        <v>5376</v>
      </c>
      <c r="D1415" s="1523">
        <v>0</v>
      </c>
      <c r="E1415" s="1523">
        <v>0</v>
      </c>
      <c r="F1415" s="1524">
        <v>0</v>
      </c>
      <c r="G1415" s="1537" t="s">
        <v>5376</v>
      </c>
      <c r="H1415" s="1521">
        <v>0</v>
      </c>
      <c r="I1415" s="1521">
        <v>0</v>
      </c>
      <c r="J1415" s="1538">
        <v>0</v>
      </c>
      <c r="K1415" s="1525"/>
      <c r="L1415" s="1519">
        <v>13121010601</v>
      </c>
      <c r="M1415" s="1520">
        <v>0</v>
      </c>
      <c r="N1415" s="1520">
        <v>0</v>
      </c>
      <c r="O1415" s="1521">
        <v>0</v>
      </c>
    </row>
    <row r="1416" spans="3:15" ht="13.5">
      <c r="C1416" s="1526" t="s">
        <v>5377</v>
      </c>
      <c r="D1416" s="1523">
        <v>0</v>
      </c>
      <c r="E1416" s="1523">
        <v>0</v>
      </c>
      <c r="F1416" s="1524">
        <v>0</v>
      </c>
      <c r="G1416" s="1537" t="s">
        <v>5377</v>
      </c>
      <c r="H1416" s="1521">
        <v>0</v>
      </c>
      <c r="I1416" s="1521">
        <v>0</v>
      </c>
      <c r="J1416" s="1538">
        <v>0</v>
      </c>
      <c r="K1416" s="1525"/>
      <c r="L1416" s="1519">
        <v>13121010603</v>
      </c>
      <c r="M1416" s="1520">
        <v>0</v>
      </c>
      <c r="N1416" s="1520">
        <v>0</v>
      </c>
      <c r="O1416" s="1521">
        <v>0</v>
      </c>
    </row>
    <row r="1417" spans="3:15" ht="13.5">
      <c r="C1417" s="1526" t="s">
        <v>5378</v>
      </c>
      <c r="D1417" s="1523">
        <v>0</v>
      </c>
      <c r="E1417" s="1523">
        <v>0</v>
      </c>
      <c r="F1417" s="1524">
        <v>0</v>
      </c>
      <c r="G1417" s="1537" t="s">
        <v>5378</v>
      </c>
      <c r="H1417" s="1521">
        <v>0</v>
      </c>
      <c r="I1417" s="1521">
        <v>0</v>
      </c>
      <c r="J1417" s="1538">
        <v>0</v>
      </c>
      <c r="K1417" s="1525"/>
      <c r="L1417" s="1519">
        <v>13121010604</v>
      </c>
      <c r="M1417" s="1520">
        <v>0</v>
      </c>
      <c r="N1417" s="1520">
        <v>0</v>
      </c>
      <c r="O1417" s="1521">
        <v>0</v>
      </c>
    </row>
    <row r="1418" spans="3:15" ht="13.5">
      <c r="C1418" s="1526" t="s">
        <v>5379</v>
      </c>
      <c r="D1418" s="1523">
        <v>0</v>
      </c>
      <c r="E1418" s="1523">
        <v>0</v>
      </c>
      <c r="F1418" s="1524">
        <v>0</v>
      </c>
      <c r="G1418" s="1537" t="s">
        <v>5379</v>
      </c>
      <c r="H1418" s="1521">
        <v>1</v>
      </c>
      <c r="I1418" s="1521">
        <v>0</v>
      </c>
      <c r="J1418" s="1538">
        <v>1</v>
      </c>
      <c r="K1418" s="1525"/>
      <c r="L1418" s="1519">
        <v>13121010800</v>
      </c>
      <c r="M1418" s="1520">
        <v>1</v>
      </c>
      <c r="N1418" s="1520">
        <v>0</v>
      </c>
      <c r="O1418" s="1521">
        <v>1</v>
      </c>
    </row>
    <row r="1419" spans="3:15" ht="13.5">
      <c r="C1419" s="1526" t="s">
        <v>5380</v>
      </c>
      <c r="D1419" s="1523">
        <v>0</v>
      </c>
      <c r="E1419" s="1523">
        <v>0</v>
      </c>
      <c r="F1419" s="1524">
        <v>0</v>
      </c>
      <c r="G1419" s="1537" t="s">
        <v>5380</v>
      </c>
      <c r="H1419" s="1521">
        <v>0</v>
      </c>
      <c r="I1419" s="1521">
        <v>0</v>
      </c>
      <c r="J1419" s="1538">
        <v>0</v>
      </c>
      <c r="K1419" s="1525"/>
      <c r="L1419" s="1519">
        <v>13121011000</v>
      </c>
      <c r="M1419" s="1520">
        <v>0</v>
      </c>
      <c r="N1419" s="1520">
        <v>0</v>
      </c>
      <c r="O1419" s="1521">
        <v>0</v>
      </c>
    </row>
    <row r="1420" spans="3:15" ht="13.5">
      <c r="C1420" s="1526" t="s">
        <v>5381</v>
      </c>
      <c r="D1420" s="1523">
        <v>1</v>
      </c>
      <c r="E1420" s="1523">
        <v>0</v>
      </c>
      <c r="F1420" s="1524">
        <v>1</v>
      </c>
      <c r="G1420" s="1537" t="s">
        <v>5381</v>
      </c>
      <c r="H1420" s="1521">
        <v>1</v>
      </c>
      <c r="I1420" s="1521">
        <v>0</v>
      </c>
      <c r="J1420" s="1538">
        <v>1</v>
      </c>
      <c r="K1420" s="1525"/>
      <c r="L1420" s="1519">
        <v>13121011100</v>
      </c>
      <c r="M1420" s="1520">
        <v>1</v>
      </c>
      <c r="N1420" s="1520">
        <v>0</v>
      </c>
      <c r="O1420" s="1521">
        <v>1</v>
      </c>
    </row>
    <row r="1421" spans="3:15" ht="13.5">
      <c r="C1421" s="1526" t="s">
        <v>5382</v>
      </c>
      <c r="D1421" s="1523">
        <v>0</v>
      </c>
      <c r="E1421" s="1523">
        <v>0</v>
      </c>
      <c r="F1421" s="1524">
        <v>0</v>
      </c>
      <c r="G1421" s="1537" t="s">
        <v>5382</v>
      </c>
      <c r="H1421" s="1521">
        <v>0</v>
      </c>
      <c r="I1421" s="1521">
        <v>0</v>
      </c>
      <c r="J1421" s="1538">
        <v>0</v>
      </c>
      <c r="K1421" s="1525"/>
      <c r="L1421" s="1519">
        <v>13121011201</v>
      </c>
      <c r="M1421" s="1520">
        <v>0</v>
      </c>
      <c r="N1421" s="1520">
        <v>0</v>
      </c>
      <c r="O1421" s="1521">
        <v>0</v>
      </c>
    </row>
    <row r="1422" spans="3:15" ht="13.5">
      <c r="C1422" s="1526" t="s">
        <v>5383</v>
      </c>
      <c r="D1422" s="1523">
        <v>0</v>
      </c>
      <c r="E1422" s="1523">
        <v>0</v>
      </c>
      <c r="F1422" s="1524">
        <v>0</v>
      </c>
      <c r="G1422" s="1537" t="s">
        <v>5383</v>
      </c>
      <c r="H1422" s="1521">
        <v>0</v>
      </c>
      <c r="I1422" s="1521">
        <v>0</v>
      </c>
      <c r="J1422" s="1538">
        <v>0</v>
      </c>
      <c r="K1422" s="1525"/>
      <c r="L1422" s="1519">
        <v>13121011202</v>
      </c>
      <c r="M1422" s="1520">
        <v>0</v>
      </c>
      <c r="N1422" s="1520">
        <v>0</v>
      </c>
      <c r="O1422" s="1521">
        <v>0</v>
      </c>
    </row>
    <row r="1423" spans="3:15" ht="13.5">
      <c r="C1423" s="1526" t="s">
        <v>5384</v>
      </c>
      <c r="D1423" s="1523">
        <v>0</v>
      </c>
      <c r="E1423" s="1523">
        <v>0</v>
      </c>
      <c r="F1423" s="1524">
        <v>0</v>
      </c>
      <c r="G1423" s="1537" t="s">
        <v>5384</v>
      </c>
      <c r="H1423" s="1521">
        <v>0</v>
      </c>
      <c r="I1423" s="1521">
        <v>0</v>
      </c>
      <c r="J1423" s="1538">
        <v>0</v>
      </c>
      <c r="K1423" s="1525"/>
      <c r="L1423" s="1519">
        <v>13121011301</v>
      </c>
      <c r="M1423" s="1520">
        <v>0</v>
      </c>
      <c r="N1423" s="1520">
        <v>0</v>
      </c>
      <c r="O1423" s="1521">
        <v>0</v>
      </c>
    </row>
    <row r="1424" spans="3:15" ht="13.5">
      <c r="C1424" s="1526" t="s">
        <v>5385</v>
      </c>
      <c r="D1424" s="1523">
        <v>0</v>
      </c>
      <c r="E1424" s="1523">
        <v>0</v>
      </c>
      <c r="F1424" s="1524">
        <v>0</v>
      </c>
      <c r="G1424" s="1537" t="s">
        <v>5385</v>
      </c>
      <c r="H1424" s="1521">
        <v>1</v>
      </c>
      <c r="I1424" s="1521">
        <v>0</v>
      </c>
      <c r="J1424" s="1538">
        <v>1</v>
      </c>
      <c r="K1424" s="1525"/>
      <c r="L1424" s="1519">
        <v>13121011303</v>
      </c>
      <c r="M1424" s="1520">
        <v>1</v>
      </c>
      <c r="N1424" s="1520">
        <v>0</v>
      </c>
      <c r="O1424" s="1521">
        <v>1</v>
      </c>
    </row>
    <row r="1425" spans="3:15" ht="13.5">
      <c r="C1425" s="1526" t="s">
        <v>5386</v>
      </c>
      <c r="D1425" s="1523">
        <v>0</v>
      </c>
      <c r="E1425" s="1523">
        <v>0</v>
      </c>
      <c r="F1425" s="1524">
        <v>0</v>
      </c>
      <c r="G1425" s="1537" t="s">
        <v>5386</v>
      </c>
      <c r="H1425" s="1521">
        <v>0</v>
      </c>
      <c r="I1425" s="1521">
        <v>0</v>
      </c>
      <c r="J1425" s="1538">
        <v>0</v>
      </c>
      <c r="K1425" s="1525"/>
      <c r="L1425" s="1519">
        <v>13121011305</v>
      </c>
      <c r="M1425" s="1520">
        <v>0</v>
      </c>
      <c r="N1425" s="1520">
        <v>0</v>
      </c>
      <c r="O1425" s="1521">
        <v>0</v>
      </c>
    </row>
    <row r="1426" spans="3:15" ht="13.5">
      <c r="C1426" s="1526" t="s">
        <v>5387</v>
      </c>
      <c r="D1426" s="1523">
        <v>0</v>
      </c>
      <c r="E1426" s="1523">
        <v>0</v>
      </c>
      <c r="F1426" s="1524">
        <v>0</v>
      </c>
      <c r="G1426" s="1537" t="s">
        <v>5387</v>
      </c>
      <c r="H1426" s="1521">
        <v>0</v>
      </c>
      <c r="I1426" s="1521">
        <v>0</v>
      </c>
      <c r="J1426" s="1538">
        <v>0</v>
      </c>
      <c r="K1426" s="1525"/>
      <c r="L1426" s="1519">
        <v>13121011306</v>
      </c>
      <c r="M1426" s="1520">
        <v>0</v>
      </c>
      <c r="N1426" s="1520">
        <v>0</v>
      </c>
      <c r="O1426" s="1521">
        <v>0</v>
      </c>
    </row>
    <row r="1427" spans="3:15" ht="13.5">
      <c r="C1427" s="1526" t="s">
        <v>5388</v>
      </c>
      <c r="D1427" s="1523">
        <v>1</v>
      </c>
      <c r="E1427" s="1523">
        <v>0</v>
      </c>
      <c r="F1427" s="1524">
        <v>1</v>
      </c>
      <c r="G1427" s="1537" t="s">
        <v>5388</v>
      </c>
      <c r="H1427" s="1521">
        <v>1</v>
      </c>
      <c r="I1427" s="1521">
        <v>1</v>
      </c>
      <c r="J1427" s="1538">
        <v>2</v>
      </c>
      <c r="K1427" s="1525"/>
      <c r="L1427" s="1519">
        <v>13121011405</v>
      </c>
      <c r="M1427" s="1520">
        <v>1</v>
      </c>
      <c r="N1427" s="1520">
        <v>1</v>
      </c>
      <c r="O1427" s="1521">
        <v>2</v>
      </c>
    </row>
    <row r="1428" spans="3:15" ht="13.5">
      <c r="C1428" s="1526" t="s">
        <v>5389</v>
      </c>
      <c r="D1428" s="1523">
        <v>1</v>
      </c>
      <c r="E1428" s="1523">
        <v>1</v>
      </c>
      <c r="F1428" s="1524">
        <v>2</v>
      </c>
      <c r="G1428" s="1537" t="s">
        <v>5389</v>
      </c>
      <c r="H1428" s="1521">
        <v>1</v>
      </c>
      <c r="I1428" s="1521">
        <v>1</v>
      </c>
      <c r="J1428" s="1538">
        <v>2</v>
      </c>
      <c r="K1428" s="1525"/>
      <c r="L1428" s="1519">
        <v>13121011410</v>
      </c>
      <c r="M1428" s="1520">
        <v>1</v>
      </c>
      <c r="N1428" s="1520">
        <v>1</v>
      </c>
      <c r="O1428" s="1521">
        <v>2</v>
      </c>
    </row>
    <row r="1429" spans="3:15" ht="13.5">
      <c r="C1429" s="1526" t="s">
        <v>5390</v>
      </c>
      <c r="D1429" s="1523">
        <v>1</v>
      </c>
      <c r="E1429" s="1523">
        <v>1</v>
      </c>
      <c r="F1429" s="1524">
        <v>2</v>
      </c>
      <c r="G1429" s="1537" t="s">
        <v>5390</v>
      </c>
      <c r="H1429" s="1521">
        <v>1</v>
      </c>
      <c r="I1429" s="1521">
        <v>1</v>
      </c>
      <c r="J1429" s="1538">
        <v>2</v>
      </c>
      <c r="K1429" s="1525"/>
      <c r="L1429" s="1519">
        <v>13121011411</v>
      </c>
      <c r="M1429" s="1520">
        <v>1</v>
      </c>
      <c r="N1429" s="1520">
        <v>1</v>
      </c>
      <c r="O1429" s="1521">
        <v>2</v>
      </c>
    </row>
    <row r="1430" spans="3:15" ht="13.5">
      <c r="C1430" s="1526" t="s">
        <v>5391</v>
      </c>
      <c r="D1430" s="1523">
        <v>1</v>
      </c>
      <c r="E1430" s="1523">
        <v>1</v>
      </c>
      <c r="F1430" s="1524">
        <v>2</v>
      </c>
      <c r="G1430" s="1537" t="s">
        <v>5391</v>
      </c>
      <c r="H1430" s="1521">
        <v>1</v>
      </c>
      <c r="I1430" s="1521">
        <v>1</v>
      </c>
      <c r="J1430" s="1538">
        <v>2</v>
      </c>
      <c r="K1430" s="1525"/>
      <c r="L1430" s="1519">
        <v>13121011412</v>
      </c>
      <c r="M1430" s="1520">
        <v>1</v>
      </c>
      <c r="N1430" s="1520">
        <v>1</v>
      </c>
      <c r="O1430" s="1521">
        <v>2</v>
      </c>
    </row>
    <row r="1431" spans="3:15" ht="13.5">
      <c r="C1431" s="1526" t="s">
        <v>5392</v>
      </c>
      <c r="D1431" s="1523">
        <v>1</v>
      </c>
      <c r="E1431" s="1523">
        <v>1</v>
      </c>
      <c r="F1431" s="1524">
        <v>2</v>
      </c>
      <c r="G1431" s="1537" t="s">
        <v>5392</v>
      </c>
      <c r="H1431" s="1521">
        <v>1</v>
      </c>
      <c r="I1431" s="1521">
        <v>0</v>
      </c>
      <c r="J1431" s="1538">
        <v>1</v>
      </c>
      <c r="K1431" s="1525"/>
      <c r="L1431" s="1519">
        <v>13121011414</v>
      </c>
      <c r="M1431" s="1520">
        <v>1</v>
      </c>
      <c r="N1431" s="1520">
        <v>1</v>
      </c>
      <c r="O1431" s="1521">
        <v>2</v>
      </c>
    </row>
    <row r="1432" spans="3:15" ht="13.5">
      <c r="C1432" s="1526" t="s">
        <v>5393</v>
      </c>
      <c r="D1432" s="1523">
        <v>1</v>
      </c>
      <c r="E1432" s="1523">
        <v>1</v>
      </c>
      <c r="F1432" s="1524">
        <v>2</v>
      </c>
      <c r="G1432" s="1537" t="s">
        <v>5393</v>
      </c>
      <c r="H1432" s="1521">
        <v>1</v>
      </c>
      <c r="I1432" s="1521">
        <v>1</v>
      </c>
      <c r="J1432" s="1538">
        <v>2</v>
      </c>
      <c r="K1432" s="1525"/>
      <c r="L1432" s="1519">
        <v>13121011416</v>
      </c>
      <c r="M1432" s="1520">
        <v>1</v>
      </c>
      <c r="N1432" s="1520">
        <v>1</v>
      </c>
      <c r="O1432" s="1521">
        <v>2</v>
      </c>
    </row>
    <row r="1433" spans="3:15" ht="13.5">
      <c r="C1433" s="1526" t="s">
        <v>5394</v>
      </c>
      <c r="D1433" s="1523">
        <v>1</v>
      </c>
      <c r="E1433" s="1523">
        <v>1</v>
      </c>
      <c r="F1433" s="1524">
        <v>2</v>
      </c>
      <c r="G1433" s="1537" t="s">
        <v>5394</v>
      </c>
      <c r="H1433" s="1521">
        <v>1</v>
      </c>
      <c r="I1433" s="1521">
        <v>1</v>
      </c>
      <c r="J1433" s="1538">
        <v>2</v>
      </c>
      <c r="K1433" s="1525"/>
      <c r="L1433" s="1519">
        <v>13121011417</v>
      </c>
      <c r="M1433" s="1520">
        <v>1</v>
      </c>
      <c r="N1433" s="1520">
        <v>1</v>
      </c>
      <c r="O1433" s="1521">
        <v>2</v>
      </c>
    </row>
    <row r="1434" spans="3:15" ht="13.5">
      <c r="C1434" s="1526" t="s">
        <v>5395</v>
      </c>
      <c r="D1434" s="1523">
        <v>1</v>
      </c>
      <c r="E1434" s="1523">
        <v>1</v>
      </c>
      <c r="F1434" s="1524">
        <v>2</v>
      </c>
      <c r="G1434" s="1537" t="s">
        <v>5395</v>
      </c>
      <c r="H1434" s="1521">
        <v>1</v>
      </c>
      <c r="I1434" s="1521">
        <v>1</v>
      </c>
      <c r="J1434" s="1538">
        <v>2</v>
      </c>
      <c r="K1434" s="1525"/>
      <c r="L1434" s="1519">
        <v>13121011418</v>
      </c>
      <c r="M1434" s="1520">
        <v>1</v>
      </c>
      <c r="N1434" s="1520">
        <v>1</v>
      </c>
      <c r="O1434" s="1521">
        <v>2</v>
      </c>
    </row>
    <row r="1435" spans="3:15" ht="13.5">
      <c r="C1435" s="1526" t="s">
        <v>5396</v>
      </c>
      <c r="D1435" s="1523">
        <v>1</v>
      </c>
      <c r="E1435" s="1523">
        <v>1</v>
      </c>
      <c r="F1435" s="1524">
        <v>2</v>
      </c>
      <c r="G1435" s="1537" t="s">
        <v>5396</v>
      </c>
      <c r="H1435" s="1521">
        <v>1</v>
      </c>
      <c r="I1435" s="1521">
        <v>1</v>
      </c>
      <c r="J1435" s="1538">
        <v>2</v>
      </c>
      <c r="K1435" s="1525"/>
      <c r="L1435" s="1519">
        <v>13121011419</v>
      </c>
      <c r="M1435" s="1520">
        <v>1</v>
      </c>
      <c r="N1435" s="1520">
        <v>1</v>
      </c>
      <c r="O1435" s="1521">
        <v>2</v>
      </c>
    </row>
    <row r="1436" spans="3:15" ht="13.5">
      <c r="C1436" s="1526" t="s">
        <v>5397</v>
      </c>
      <c r="D1436" s="1523">
        <v>0</v>
      </c>
      <c r="E1436" s="1523">
        <v>0</v>
      </c>
      <c r="F1436" s="1524">
        <v>0</v>
      </c>
      <c r="G1436" s="1537" t="s">
        <v>5397</v>
      </c>
      <c r="H1436" s="1521">
        <v>0</v>
      </c>
      <c r="I1436" s="1521">
        <v>0</v>
      </c>
      <c r="J1436" s="1538">
        <v>0</v>
      </c>
      <c r="K1436" s="1525"/>
      <c r="L1436" s="1519">
        <v>13121011420</v>
      </c>
      <c r="M1436" s="1520">
        <v>0</v>
      </c>
      <c r="N1436" s="1520">
        <v>0</v>
      </c>
      <c r="O1436" s="1521">
        <v>0</v>
      </c>
    </row>
    <row r="1437" spans="3:15" ht="13.5">
      <c r="C1437" s="1526" t="s">
        <v>5398</v>
      </c>
      <c r="D1437" s="1523">
        <v>1</v>
      </c>
      <c r="E1437" s="1523">
        <v>0</v>
      </c>
      <c r="F1437" s="1524">
        <v>1</v>
      </c>
      <c r="G1437" s="1537" t="s">
        <v>5398</v>
      </c>
      <c r="H1437" s="1521">
        <v>1</v>
      </c>
      <c r="I1437" s="1521">
        <v>0</v>
      </c>
      <c r="J1437" s="1538">
        <v>1</v>
      </c>
      <c r="K1437" s="1525"/>
      <c r="L1437" s="1519">
        <v>13121011421</v>
      </c>
      <c r="M1437" s="1520">
        <v>1</v>
      </c>
      <c r="N1437" s="1520">
        <v>0</v>
      </c>
      <c r="O1437" s="1521">
        <v>1</v>
      </c>
    </row>
    <row r="1438" spans="3:15" ht="13.5">
      <c r="C1438" s="1526" t="s">
        <v>5399</v>
      </c>
      <c r="D1438" s="1523">
        <v>1</v>
      </c>
      <c r="E1438" s="1523">
        <v>1</v>
      </c>
      <c r="F1438" s="1524">
        <v>2</v>
      </c>
      <c r="G1438" s="1537" t="s">
        <v>5399</v>
      </c>
      <c r="H1438" s="1521">
        <v>1</v>
      </c>
      <c r="I1438" s="1521">
        <v>1</v>
      </c>
      <c r="J1438" s="1538">
        <v>2</v>
      </c>
      <c r="K1438" s="1525"/>
      <c r="L1438" s="1519">
        <v>13121011422</v>
      </c>
      <c r="M1438" s="1520">
        <v>1</v>
      </c>
      <c r="N1438" s="1520">
        <v>1</v>
      </c>
      <c r="O1438" s="1521">
        <v>2</v>
      </c>
    </row>
    <row r="1439" spans="3:15" ht="13.5">
      <c r="C1439" s="1526" t="s">
        <v>5400</v>
      </c>
      <c r="D1439" s="1523">
        <v>1</v>
      </c>
      <c r="E1439" s="1523">
        <v>1</v>
      </c>
      <c r="F1439" s="1524">
        <v>2</v>
      </c>
      <c r="G1439" s="1537" t="s">
        <v>5400</v>
      </c>
      <c r="H1439" s="1521">
        <v>1</v>
      </c>
      <c r="I1439" s="1521">
        <v>1</v>
      </c>
      <c r="J1439" s="1538">
        <v>2</v>
      </c>
      <c r="K1439" s="1525"/>
      <c r="L1439" s="1519">
        <v>13121011423</v>
      </c>
      <c r="M1439" s="1520">
        <v>1</v>
      </c>
      <c r="N1439" s="1520">
        <v>1</v>
      </c>
      <c r="O1439" s="1521">
        <v>2</v>
      </c>
    </row>
    <row r="1440" spans="3:15" ht="13.5">
      <c r="C1440" s="1526" t="s">
        <v>5401</v>
      </c>
      <c r="D1440" s="1523">
        <v>1</v>
      </c>
      <c r="E1440" s="1523">
        <v>1</v>
      </c>
      <c r="F1440" s="1524">
        <v>2</v>
      </c>
      <c r="G1440" s="1537" t="s">
        <v>5401</v>
      </c>
      <c r="H1440" s="1521">
        <v>1</v>
      </c>
      <c r="I1440" s="1521">
        <v>1</v>
      </c>
      <c r="J1440" s="1538">
        <v>2</v>
      </c>
      <c r="K1440" s="1525"/>
      <c r="L1440" s="1519">
        <v>13121011424</v>
      </c>
      <c r="M1440" s="1520">
        <v>1</v>
      </c>
      <c r="N1440" s="1520">
        <v>1</v>
      </c>
      <c r="O1440" s="1521">
        <v>2</v>
      </c>
    </row>
    <row r="1441" spans="3:15" ht="13.5">
      <c r="C1441" s="1526" t="s">
        <v>5402</v>
      </c>
      <c r="D1441" s="1523">
        <v>1</v>
      </c>
      <c r="E1441" s="1523">
        <v>1</v>
      </c>
      <c r="F1441" s="1524">
        <v>2</v>
      </c>
      <c r="G1441" s="1537" t="s">
        <v>5402</v>
      </c>
      <c r="H1441" s="1521">
        <v>1</v>
      </c>
      <c r="I1441" s="1521">
        <v>1</v>
      </c>
      <c r="J1441" s="1538">
        <v>2</v>
      </c>
      <c r="K1441" s="1525"/>
      <c r="L1441" s="1519">
        <v>13121011425</v>
      </c>
      <c r="M1441" s="1520">
        <v>1</v>
      </c>
      <c r="N1441" s="1520">
        <v>1</v>
      </c>
      <c r="O1441" s="1521">
        <v>2</v>
      </c>
    </row>
    <row r="1442" spans="3:15" ht="13.5">
      <c r="C1442" s="1526" t="s">
        <v>5403</v>
      </c>
      <c r="D1442" s="1523">
        <v>1</v>
      </c>
      <c r="E1442" s="1523">
        <v>1</v>
      </c>
      <c r="F1442" s="1524">
        <v>2</v>
      </c>
      <c r="G1442" s="1537" t="s">
        <v>5403</v>
      </c>
      <c r="H1442" s="1521">
        <v>1</v>
      </c>
      <c r="I1442" s="1521">
        <v>1</v>
      </c>
      <c r="J1442" s="1538">
        <v>2</v>
      </c>
      <c r="K1442" s="1525"/>
      <c r="L1442" s="1519">
        <v>13121011426</v>
      </c>
      <c r="M1442" s="1520">
        <v>1</v>
      </c>
      <c r="N1442" s="1520">
        <v>1</v>
      </c>
      <c r="O1442" s="1521">
        <v>2</v>
      </c>
    </row>
    <row r="1443" spans="3:15" ht="13.5">
      <c r="C1443" s="1526" t="s">
        <v>5404</v>
      </c>
      <c r="D1443" s="1523">
        <v>1</v>
      </c>
      <c r="E1443" s="1523">
        <v>1</v>
      </c>
      <c r="F1443" s="1524">
        <v>2</v>
      </c>
      <c r="G1443" s="1537" t="s">
        <v>5404</v>
      </c>
      <c r="H1443" s="1521">
        <v>1</v>
      </c>
      <c r="I1443" s="1521">
        <v>1</v>
      </c>
      <c r="J1443" s="1538">
        <v>2</v>
      </c>
      <c r="K1443" s="1525"/>
      <c r="L1443" s="1519">
        <v>13121011427</v>
      </c>
      <c r="M1443" s="1520">
        <v>1</v>
      </c>
      <c r="N1443" s="1520">
        <v>1</v>
      </c>
      <c r="O1443" s="1521">
        <v>2</v>
      </c>
    </row>
    <row r="1444" spans="3:15" ht="13.5">
      <c r="C1444" s="1526" t="s">
        <v>5405</v>
      </c>
      <c r="D1444" s="1523">
        <v>1</v>
      </c>
      <c r="E1444" s="1523">
        <v>1</v>
      </c>
      <c r="F1444" s="1524">
        <v>2</v>
      </c>
      <c r="G1444" s="1537" t="s">
        <v>5405</v>
      </c>
      <c r="H1444" s="1521">
        <v>1</v>
      </c>
      <c r="I1444" s="1521">
        <v>1</v>
      </c>
      <c r="J1444" s="1538">
        <v>2</v>
      </c>
      <c r="K1444" s="1525"/>
      <c r="L1444" s="1519">
        <v>13121011503</v>
      </c>
      <c r="M1444" s="1520">
        <v>1</v>
      </c>
      <c r="N1444" s="1520">
        <v>1</v>
      </c>
      <c r="O1444" s="1521">
        <v>2</v>
      </c>
    </row>
    <row r="1445" spans="3:15" ht="13.5">
      <c r="C1445" s="1526" t="s">
        <v>5406</v>
      </c>
      <c r="D1445" s="1523">
        <v>1</v>
      </c>
      <c r="E1445" s="1523">
        <v>1</v>
      </c>
      <c r="F1445" s="1524">
        <v>2</v>
      </c>
      <c r="G1445" s="1537" t="s">
        <v>5406</v>
      </c>
      <c r="H1445" s="1521">
        <v>1</v>
      </c>
      <c r="I1445" s="1521" t="s">
        <v>4099</v>
      </c>
      <c r="J1445" s="1538">
        <v>1</v>
      </c>
      <c r="K1445" s="1525"/>
      <c r="L1445" s="1519">
        <v>13121011504</v>
      </c>
      <c r="M1445" s="1520">
        <v>1</v>
      </c>
      <c r="N1445" s="1520">
        <v>1</v>
      </c>
      <c r="O1445" s="1521">
        <v>2</v>
      </c>
    </row>
    <row r="1446" spans="3:15" ht="13.5">
      <c r="C1446" s="1526" t="s">
        <v>5407</v>
      </c>
      <c r="D1446" s="1523">
        <v>1</v>
      </c>
      <c r="E1446" s="1523">
        <v>1</v>
      </c>
      <c r="F1446" s="1524">
        <v>2</v>
      </c>
      <c r="G1446" s="1537" t="s">
        <v>5407</v>
      </c>
      <c r="H1446" s="1521">
        <v>1</v>
      </c>
      <c r="I1446" s="1521">
        <v>1</v>
      </c>
      <c r="J1446" s="1538">
        <v>2</v>
      </c>
      <c r="K1446" s="1525"/>
      <c r="L1446" s="1519">
        <v>13121011505</v>
      </c>
      <c r="M1446" s="1520">
        <v>1</v>
      </c>
      <c r="N1446" s="1520">
        <v>1</v>
      </c>
      <c r="O1446" s="1521">
        <v>2</v>
      </c>
    </row>
    <row r="1447" spans="3:15" ht="13.5">
      <c r="C1447" s="1526" t="s">
        <v>5408</v>
      </c>
      <c r="D1447" s="1523">
        <v>1</v>
      </c>
      <c r="E1447" s="1523">
        <v>1</v>
      </c>
      <c r="F1447" s="1524">
        <v>2</v>
      </c>
      <c r="G1447" s="1537" t="s">
        <v>5408</v>
      </c>
      <c r="H1447" s="1521">
        <v>1</v>
      </c>
      <c r="I1447" s="1521">
        <v>1</v>
      </c>
      <c r="J1447" s="1538">
        <v>2</v>
      </c>
      <c r="K1447" s="1525"/>
      <c r="L1447" s="1519">
        <v>13121011506</v>
      </c>
      <c r="M1447" s="1520">
        <v>1</v>
      </c>
      <c r="N1447" s="1520">
        <v>1</v>
      </c>
      <c r="O1447" s="1521">
        <v>2</v>
      </c>
    </row>
    <row r="1448" spans="3:15" ht="13.5">
      <c r="C1448" s="1526" t="s">
        <v>5409</v>
      </c>
      <c r="D1448" s="1523">
        <v>1</v>
      </c>
      <c r="E1448" s="1523">
        <v>1</v>
      </c>
      <c r="F1448" s="1524">
        <v>2</v>
      </c>
      <c r="G1448" s="1537" t="s">
        <v>5409</v>
      </c>
      <c r="H1448" s="1521">
        <v>1</v>
      </c>
      <c r="I1448" s="1521">
        <v>1</v>
      </c>
      <c r="J1448" s="1538">
        <v>2</v>
      </c>
      <c r="K1448" s="1525"/>
      <c r="L1448" s="1519">
        <v>13121011610</v>
      </c>
      <c r="M1448" s="1520">
        <v>1</v>
      </c>
      <c r="N1448" s="1520">
        <v>1</v>
      </c>
      <c r="O1448" s="1521">
        <v>2</v>
      </c>
    </row>
    <row r="1449" spans="3:15" ht="13.5">
      <c r="C1449" s="1526" t="s">
        <v>5410</v>
      </c>
      <c r="D1449" s="1523">
        <v>1</v>
      </c>
      <c r="E1449" s="1523">
        <v>0</v>
      </c>
      <c r="F1449" s="1524">
        <v>1</v>
      </c>
      <c r="G1449" s="1537" t="s">
        <v>5410</v>
      </c>
      <c r="H1449" s="1521">
        <v>1</v>
      </c>
      <c r="I1449" s="1521">
        <v>1</v>
      </c>
      <c r="J1449" s="1538">
        <v>2</v>
      </c>
      <c r="K1449" s="1525"/>
      <c r="L1449" s="1519">
        <v>13121011611</v>
      </c>
      <c r="M1449" s="1520">
        <v>1</v>
      </c>
      <c r="N1449" s="1520">
        <v>1</v>
      </c>
      <c r="O1449" s="1521">
        <v>2</v>
      </c>
    </row>
    <row r="1450" spans="3:15" ht="13.5">
      <c r="C1450" s="1526" t="s">
        <v>5411</v>
      </c>
      <c r="D1450" s="1523">
        <v>1</v>
      </c>
      <c r="E1450" s="1523">
        <v>1</v>
      </c>
      <c r="F1450" s="1524">
        <v>2</v>
      </c>
      <c r="G1450" s="1537" t="s">
        <v>5411</v>
      </c>
      <c r="H1450" s="1521">
        <v>1</v>
      </c>
      <c r="I1450" s="1521" t="s">
        <v>4099</v>
      </c>
      <c r="J1450" s="1538">
        <v>1</v>
      </c>
      <c r="K1450" s="1525"/>
      <c r="L1450" s="1519">
        <v>13121011612</v>
      </c>
      <c r="M1450" s="1520">
        <v>1</v>
      </c>
      <c r="N1450" s="1520">
        <v>1</v>
      </c>
      <c r="O1450" s="1521">
        <v>2</v>
      </c>
    </row>
    <row r="1451" spans="3:15" ht="13.5">
      <c r="C1451" s="1526" t="s">
        <v>5412</v>
      </c>
      <c r="D1451" s="1523">
        <v>1</v>
      </c>
      <c r="E1451" s="1523">
        <v>1</v>
      </c>
      <c r="F1451" s="1524">
        <v>2</v>
      </c>
      <c r="G1451" s="1537" t="s">
        <v>5412</v>
      </c>
      <c r="H1451" s="1521">
        <v>1</v>
      </c>
      <c r="I1451" s="1521">
        <v>1</v>
      </c>
      <c r="J1451" s="1538">
        <v>2</v>
      </c>
      <c r="K1451" s="1525"/>
      <c r="L1451" s="1519">
        <v>13121011613</v>
      </c>
      <c r="M1451" s="1520">
        <v>1</v>
      </c>
      <c r="N1451" s="1520">
        <v>1</v>
      </c>
      <c r="O1451" s="1521">
        <v>2</v>
      </c>
    </row>
    <row r="1452" spans="3:15" ht="13.5">
      <c r="C1452" s="1526" t="s">
        <v>5413</v>
      </c>
      <c r="D1452" s="1523">
        <v>1</v>
      </c>
      <c r="E1452" s="1523">
        <v>1</v>
      </c>
      <c r="F1452" s="1524">
        <v>2</v>
      </c>
      <c r="G1452" s="1537" t="s">
        <v>5413</v>
      </c>
      <c r="H1452" s="1521">
        <v>1</v>
      </c>
      <c r="I1452" s="1521">
        <v>1</v>
      </c>
      <c r="J1452" s="1538">
        <v>2</v>
      </c>
      <c r="K1452" s="1525"/>
      <c r="L1452" s="1519">
        <v>13121011614</v>
      </c>
      <c r="M1452" s="1520">
        <v>1</v>
      </c>
      <c r="N1452" s="1520">
        <v>1</v>
      </c>
      <c r="O1452" s="1521">
        <v>2</v>
      </c>
    </row>
    <row r="1453" spans="3:15" ht="13.5">
      <c r="C1453" s="1526" t="s">
        <v>5414</v>
      </c>
      <c r="D1453" s="1523">
        <v>1</v>
      </c>
      <c r="E1453" s="1523">
        <v>1</v>
      </c>
      <c r="F1453" s="1524">
        <v>2</v>
      </c>
      <c r="G1453" s="1537" t="s">
        <v>5414</v>
      </c>
      <c r="H1453" s="1521">
        <v>1</v>
      </c>
      <c r="I1453" s="1521">
        <v>1</v>
      </c>
      <c r="J1453" s="1538">
        <v>2</v>
      </c>
      <c r="K1453" s="1525"/>
      <c r="L1453" s="1519">
        <v>13121011615</v>
      </c>
      <c r="M1453" s="1520">
        <v>1</v>
      </c>
      <c r="N1453" s="1520">
        <v>1</v>
      </c>
      <c r="O1453" s="1521">
        <v>2</v>
      </c>
    </row>
    <row r="1454" spans="3:15" ht="13.5">
      <c r="C1454" s="1526" t="s">
        <v>5415</v>
      </c>
      <c r="D1454" s="1523">
        <v>1</v>
      </c>
      <c r="E1454" s="1523">
        <v>1</v>
      </c>
      <c r="F1454" s="1524">
        <v>2</v>
      </c>
      <c r="G1454" s="1537" t="s">
        <v>5415</v>
      </c>
      <c r="H1454" s="1521">
        <v>1</v>
      </c>
      <c r="I1454" s="1521">
        <v>1</v>
      </c>
      <c r="J1454" s="1538">
        <v>2</v>
      </c>
      <c r="K1454" s="1525"/>
      <c r="L1454" s="1519">
        <v>13121011616</v>
      </c>
      <c r="M1454" s="1520">
        <v>1</v>
      </c>
      <c r="N1454" s="1520">
        <v>1</v>
      </c>
      <c r="O1454" s="1521">
        <v>2</v>
      </c>
    </row>
    <row r="1455" spans="3:15" ht="13.5">
      <c r="C1455" s="1526" t="s">
        <v>5416</v>
      </c>
      <c r="D1455" s="1523">
        <v>1</v>
      </c>
      <c r="E1455" s="1523">
        <v>1</v>
      </c>
      <c r="F1455" s="1524">
        <v>2</v>
      </c>
      <c r="G1455" s="1537" t="s">
        <v>5416</v>
      </c>
      <c r="H1455" s="1521">
        <v>1</v>
      </c>
      <c r="I1455" s="1521">
        <v>1</v>
      </c>
      <c r="J1455" s="1538">
        <v>2</v>
      </c>
      <c r="K1455" s="1525"/>
      <c r="L1455" s="1519">
        <v>13121011617</v>
      </c>
      <c r="M1455" s="1520">
        <v>1</v>
      </c>
      <c r="N1455" s="1520">
        <v>1</v>
      </c>
      <c r="O1455" s="1521">
        <v>2</v>
      </c>
    </row>
    <row r="1456" spans="3:15" ht="13.5">
      <c r="C1456" s="1526" t="s">
        <v>5417</v>
      </c>
      <c r="D1456" s="1523">
        <v>1</v>
      </c>
      <c r="E1456" s="1523">
        <v>1</v>
      </c>
      <c r="F1456" s="1524">
        <v>2</v>
      </c>
      <c r="G1456" s="1537" t="s">
        <v>5417</v>
      </c>
      <c r="H1456" s="1521">
        <v>1</v>
      </c>
      <c r="I1456" s="1521">
        <v>1</v>
      </c>
      <c r="J1456" s="1538">
        <v>2</v>
      </c>
      <c r="K1456" s="1525"/>
      <c r="L1456" s="1519">
        <v>13121011618</v>
      </c>
      <c r="M1456" s="1520">
        <v>1</v>
      </c>
      <c r="N1456" s="1520">
        <v>1</v>
      </c>
      <c r="O1456" s="1521">
        <v>2</v>
      </c>
    </row>
    <row r="1457" spans="3:15" ht="13.5">
      <c r="C1457" s="1526" t="s">
        <v>5418</v>
      </c>
      <c r="D1457" s="1523">
        <v>1</v>
      </c>
      <c r="E1457" s="1523">
        <v>1</v>
      </c>
      <c r="F1457" s="1524">
        <v>2</v>
      </c>
      <c r="G1457" s="1537" t="s">
        <v>5418</v>
      </c>
      <c r="H1457" s="1521">
        <v>1</v>
      </c>
      <c r="I1457" s="1521">
        <v>1</v>
      </c>
      <c r="J1457" s="1538">
        <v>2</v>
      </c>
      <c r="K1457" s="1525"/>
      <c r="L1457" s="1519">
        <v>13121011619</v>
      </c>
      <c r="M1457" s="1520">
        <v>1</v>
      </c>
      <c r="N1457" s="1520">
        <v>1</v>
      </c>
      <c r="O1457" s="1521">
        <v>2</v>
      </c>
    </row>
    <row r="1458" spans="3:15" ht="13.5">
      <c r="C1458" s="1526" t="s">
        <v>5419</v>
      </c>
      <c r="D1458" s="1523">
        <v>1</v>
      </c>
      <c r="E1458" s="1523">
        <v>1</v>
      </c>
      <c r="F1458" s="1524">
        <v>2</v>
      </c>
      <c r="G1458" s="1537" t="s">
        <v>5419</v>
      </c>
      <c r="H1458" s="1521">
        <v>1</v>
      </c>
      <c r="I1458" s="1521">
        <v>1</v>
      </c>
      <c r="J1458" s="1538">
        <v>2</v>
      </c>
      <c r="K1458" s="1525"/>
      <c r="L1458" s="1519">
        <v>13121011620</v>
      </c>
      <c r="M1458" s="1520">
        <v>1</v>
      </c>
      <c r="N1458" s="1520">
        <v>1</v>
      </c>
      <c r="O1458" s="1521">
        <v>2</v>
      </c>
    </row>
    <row r="1459" spans="3:15" ht="13.5">
      <c r="C1459" s="1526" t="s">
        <v>5420</v>
      </c>
      <c r="D1459" s="1523">
        <v>1</v>
      </c>
      <c r="E1459" s="1523">
        <v>1</v>
      </c>
      <c r="F1459" s="1524">
        <v>2</v>
      </c>
      <c r="G1459" s="1537" t="s">
        <v>5420</v>
      </c>
      <c r="H1459" s="1521">
        <v>1</v>
      </c>
      <c r="I1459" s="1521">
        <v>1</v>
      </c>
      <c r="J1459" s="1538">
        <v>2</v>
      </c>
      <c r="K1459" s="1525"/>
      <c r="L1459" s="1519">
        <v>13121011621</v>
      </c>
      <c r="M1459" s="1520">
        <v>1</v>
      </c>
      <c r="N1459" s="1520">
        <v>1</v>
      </c>
      <c r="O1459" s="1521">
        <v>2</v>
      </c>
    </row>
    <row r="1460" spans="3:15" ht="13.5">
      <c r="C1460" s="1526" t="s">
        <v>5421</v>
      </c>
      <c r="D1460" s="1523">
        <v>1</v>
      </c>
      <c r="E1460" s="1523">
        <v>1</v>
      </c>
      <c r="F1460" s="1524">
        <v>2</v>
      </c>
      <c r="G1460" s="1537" t="s">
        <v>5421</v>
      </c>
      <c r="H1460" s="1521">
        <v>1</v>
      </c>
      <c r="I1460" s="1521">
        <v>1</v>
      </c>
      <c r="J1460" s="1538">
        <v>2</v>
      </c>
      <c r="K1460" s="1525"/>
      <c r="L1460" s="1519">
        <v>13121011622</v>
      </c>
      <c r="M1460" s="1520">
        <v>1</v>
      </c>
      <c r="N1460" s="1520">
        <v>1</v>
      </c>
      <c r="O1460" s="1521">
        <v>2</v>
      </c>
    </row>
    <row r="1461" spans="3:15" ht="13.5">
      <c r="C1461" s="1526" t="s">
        <v>5422</v>
      </c>
      <c r="D1461" s="1523">
        <v>1</v>
      </c>
      <c r="E1461" s="1523">
        <v>1</v>
      </c>
      <c r="F1461" s="1524">
        <v>2</v>
      </c>
      <c r="G1461" s="1537" t="s">
        <v>5422</v>
      </c>
      <c r="H1461" s="1521">
        <v>1</v>
      </c>
      <c r="I1461" s="1521">
        <v>1</v>
      </c>
      <c r="J1461" s="1538">
        <v>2</v>
      </c>
      <c r="K1461" s="1525"/>
      <c r="L1461" s="1519">
        <v>13121011623</v>
      </c>
      <c r="M1461" s="1520">
        <v>1</v>
      </c>
      <c r="N1461" s="1520">
        <v>1</v>
      </c>
      <c r="O1461" s="1521">
        <v>2</v>
      </c>
    </row>
    <row r="1462" spans="3:15" ht="13.5">
      <c r="C1462" s="1526" t="s">
        <v>5423</v>
      </c>
      <c r="D1462" s="1523">
        <v>1</v>
      </c>
      <c r="E1462" s="1523">
        <v>1</v>
      </c>
      <c r="F1462" s="1524">
        <v>2</v>
      </c>
      <c r="G1462" s="1537" t="s">
        <v>5423</v>
      </c>
      <c r="H1462" s="1521">
        <v>1</v>
      </c>
      <c r="I1462" s="1521" t="s">
        <v>4099</v>
      </c>
      <c r="J1462" s="1538">
        <v>1</v>
      </c>
      <c r="K1462" s="1525"/>
      <c r="L1462" s="1519">
        <v>13121011624</v>
      </c>
      <c r="M1462" s="1520">
        <v>1</v>
      </c>
      <c r="N1462" s="1520">
        <v>1</v>
      </c>
      <c r="O1462" s="1521">
        <v>2</v>
      </c>
    </row>
    <row r="1463" spans="3:15" ht="13.5">
      <c r="C1463" s="1526" t="s">
        <v>5424</v>
      </c>
      <c r="D1463" s="1523">
        <v>1</v>
      </c>
      <c r="E1463" s="1523">
        <v>1</v>
      </c>
      <c r="F1463" s="1524">
        <v>2</v>
      </c>
      <c r="G1463" s="1537" t="s">
        <v>5424</v>
      </c>
      <c r="H1463" s="1521">
        <v>1</v>
      </c>
      <c r="I1463" s="1521">
        <v>1</v>
      </c>
      <c r="J1463" s="1538">
        <v>2</v>
      </c>
      <c r="K1463" s="1525"/>
      <c r="L1463" s="1519">
        <v>13121011625</v>
      </c>
      <c r="M1463" s="1520">
        <v>1</v>
      </c>
      <c r="N1463" s="1520">
        <v>1</v>
      </c>
      <c r="O1463" s="1521">
        <v>2</v>
      </c>
    </row>
    <row r="1464" spans="3:15" ht="13.5">
      <c r="C1464" s="1526" t="s">
        <v>5425</v>
      </c>
      <c r="D1464" s="1523">
        <v>1</v>
      </c>
      <c r="E1464" s="1523">
        <v>1</v>
      </c>
      <c r="F1464" s="1524">
        <v>2</v>
      </c>
      <c r="G1464" s="1537" t="s">
        <v>5425</v>
      </c>
      <c r="H1464" s="1521">
        <v>1</v>
      </c>
      <c r="I1464" s="1521">
        <v>1</v>
      </c>
      <c r="J1464" s="1538">
        <v>2</v>
      </c>
      <c r="K1464" s="1525"/>
      <c r="L1464" s="1519">
        <v>13121011626</v>
      </c>
      <c r="M1464" s="1520">
        <v>1</v>
      </c>
      <c r="N1464" s="1520">
        <v>1</v>
      </c>
      <c r="O1464" s="1521">
        <v>2</v>
      </c>
    </row>
    <row r="1465" spans="3:15" ht="13.5">
      <c r="C1465" s="1526" t="s">
        <v>5426</v>
      </c>
      <c r="D1465" s="1523">
        <v>0</v>
      </c>
      <c r="E1465" s="1523">
        <v>0</v>
      </c>
      <c r="F1465" s="1524">
        <v>0</v>
      </c>
      <c r="G1465" s="1537" t="s">
        <v>5426</v>
      </c>
      <c r="H1465" s="1521">
        <v>0</v>
      </c>
      <c r="I1465" s="1521">
        <v>0</v>
      </c>
      <c r="J1465" s="1538">
        <v>0</v>
      </c>
      <c r="K1465" s="1525"/>
      <c r="L1465" s="1519">
        <v>13121011800</v>
      </c>
      <c r="M1465" s="1520">
        <v>0</v>
      </c>
      <c r="N1465" s="1520">
        <v>0</v>
      </c>
      <c r="O1465" s="1521">
        <v>0</v>
      </c>
    </row>
    <row r="1466" spans="3:15" ht="13.5">
      <c r="C1466" s="1526" t="s">
        <v>5427</v>
      </c>
      <c r="D1466" s="1523">
        <v>0</v>
      </c>
      <c r="E1466" s="1523">
        <v>0</v>
      </c>
      <c r="F1466" s="1524">
        <v>0</v>
      </c>
      <c r="G1466" s="1537" t="s">
        <v>5427</v>
      </c>
      <c r="H1466" s="1521">
        <v>0</v>
      </c>
      <c r="I1466" s="1521" t="s">
        <v>4099</v>
      </c>
      <c r="J1466" s="1538">
        <v>0</v>
      </c>
      <c r="K1466" s="1525"/>
      <c r="L1466" s="1519">
        <v>13121011900</v>
      </c>
      <c r="M1466" s="1520">
        <v>0</v>
      </c>
      <c r="N1466" s="1520">
        <v>0</v>
      </c>
      <c r="O1466" s="1521">
        <v>0</v>
      </c>
    </row>
    <row r="1467" spans="3:15" ht="13.5">
      <c r="C1467" s="1526" t="s">
        <v>5428</v>
      </c>
      <c r="D1467" s="1523">
        <v>0</v>
      </c>
      <c r="E1467" s="1523">
        <v>0</v>
      </c>
      <c r="F1467" s="1524">
        <v>0</v>
      </c>
      <c r="G1467" s="1537" t="s">
        <v>5428</v>
      </c>
      <c r="H1467" s="1521">
        <v>0</v>
      </c>
      <c r="I1467" s="1521">
        <v>0</v>
      </c>
      <c r="J1467" s="1538">
        <v>0</v>
      </c>
      <c r="K1467" s="1525"/>
      <c r="L1467" s="1519">
        <v>13121012000</v>
      </c>
      <c r="M1467" s="1520">
        <v>0</v>
      </c>
      <c r="N1467" s="1520">
        <v>0</v>
      </c>
      <c r="O1467" s="1521">
        <v>0</v>
      </c>
    </row>
    <row r="1468" spans="3:15" ht="13.5">
      <c r="C1468" s="1526" t="s">
        <v>5429</v>
      </c>
      <c r="D1468" s="1523">
        <v>1</v>
      </c>
      <c r="E1468" s="1523">
        <v>0</v>
      </c>
      <c r="F1468" s="1524">
        <v>1</v>
      </c>
      <c r="G1468" s="1537" t="s">
        <v>5429</v>
      </c>
      <c r="H1468" s="1521">
        <v>1</v>
      </c>
      <c r="I1468" s="1521">
        <v>0</v>
      </c>
      <c r="J1468" s="1538">
        <v>1</v>
      </c>
      <c r="K1468" s="1525"/>
      <c r="L1468" s="1519">
        <v>13121012300</v>
      </c>
      <c r="M1468" s="1520">
        <v>1</v>
      </c>
      <c r="N1468" s="1520">
        <v>0</v>
      </c>
      <c r="O1468" s="1521">
        <v>1</v>
      </c>
    </row>
    <row r="1469" spans="3:15" ht="13.5">
      <c r="C1469" s="1526" t="s">
        <v>5430</v>
      </c>
      <c r="D1469" s="1523" t="s">
        <v>4099</v>
      </c>
      <c r="E1469" s="1523" t="s">
        <v>4099</v>
      </c>
      <c r="F1469" s="1524">
        <v>0</v>
      </c>
      <c r="G1469" s="1537" t="s">
        <v>5430</v>
      </c>
      <c r="H1469" s="1521" t="s">
        <v>4099</v>
      </c>
      <c r="I1469" s="1521" t="s">
        <v>4099</v>
      </c>
      <c r="J1469" s="1538">
        <v>0</v>
      </c>
      <c r="K1469" s="1525"/>
      <c r="L1469" s="1519">
        <v>13121980000</v>
      </c>
      <c r="M1469" s="1520">
        <v>0</v>
      </c>
      <c r="N1469" s="1520">
        <v>0</v>
      </c>
      <c r="O1469" s="1521">
        <v>0</v>
      </c>
    </row>
    <row r="1470" spans="3:15" ht="13.5">
      <c r="C1470" s="1526" t="s">
        <v>5431</v>
      </c>
      <c r="D1470" s="1523">
        <v>0</v>
      </c>
      <c r="E1470" s="1523">
        <v>0</v>
      </c>
      <c r="F1470" s="1524">
        <v>0</v>
      </c>
      <c r="G1470" s="1537" t="s">
        <v>5431</v>
      </c>
      <c r="H1470" s="1521">
        <v>0</v>
      </c>
      <c r="I1470" s="1521">
        <v>1</v>
      </c>
      <c r="J1470" s="1538">
        <v>1</v>
      </c>
      <c r="K1470" s="1525"/>
      <c r="L1470" s="1519">
        <v>13123080100</v>
      </c>
      <c r="M1470" s="1520">
        <v>0</v>
      </c>
      <c r="N1470" s="1520">
        <v>1</v>
      </c>
      <c r="O1470" s="1521">
        <v>1</v>
      </c>
    </row>
    <row r="1471" spans="3:15" ht="13.5">
      <c r="C1471" s="1526" t="s">
        <v>5432</v>
      </c>
      <c r="D1471" s="1523">
        <v>0</v>
      </c>
      <c r="E1471" s="1523">
        <v>0</v>
      </c>
      <c r="F1471" s="1524">
        <v>0</v>
      </c>
      <c r="G1471" s="1537" t="s">
        <v>5432</v>
      </c>
      <c r="H1471" s="1521">
        <v>0</v>
      </c>
      <c r="I1471" s="1521">
        <v>0</v>
      </c>
      <c r="J1471" s="1538">
        <v>0</v>
      </c>
      <c r="K1471" s="1525"/>
      <c r="L1471" s="1519">
        <v>13123080200</v>
      </c>
      <c r="M1471" s="1520">
        <v>0</v>
      </c>
      <c r="N1471" s="1520">
        <v>0</v>
      </c>
      <c r="O1471" s="1521">
        <v>0</v>
      </c>
    </row>
    <row r="1472" spans="3:15" ht="13.5">
      <c r="C1472" s="1526" t="s">
        <v>5433</v>
      </c>
      <c r="D1472" s="1523">
        <v>0</v>
      </c>
      <c r="E1472" s="1523">
        <v>0</v>
      </c>
      <c r="F1472" s="1524">
        <v>0</v>
      </c>
      <c r="G1472" s="1537" t="s">
        <v>5433</v>
      </c>
      <c r="H1472" s="1521">
        <v>0</v>
      </c>
      <c r="I1472" s="1521">
        <v>0</v>
      </c>
      <c r="J1472" s="1538">
        <v>0</v>
      </c>
      <c r="K1472" s="1525"/>
      <c r="L1472" s="1519">
        <v>13123080300</v>
      </c>
      <c r="M1472" s="1520">
        <v>0</v>
      </c>
      <c r="N1472" s="1520">
        <v>0</v>
      </c>
      <c r="O1472" s="1521">
        <v>0</v>
      </c>
    </row>
    <row r="1473" spans="3:15" ht="13.5">
      <c r="C1473" s="1526" t="s">
        <v>5434</v>
      </c>
      <c r="D1473" s="1523">
        <v>0</v>
      </c>
      <c r="E1473" s="1523">
        <v>0</v>
      </c>
      <c r="F1473" s="1524">
        <v>0</v>
      </c>
      <c r="G1473" s="1537" t="s">
        <v>5434</v>
      </c>
      <c r="H1473" s="1521">
        <v>0</v>
      </c>
      <c r="I1473" s="1521">
        <v>0</v>
      </c>
      <c r="J1473" s="1538">
        <v>0</v>
      </c>
      <c r="K1473" s="1525"/>
      <c r="L1473" s="1519">
        <v>13123080400</v>
      </c>
      <c r="M1473" s="1520">
        <v>0</v>
      </c>
      <c r="N1473" s="1520">
        <v>0</v>
      </c>
      <c r="O1473" s="1521">
        <v>0</v>
      </c>
    </row>
    <row r="1474" spans="3:15" ht="13.5">
      <c r="C1474" s="1526" t="s">
        <v>5435</v>
      </c>
      <c r="D1474" s="1523">
        <v>0</v>
      </c>
      <c r="E1474" s="1523">
        <v>0</v>
      </c>
      <c r="F1474" s="1524">
        <v>0</v>
      </c>
      <c r="G1474" s="1537" t="s">
        <v>5435</v>
      </c>
      <c r="H1474" s="1521">
        <v>0</v>
      </c>
      <c r="I1474" s="1521">
        <v>1</v>
      </c>
      <c r="J1474" s="1538">
        <v>1</v>
      </c>
      <c r="K1474" s="1525"/>
      <c r="L1474" s="1519">
        <v>13123080500</v>
      </c>
      <c r="M1474" s="1520">
        <v>0</v>
      </c>
      <c r="N1474" s="1520">
        <v>1</v>
      </c>
      <c r="O1474" s="1521">
        <v>1</v>
      </c>
    </row>
    <row r="1475" spans="3:15" ht="13.5">
      <c r="C1475" s="1526" t="s">
        <v>5436</v>
      </c>
      <c r="D1475" s="1523">
        <v>0</v>
      </c>
      <c r="E1475" s="1523">
        <v>0</v>
      </c>
      <c r="F1475" s="1524">
        <v>0</v>
      </c>
      <c r="G1475" s="1537" t="s">
        <v>5436</v>
      </c>
      <c r="H1475" s="1521">
        <v>0</v>
      </c>
      <c r="I1475" s="1521">
        <v>1</v>
      </c>
      <c r="J1475" s="1538">
        <v>1</v>
      </c>
      <c r="K1475" s="1525"/>
      <c r="L1475" s="1519">
        <v>13125010100</v>
      </c>
      <c r="M1475" s="1520">
        <v>0</v>
      </c>
      <c r="N1475" s="1520">
        <v>1</v>
      </c>
      <c r="O1475" s="1521">
        <v>1</v>
      </c>
    </row>
    <row r="1476" spans="3:15" ht="13.5">
      <c r="C1476" s="1526" t="s">
        <v>5437</v>
      </c>
      <c r="D1476" s="1523">
        <v>1</v>
      </c>
      <c r="E1476" s="1523">
        <v>1</v>
      </c>
      <c r="F1476" s="1524">
        <v>2</v>
      </c>
      <c r="G1476" s="1537" t="s">
        <v>5437</v>
      </c>
      <c r="H1476" s="1521">
        <v>1</v>
      </c>
      <c r="I1476" s="1521">
        <v>1</v>
      </c>
      <c r="J1476" s="1538">
        <v>2</v>
      </c>
      <c r="K1476" s="1525"/>
      <c r="L1476" s="1519">
        <v>13127000101</v>
      </c>
      <c r="M1476" s="1520">
        <v>1</v>
      </c>
      <c r="N1476" s="1520">
        <v>1</v>
      </c>
      <c r="O1476" s="1521">
        <v>2</v>
      </c>
    </row>
    <row r="1477" spans="3:15" ht="13.5">
      <c r="C1477" s="1526" t="s">
        <v>5438</v>
      </c>
      <c r="D1477" s="1523">
        <v>1</v>
      </c>
      <c r="E1477" s="1523">
        <v>1</v>
      </c>
      <c r="F1477" s="1524">
        <v>2</v>
      </c>
      <c r="G1477" s="1537" t="s">
        <v>5438</v>
      </c>
      <c r="H1477" s="1521">
        <v>1</v>
      </c>
      <c r="I1477" s="1521">
        <v>1</v>
      </c>
      <c r="J1477" s="1538">
        <v>2</v>
      </c>
      <c r="K1477" s="1525"/>
      <c r="L1477" s="1519">
        <v>13127000102</v>
      </c>
      <c r="M1477" s="1520">
        <v>1</v>
      </c>
      <c r="N1477" s="1520">
        <v>1</v>
      </c>
      <c r="O1477" s="1521">
        <v>2</v>
      </c>
    </row>
    <row r="1478" spans="3:15" ht="13.5">
      <c r="C1478" s="1526" t="s">
        <v>5439</v>
      </c>
      <c r="D1478" s="1523">
        <v>1</v>
      </c>
      <c r="E1478" s="1523">
        <v>1</v>
      </c>
      <c r="F1478" s="1524">
        <v>2</v>
      </c>
      <c r="G1478" s="1537" t="s">
        <v>5439</v>
      </c>
      <c r="H1478" s="1521">
        <v>1</v>
      </c>
      <c r="I1478" s="1521">
        <v>1</v>
      </c>
      <c r="J1478" s="1538">
        <v>2</v>
      </c>
      <c r="K1478" s="1525"/>
      <c r="L1478" s="1519">
        <v>13127000200</v>
      </c>
      <c r="M1478" s="1520">
        <v>1</v>
      </c>
      <c r="N1478" s="1520">
        <v>1</v>
      </c>
      <c r="O1478" s="1521">
        <v>2</v>
      </c>
    </row>
    <row r="1479" spans="3:15" ht="13.5">
      <c r="C1479" s="1526" t="s">
        <v>5440</v>
      </c>
      <c r="D1479" s="1523">
        <v>1</v>
      </c>
      <c r="E1479" s="1523">
        <v>1</v>
      </c>
      <c r="F1479" s="1524">
        <v>2</v>
      </c>
      <c r="G1479" s="1537" t="s">
        <v>5440</v>
      </c>
      <c r="H1479" s="1521">
        <v>1</v>
      </c>
      <c r="I1479" s="1521">
        <v>1</v>
      </c>
      <c r="J1479" s="1538">
        <v>2</v>
      </c>
      <c r="K1479" s="1525"/>
      <c r="L1479" s="1519">
        <v>13127000300</v>
      </c>
      <c r="M1479" s="1520">
        <v>1</v>
      </c>
      <c r="N1479" s="1520">
        <v>1</v>
      </c>
      <c r="O1479" s="1521">
        <v>2</v>
      </c>
    </row>
    <row r="1480" spans="3:15" ht="13.5">
      <c r="C1480" s="1526" t="s">
        <v>5441</v>
      </c>
      <c r="D1480" s="1523">
        <v>1</v>
      </c>
      <c r="E1480" s="1523">
        <v>0</v>
      </c>
      <c r="F1480" s="1524">
        <v>1</v>
      </c>
      <c r="G1480" s="1537" t="s">
        <v>5441</v>
      </c>
      <c r="H1480" s="1521">
        <v>0</v>
      </c>
      <c r="I1480" s="1521">
        <v>0</v>
      </c>
      <c r="J1480" s="1538">
        <v>0</v>
      </c>
      <c r="K1480" s="1525"/>
      <c r="L1480" s="1519">
        <v>13127000401</v>
      </c>
      <c r="M1480" s="1520">
        <v>1</v>
      </c>
      <c r="N1480" s="1520">
        <v>0</v>
      </c>
      <c r="O1480" s="1521">
        <v>1</v>
      </c>
    </row>
    <row r="1481" spans="3:15" ht="13.5">
      <c r="C1481" s="1526" t="s">
        <v>5442</v>
      </c>
      <c r="D1481" s="1523">
        <v>0</v>
      </c>
      <c r="E1481" s="1523">
        <v>1</v>
      </c>
      <c r="F1481" s="1524">
        <v>1</v>
      </c>
      <c r="G1481" s="1537" t="s">
        <v>5442</v>
      </c>
      <c r="H1481" s="1521">
        <v>0</v>
      </c>
      <c r="I1481" s="1521">
        <v>1</v>
      </c>
      <c r="J1481" s="1538">
        <v>1</v>
      </c>
      <c r="K1481" s="1525"/>
      <c r="L1481" s="1519">
        <v>13127000403</v>
      </c>
      <c r="M1481" s="1520">
        <v>0</v>
      </c>
      <c r="N1481" s="1520">
        <v>1</v>
      </c>
      <c r="O1481" s="1521">
        <v>1</v>
      </c>
    </row>
    <row r="1482" spans="3:15" ht="13.5">
      <c r="C1482" s="1526" t="s">
        <v>5443</v>
      </c>
      <c r="D1482" s="1523">
        <v>0</v>
      </c>
      <c r="E1482" s="1523">
        <v>1</v>
      </c>
      <c r="F1482" s="1524">
        <v>1</v>
      </c>
      <c r="G1482" s="1537" t="s">
        <v>5443</v>
      </c>
      <c r="H1482" s="1521">
        <v>0</v>
      </c>
      <c r="I1482" s="1521">
        <v>1</v>
      </c>
      <c r="J1482" s="1538">
        <v>1</v>
      </c>
      <c r="K1482" s="1525"/>
      <c r="L1482" s="1519">
        <v>13127000404</v>
      </c>
      <c r="M1482" s="1520">
        <v>0</v>
      </c>
      <c r="N1482" s="1520">
        <v>1</v>
      </c>
      <c r="O1482" s="1521">
        <v>1</v>
      </c>
    </row>
    <row r="1483" spans="3:15" ht="13.5">
      <c r="C1483" s="1526" t="s">
        <v>5444</v>
      </c>
      <c r="D1483" s="1523">
        <v>0</v>
      </c>
      <c r="E1483" s="1523">
        <v>0</v>
      </c>
      <c r="F1483" s="1524">
        <v>0</v>
      </c>
      <c r="G1483" s="1537" t="s">
        <v>5444</v>
      </c>
      <c r="H1483" s="1521">
        <v>0</v>
      </c>
      <c r="I1483" s="1521">
        <v>0</v>
      </c>
      <c r="J1483" s="1538">
        <v>0</v>
      </c>
      <c r="K1483" s="1525"/>
      <c r="L1483" s="1519">
        <v>13127000501</v>
      </c>
      <c r="M1483" s="1520">
        <v>0</v>
      </c>
      <c r="N1483" s="1520">
        <v>0</v>
      </c>
      <c r="O1483" s="1521">
        <v>0</v>
      </c>
    </row>
    <row r="1484" spans="3:15" ht="13.5">
      <c r="C1484" s="1526" t="s">
        <v>5445</v>
      </c>
      <c r="D1484" s="1523">
        <v>0</v>
      </c>
      <c r="E1484" s="1523">
        <v>0</v>
      </c>
      <c r="F1484" s="1524">
        <v>0</v>
      </c>
      <c r="G1484" s="1537" t="s">
        <v>5445</v>
      </c>
      <c r="H1484" s="1521">
        <v>0</v>
      </c>
      <c r="I1484" s="1521">
        <v>0</v>
      </c>
      <c r="J1484" s="1538">
        <v>0</v>
      </c>
      <c r="K1484" s="1525"/>
      <c r="L1484" s="1519">
        <v>13127000503</v>
      </c>
      <c r="M1484" s="1520">
        <v>0</v>
      </c>
      <c r="N1484" s="1520">
        <v>0</v>
      </c>
      <c r="O1484" s="1521">
        <v>0</v>
      </c>
    </row>
    <row r="1485" spans="3:15" ht="13.5">
      <c r="C1485" s="1526" t="s">
        <v>5446</v>
      </c>
      <c r="D1485" s="1523">
        <v>0</v>
      </c>
      <c r="E1485" s="1523">
        <v>0</v>
      </c>
      <c r="F1485" s="1524">
        <v>0</v>
      </c>
      <c r="G1485" s="1537" t="s">
        <v>5446</v>
      </c>
      <c r="H1485" s="1521">
        <v>0</v>
      </c>
      <c r="I1485" s="1521">
        <v>0</v>
      </c>
      <c r="J1485" s="1538">
        <v>0</v>
      </c>
      <c r="K1485" s="1525"/>
      <c r="L1485" s="1519">
        <v>13127000504</v>
      </c>
      <c r="M1485" s="1520">
        <v>0</v>
      </c>
      <c r="N1485" s="1520">
        <v>0</v>
      </c>
      <c r="O1485" s="1521">
        <v>0</v>
      </c>
    </row>
    <row r="1486" spans="3:15" ht="13.5">
      <c r="C1486" s="1526" t="s">
        <v>5447</v>
      </c>
      <c r="D1486" s="1523">
        <v>0</v>
      </c>
      <c r="E1486" s="1523">
        <v>0</v>
      </c>
      <c r="F1486" s="1524">
        <v>0</v>
      </c>
      <c r="G1486" s="1537" t="s">
        <v>5447</v>
      </c>
      <c r="H1486" s="1521">
        <v>0</v>
      </c>
      <c r="I1486" s="1521">
        <v>0</v>
      </c>
      <c r="J1486" s="1538">
        <v>0</v>
      </c>
      <c r="K1486" s="1525"/>
      <c r="L1486" s="1519">
        <v>13127000600</v>
      </c>
      <c r="M1486" s="1520">
        <v>0</v>
      </c>
      <c r="N1486" s="1520">
        <v>0</v>
      </c>
      <c r="O1486" s="1521">
        <v>0</v>
      </c>
    </row>
    <row r="1487" spans="3:15" ht="13.5">
      <c r="C1487" s="1526" t="s">
        <v>5448</v>
      </c>
      <c r="D1487" s="1523">
        <v>0</v>
      </c>
      <c r="E1487" s="1523">
        <v>0</v>
      </c>
      <c r="F1487" s="1524">
        <v>0</v>
      </c>
      <c r="G1487" s="1537" t="s">
        <v>5448</v>
      </c>
      <c r="H1487" s="1521">
        <v>0</v>
      </c>
      <c r="I1487" s="1521">
        <v>0</v>
      </c>
      <c r="J1487" s="1538">
        <v>0</v>
      </c>
      <c r="K1487" s="1525"/>
      <c r="L1487" s="1519">
        <v>13127000700</v>
      </c>
      <c r="M1487" s="1520">
        <v>0</v>
      </c>
      <c r="N1487" s="1520">
        <v>0</v>
      </c>
      <c r="O1487" s="1521">
        <v>0</v>
      </c>
    </row>
    <row r="1488" spans="3:15" ht="13.5">
      <c r="C1488" s="1526" t="s">
        <v>5449</v>
      </c>
      <c r="D1488" s="1523">
        <v>0</v>
      </c>
      <c r="E1488" s="1523">
        <v>0</v>
      </c>
      <c r="F1488" s="1524">
        <v>0</v>
      </c>
      <c r="G1488" s="1537" t="s">
        <v>5449</v>
      </c>
      <c r="H1488" s="1521">
        <v>0</v>
      </c>
      <c r="I1488" s="1521">
        <v>0</v>
      </c>
      <c r="J1488" s="1538">
        <v>0</v>
      </c>
      <c r="K1488" s="1525"/>
      <c r="L1488" s="1519">
        <v>13127000800</v>
      </c>
      <c r="M1488" s="1520">
        <v>0</v>
      </c>
      <c r="N1488" s="1520">
        <v>0</v>
      </c>
      <c r="O1488" s="1521">
        <v>0</v>
      </c>
    </row>
    <row r="1489" spans="3:15" ht="13.5">
      <c r="C1489" s="1526" t="s">
        <v>5450</v>
      </c>
      <c r="D1489" s="1523">
        <v>0</v>
      </c>
      <c r="E1489" s="1523">
        <v>0</v>
      </c>
      <c r="F1489" s="1524">
        <v>0</v>
      </c>
      <c r="G1489" s="1537" t="s">
        <v>5450</v>
      </c>
      <c r="H1489" s="1521">
        <v>0</v>
      </c>
      <c r="I1489" s="1521">
        <v>0</v>
      </c>
      <c r="J1489" s="1538">
        <v>0</v>
      </c>
      <c r="K1489" s="1525"/>
      <c r="L1489" s="1519">
        <v>13127000900</v>
      </c>
      <c r="M1489" s="1520">
        <v>0</v>
      </c>
      <c r="N1489" s="1520">
        <v>0</v>
      </c>
      <c r="O1489" s="1521">
        <v>0</v>
      </c>
    </row>
    <row r="1490" spans="3:15" ht="13.5">
      <c r="C1490" s="1526" t="s">
        <v>5451</v>
      </c>
      <c r="D1490" s="1523">
        <v>1</v>
      </c>
      <c r="E1490" s="1523">
        <v>1</v>
      </c>
      <c r="F1490" s="1524">
        <v>2</v>
      </c>
      <c r="G1490" s="1537" t="s">
        <v>5451</v>
      </c>
      <c r="H1490" s="1521">
        <v>1</v>
      </c>
      <c r="I1490" s="1521">
        <v>0</v>
      </c>
      <c r="J1490" s="1538">
        <v>1</v>
      </c>
      <c r="K1490" s="1525"/>
      <c r="L1490" s="1519">
        <v>13127001000</v>
      </c>
      <c r="M1490" s="1520">
        <v>1</v>
      </c>
      <c r="N1490" s="1520">
        <v>1</v>
      </c>
      <c r="O1490" s="1521">
        <v>2</v>
      </c>
    </row>
    <row r="1491" spans="3:15" ht="13.5">
      <c r="C1491" s="1526" t="s">
        <v>5452</v>
      </c>
      <c r="D1491" s="1523" t="s">
        <v>4099</v>
      </c>
      <c r="E1491" s="1523" t="s">
        <v>4099</v>
      </c>
      <c r="F1491" s="1524">
        <v>0</v>
      </c>
      <c r="G1491" s="1537" t="s">
        <v>5452</v>
      </c>
      <c r="H1491" s="1521" t="s">
        <v>4099</v>
      </c>
      <c r="I1491" s="1521" t="s">
        <v>4099</v>
      </c>
      <c r="J1491" s="1538">
        <v>0</v>
      </c>
      <c r="K1491" s="1525"/>
      <c r="L1491" s="1519">
        <v>13127990000</v>
      </c>
      <c r="M1491" s="1520">
        <v>0</v>
      </c>
      <c r="N1491" s="1520">
        <v>0</v>
      </c>
      <c r="O1491" s="1521">
        <v>0</v>
      </c>
    </row>
    <row r="1492" spans="3:15" ht="13.5">
      <c r="C1492" s="1526" t="s">
        <v>5453</v>
      </c>
      <c r="D1492" s="1523">
        <v>0</v>
      </c>
      <c r="E1492" s="1523">
        <v>0</v>
      </c>
      <c r="F1492" s="1524">
        <v>0</v>
      </c>
      <c r="G1492" s="1537" t="s">
        <v>5453</v>
      </c>
      <c r="H1492" s="1521">
        <v>0</v>
      </c>
      <c r="I1492" s="1521">
        <v>0</v>
      </c>
      <c r="J1492" s="1538">
        <v>0</v>
      </c>
      <c r="K1492" s="1525"/>
      <c r="L1492" s="1519">
        <v>13129970100</v>
      </c>
      <c r="M1492" s="1520">
        <v>0</v>
      </c>
      <c r="N1492" s="1520">
        <v>0</v>
      </c>
      <c r="O1492" s="1521">
        <v>0</v>
      </c>
    </row>
    <row r="1493" spans="3:15" ht="13.5">
      <c r="C1493" s="1526" t="s">
        <v>5454</v>
      </c>
      <c r="D1493" s="1523">
        <v>0</v>
      </c>
      <c r="E1493" s="1523">
        <v>0</v>
      </c>
      <c r="F1493" s="1524">
        <v>0</v>
      </c>
      <c r="G1493" s="1537" t="s">
        <v>5454</v>
      </c>
      <c r="H1493" s="1521">
        <v>0</v>
      </c>
      <c r="I1493" s="1521">
        <v>0</v>
      </c>
      <c r="J1493" s="1538">
        <v>0</v>
      </c>
      <c r="K1493" s="1525"/>
      <c r="L1493" s="1519">
        <v>13129970200</v>
      </c>
      <c r="M1493" s="1520">
        <v>0</v>
      </c>
      <c r="N1493" s="1520">
        <v>0</v>
      </c>
      <c r="O1493" s="1521">
        <v>0</v>
      </c>
    </row>
    <row r="1494" spans="3:15" ht="13.5">
      <c r="C1494" s="1526" t="s">
        <v>5455</v>
      </c>
      <c r="D1494" s="1523">
        <v>0</v>
      </c>
      <c r="E1494" s="1523">
        <v>0</v>
      </c>
      <c r="F1494" s="1524">
        <v>0</v>
      </c>
      <c r="G1494" s="1537" t="s">
        <v>5455</v>
      </c>
      <c r="H1494" s="1521">
        <v>0</v>
      </c>
      <c r="I1494" s="1521">
        <v>0</v>
      </c>
      <c r="J1494" s="1538">
        <v>0</v>
      </c>
      <c r="K1494" s="1525"/>
      <c r="L1494" s="1519">
        <v>13129970300</v>
      </c>
      <c r="M1494" s="1520">
        <v>0</v>
      </c>
      <c r="N1494" s="1520">
        <v>0</v>
      </c>
      <c r="O1494" s="1521">
        <v>0</v>
      </c>
    </row>
    <row r="1495" spans="3:15" ht="13.5">
      <c r="C1495" s="1526" t="s">
        <v>5456</v>
      </c>
      <c r="D1495" s="1523">
        <v>0</v>
      </c>
      <c r="E1495" s="1523">
        <v>0</v>
      </c>
      <c r="F1495" s="1524">
        <v>0</v>
      </c>
      <c r="G1495" s="1537" t="s">
        <v>5456</v>
      </c>
      <c r="H1495" s="1521">
        <v>0</v>
      </c>
      <c r="I1495" s="1521">
        <v>0</v>
      </c>
      <c r="J1495" s="1538">
        <v>0</v>
      </c>
      <c r="K1495" s="1525"/>
      <c r="L1495" s="1519">
        <v>13129970400</v>
      </c>
      <c r="M1495" s="1520">
        <v>0</v>
      </c>
      <c r="N1495" s="1520">
        <v>0</v>
      </c>
      <c r="O1495" s="1521">
        <v>0</v>
      </c>
    </row>
    <row r="1496" spans="3:15" ht="13.5">
      <c r="C1496" s="1526" t="s">
        <v>5457</v>
      </c>
      <c r="D1496" s="1523">
        <v>0</v>
      </c>
      <c r="E1496" s="1523">
        <v>0</v>
      </c>
      <c r="F1496" s="1524">
        <v>0</v>
      </c>
      <c r="G1496" s="1537" t="s">
        <v>5457</v>
      </c>
      <c r="H1496" s="1521">
        <v>0</v>
      </c>
      <c r="I1496" s="1521">
        <v>0</v>
      </c>
      <c r="J1496" s="1538">
        <v>0</v>
      </c>
      <c r="K1496" s="1525"/>
      <c r="L1496" s="1519">
        <v>13129970500</v>
      </c>
      <c r="M1496" s="1520">
        <v>0</v>
      </c>
      <c r="N1496" s="1520">
        <v>0</v>
      </c>
      <c r="O1496" s="1521">
        <v>0</v>
      </c>
    </row>
    <row r="1497" spans="3:15" ht="13.5">
      <c r="C1497" s="1526" t="s">
        <v>5458</v>
      </c>
      <c r="D1497" s="1523">
        <v>0</v>
      </c>
      <c r="E1497" s="1523">
        <v>0</v>
      </c>
      <c r="F1497" s="1524">
        <v>0</v>
      </c>
      <c r="G1497" s="1537" t="s">
        <v>5458</v>
      </c>
      <c r="H1497" s="1521">
        <v>0</v>
      </c>
      <c r="I1497" s="1521">
        <v>0</v>
      </c>
      <c r="J1497" s="1538">
        <v>0</v>
      </c>
      <c r="K1497" s="1525"/>
      <c r="L1497" s="1519">
        <v>13129970600</v>
      </c>
      <c r="M1497" s="1520">
        <v>0</v>
      </c>
      <c r="N1497" s="1520">
        <v>0</v>
      </c>
      <c r="O1497" s="1521">
        <v>0</v>
      </c>
    </row>
    <row r="1498" spans="3:15" ht="13.5">
      <c r="C1498" s="1526" t="s">
        <v>5459</v>
      </c>
      <c r="D1498" s="1523">
        <v>0</v>
      </c>
      <c r="E1498" s="1523">
        <v>0</v>
      </c>
      <c r="F1498" s="1524">
        <v>0</v>
      </c>
      <c r="G1498" s="1537" t="s">
        <v>5459</v>
      </c>
      <c r="H1498" s="1521">
        <v>0</v>
      </c>
      <c r="I1498" s="1521">
        <v>0</v>
      </c>
      <c r="J1498" s="1538">
        <v>0</v>
      </c>
      <c r="K1498" s="1525"/>
      <c r="L1498" s="1519">
        <v>13129970700</v>
      </c>
      <c r="M1498" s="1520">
        <v>0</v>
      </c>
      <c r="N1498" s="1520">
        <v>0</v>
      </c>
      <c r="O1498" s="1521">
        <v>0</v>
      </c>
    </row>
    <row r="1499" spans="3:15" ht="13.5">
      <c r="C1499" s="1526" t="s">
        <v>5460</v>
      </c>
      <c r="D1499" s="1523">
        <v>1</v>
      </c>
      <c r="E1499" s="1523">
        <v>1</v>
      </c>
      <c r="F1499" s="1524">
        <v>2</v>
      </c>
      <c r="G1499" s="1537" t="s">
        <v>5460</v>
      </c>
      <c r="H1499" s="1521">
        <v>1</v>
      </c>
      <c r="I1499" s="1521">
        <v>1</v>
      </c>
      <c r="J1499" s="1538">
        <v>2</v>
      </c>
      <c r="K1499" s="1525"/>
      <c r="L1499" s="1519">
        <v>13129970800</v>
      </c>
      <c r="M1499" s="1520">
        <v>1</v>
      </c>
      <c r="N1499" s="1520">
        <v>1</v>
      </c>
      <c r="O1499" s="1521">
        <v>2</v>
      </c>
    </row>
    <row r="1500" spans="3:15" ht="13.5">
      <c r="C1500" s="1526" t="s">
        <v>5461</v>
      </c>
      <c r="D1500" s="1523">
        <v>1</v>
      </c>
      <c r="E1500" s="1523">
        <v>0</v>
      </c>
      <c r="F1500" s="1524">
        <v>1</v>
      </c>
      <c r="G1500" s="1537" t="s">
        <v>5461</v>
      </c>
      <c r="H1500" s="1521">
        <v>1</v>
      </c>
      <c r="I1500" s="1521">
        <v>1</v>
      </c>
      <c r="J1500" s="1538">
        <v>2</v>
      </c>
      <c r="K1500" s="1525"/>
      <c r="L1500" s="1519">
        <v>13129970900</v>
      </c>
      <c r="M1500" s="1520">
        <v>1</v>
      </c>
      <c r="N1500" s="1520">
        <v>1</v>
      </c>
      <c r="O1500" s="1521">
        <v>2</v>
      </c>
    </row>
    <row r="1501" spans="3:15" ht="13.5">
      <c r="C1501" s="1526" t="s">
        <v>5462</v>
      </c>
      <c r="D1501" s="1523">
        <v>0</v>
      </c>
      <c r="E1501" s="1523">
        <v>0</v>
      </c>
      <c r="F1501" s="1524">
        <v>0</v>
      </c>
      <c r="G1501" s="1537" t="s">
        <v>5462</v>
      </c>
      <c r="H1501" s="1521">
        <v>0</v>
      </c>
      <c r="I1501" s="1521">
        <v>1</v>
      </c>
      <c r="J1501" s="1538">
        <v>1</v>
      </c>
      <c r="K1501" s="1525"/>
      <c r="L1501" s="1519">
        <v>13131950100</v>
      </c>
      <c r="M1501" s="1520">
        <v>0</v>
      </c>
      <c r="N1501" s="1520">
        <v>1</v>
      </c>
      <c r="O1501" s="1521">
        <v>1</v>
      </c>
    </row>
    <row r="1502" spans="3:15" ht="13.5">
      <c r="C1502" s="1526" t="s">
        <v>5463</v>
      </c>
      <c r="D1502" s="1523">
        <v>0</v>
      </c>
      <c r="E1502" s="1523">
        <v>0</v>
      </c>
      <c r="F1502" s="1524">
        <v>0</v>
      </c>
      <c r="G1502" s="1537" t="s">
        <v>5463</v>
      </c>
      <c r="H1502" s="1521">
        <v>0</v>
      </c>
      <c r="I1502" s="1521">
        <v>0</v>
      </c>
      <c r="J1502" s="1538">
        <v>0</v>
      </c>
      <c r="K1502" s="1525"/>
      <c r="L1502" s="1519">
        <v>13131950200</v>
      </c>
      <c r="M1502" s="1520">
        <v>0</v>
      </c>
      <c r="N1502" s="1520">
        <v>0</v>
      </c>
      <c r="O1502" s="1521">
        <v>0</v>
      </c>
    </row>
    <row r="1503" spans="3:15" ht="13.5">
      <c r="C1503" s="1526" t="s">
        <v>5464</v>
      </c>
      <c r="D1503" s="1523">
        <v>0</v>
      </c>
      <c r="E1503" s="1523">
        <v>0</v>
      </c>
      <c r="F1503" s="1524">
        <v>0</v>
      </c>
      <c r="G1503" s="1537" t="s">
        <v>5464</v>
      </c>
      <c r="H1503" s="1521">
        <v>0</v>
      </c>
      <c r="I1503" s="1521">
        <v>0</v>
      </c>
      <c r="J1503" s="1538">
        <v>0</v>
      </c>
      <c r="K1503" s="1525"/>
      <c r="L1503" s="1519">
        <v>13131950300</v>
      </c>
      <c r="M1503" s="1520">
        <v>0</v>
      </c>
      <c r="N1503" s="1520">
        <v>0</v>
      </c>
      <c r="O1503" s="1521">
        <v>0</v>
      </c>
    </row>
    <row r="1504" spans="3:15" ht="13.5">
      <c r="C1504" s="1526" t="s">
        <v>5465</v>
      </c>
      <c r="D1504" s="1523">
        <v>0</v>
      </c>
      <c r="E1504" s="1523">
        <v>0</v>
      </c>
      <c r="F1504" s="1524">
        <v>0</v>
      </c>
      <c r="G1504" s="1537" t="s">
        <v>5465</v>
      </c>
      <c r="H1504" s="1521">
        <v>0</v>
      </c>
      <c r="I1504" s="1521">
        <v>0</v>
      </c>
      <c r="J1504" s="1538">
        <v>0</v>
      </c>
      <c r="K1504" s="1525"/>
      <c r="L1504" s="1519">
        <v>13131950400</v>
      </c>
      <c r="M1504" s="1520">
        <v>0</v>
      </c>
      <c r="N1504" s="1520">
        <v>0</v>
      </c>
      <c r="O1504" s="1521">
        <v>0</v>
      </c>
    </row>
    <row r="1505" spans="3:15" ht="13.5">
      <c r="C1505" s="1526" t="s">
        <v>5466</v>
      </c>
      <c r="D1505" s="1523">
        <v>0</v>
      </c>
      <c r="E1505" s="1523">
        <v>0</v>
      </c>
      <c r="F1505" s="1524">
        <v>0</v>
      </c>
      <c r="G1505" s="1537" t="s">
        <v>5466</v>
      </c>
      <c r="H1505" s="1521">
        <v>0</v>
      </c>
      <c r="I1505" s="1521">
        <v>0</v>
      </c>
      <c r="J1505" s="1538">
        <v>0</v>
      </c>
      <c r="K1505" s="1525"/>
      <c r="L1505" s="1519">
        <v>13131950500</v>
      </c>
      <c r="M1505" s="1520">
        <v>0</v>
      </c>
      <c r="N1505" s="1520">
        <v>0</v>
      </c>
      <c r="O1505" s="1521">
        <v>0</v>
      </c>
    </row>
    <row r="1506" spans="3:15" ht="13.5">
      <c r="C1506" s="1526" t="s">
        <v>5467</v>
      </c>
      <c r="D1506" s="1523">
        <v>1</v>
      </c>
      <c r="E1506" s="1523">
        <v>0</v>
      </c>
      <c r="F1506" s="1524">
        <v>1</v>
      </c>
      <c r="G1506" s="1537" t="s">
        <v>5467</v>
      </c>
      <c r="H1506" s="1521">
        <v>1</v>
      </c>
      <c r="I1506" s="1521">
        <v>1</v>
      </c>
      <c r="J1506" s="1538">
        <v>2</v>
      </c>
      <c r="K1506" s="1525"/>
      <c r="L1506" s="1519">
        <v>13131950600</v>
      </c>
      <c r="M1506" s="1520">
        <v>1</v>
      </c>
      <c r="N1506" s="1520">
        <v>1</v>
      </c>
      <c r="O1506" s="1521">
        <v>2</v>
      </c>
    </row>
    <row r="1507" spans="3:15" ht="13.5">
      <c r="C1507" s="1526" t="s">
        <v>5468</v>
      </c>
      <c r="D1507" s="1523">
        <v>0</v>
      </c>
      <c r="E1507" s="1523">
        <v>0</v>
      </c>
      <c r="F1507" s="1524">
        <v>0</v>
      </c>
      <c r="G1507" s="1537" t="s">
        <v>5468</v>
      </c>
      <c r="H1507" s="1521">
        <v>0</v>
      </c>
      <c r="I1507" s="1521" t="s">
        <v>4099</v>
      </c>
      <c r="J1507" s="1538">
        <v>0</v>
      </c>
      <c r="K1507" s="1525"/>
      <c r="L1507" s="1519">
        <v>13133950100</v>
      </c>
      <c r="M1507" s="1520">
        <v>0</v>
      </c>
      <c r="N1507" s="1520">
        <v>0</v>
      </c>
      <c r="O1507" s="1521">
        <v>0</v>
      </c>
    </row>
    <row r="1508" spans="3:15" ht="13.5">
      <c r="C1508" s="1526" t="s">
        <v>5469</v>
      </c>
      <c r="D1508" s="1523">
        <v>0</v>
      </c>
      <c r="E1508" s="1523">
        <v>0</v>
      </c>
      <c r="F1508" s="1524">
        <v>0</v>
      </c>
      <c r="G1508" s="1537" t="s">
        <v>5469</v>
      </c>
      <c r="H1508" s="1521">
        <v>0</v>
      </c>
      <c r="I1508" s="1521">
        <v>0</v>
      </c>
      <c r="J1508" s="1538">
        <v>0</v>
      </c>
      <c r="K1508" s="1525"/>
      <c r="L1508" s="1519">
        <v>13133950200</v>
      </c>
      <c r="M1508" s="1520">
        <v>0</v>
      </c>
      <c r="N1508" s="1520">
        <v>0</v>
      </c>
      <c r="O1508" s="1521">
        <v>0</v>
      </c>
    </row>
    <row r="1509" spans="3:15" ht="13.5">
      <c r="C1509" s="1526" t="s">
        <v>5470</v>
      </c>
      <c r="D1509" s="1523">
        <v>1</v>
      </c>
      <c r="E1509" s="1523">
        <v>1</v>
      </c>
      <c r="F1509" s="1524">
        <v>2</v>
      </c>
      <c r="G1509" s="1537" t="s">
        <v>5470</v>
      </c>
      <c r="H1509" s="1521">
        <v>1</v>
      </c>
      <c r="I1509" s="1521" t="s">
        <v>4099</v>
      </c>
      <c r="J1509" s="1538">
        <v>1</v>
      </c>
      <c r="K1509" s="1525"/>
      <c r="L1509" s="1519">
        <v>13133950301</v>
      </c>
      <c r="M1509" s="1520">
        <v>1</v>
      </c>
      <c r="N1509" s="1520">
        <v>1</v>
      </c>
      <c r="O1509" s="1521">
        <v>2</v>
      </c>
    </row>
    <row r="1510" spans="3:15" ht="13.5">
      <c r="C1510" s="1526" t="s">
        <v>5471</v>
      </c>
      <c r="D1510" s="1523">
        <v>1</v>
      </c>
      <c r="E1510" s="1523">
        <v>1</v>
      </c>
      <c r="F1510" s="1524">
        <v>2</v>
      </c>
      <c r="G1510" s="1537" t="s">
        <v>5471</v>
      </c>
      <c r="H1510" s="1521">
        <v>1</v>
      </c>
      <c r="I1510" s="1521">
        <v>1</v>
      </c>
      <c r="J1510" s="1538">
        <v>2</v>
      </c>
      <c r="K1510" s="1525"/>
      <c r="L1510" s="1519">
        <v>13133950302</v>
      </c>
      <c r="M1510" s="1520">
        <v>1</v>
      </c>
      <c r="N1510" s="1520">
        <v>1</v>
      </c>
      <c r="O1510" s="1521">
        <v>2</v>
      </c>
    </row>
    <row r="1511" spans="3:15" ht="13.5">
      <c r="C1511" s="1526" t="s">
        <v>5472</v>
      </c>
      <c r="D1511" s="1523">
        <v>0</v>
      </c>
      <c r="E1511" s="1523">
        <v>0</v>
      </c>
      <c r="F1511" s="1524">
        <v>0</v>
      </c>
      <c r="G1511" s="1537" t="s">
        <v>5472</v>
      </c>
      <c r="H1511" s="1521">
        <v>0</v>
      </c>
      <c r="I1511" s="1521">
        <v>0</v>
      </c>
      <c r="J1511" s="1538">
        <v>0</v>
      </c>
      <c r="K1511" s="1525"/>
      <c r="L1511" s="1519">
        <v>13133950303</v>
      </c>
      <c r="M1511" s="1520">
        <v>0</v>
      </c>
      <c r="N1511" s="1520">
        <v>0</v>
      </c>
      <c r="O1511" s="1521">
        <v>0</v>
      </c>
    </row>
    <row r="1512" spans="3:15" ht="13.5">
      <c r="C1512" s="1526" t="s">
        <v>5473</v>
      </c>
      <c r="D1512" s="1523">
        <v>0</v>
      </c>
      <c r="E1512" s="1523">
        <v>0</v>
      </c>
      <c r="F1512" s="1524">
        <v>0</v>
      </c>
      <c r="G1512" s="1537" t="s">
        <v>5473</v>
      </c>
      <c r="H1512" s="1521">
        <v>0</v>
      </c>
      <c r="I1512" s="1521">
        <v>0</v>
      </c>
      <c r="J1512" s="1538">
        <v>0</v>
      </c>
      <c r="K1512" s="1525"/>
      <c r="L1512" s="1519">
        <v>13133950400</v>
      </c>
      <c r="M1512" s="1520">
        <v>0</v>
      </c>
      <c r="N1512" s="1520">
        <v>0</v>
      </c>
      <c r="O1512" s="1521">
        <v>0</v>
      </c>
    </row>
    <row r="1513" spans="3:15" ht="13.5">
      <c r="C1513" s="1526" t="s">
        <v>5474</v>
      </c>
      <c r="D1513" s="1523">
        <v>1</v>
      </c>
      <c r="E1513" s="1523">
        <v>0</v>
      </c>
      <c r="F1513" s="1524">
        <v>1</v>
      </c>
      <c r="G1513" s="1537" t="s">
        <v>5474</v>
      </c>
      <c r="H1513" s="1521">
        <v>0</v>
      </c>
      <c r="I1513" s="1521">
        <v>0</v>
      </c>
      <c r="J1513" s="1538">
        <v>0</v>
      </c>
      <c r="K1513" s="1525"/>
      <c r="L1513" s="1519">
        <v>13133950500</v>
      </c>
      <c r="M1513" s="1520">
        <v>1</v>
      </c>
      <c r="N1513" s="1520">
        <v>0</v>
      </c>
      <c r="O1513" s="1521">
        <v>1</v>
      </c>
    </row>
    <row r="1514" spans="3:15" ht="13.5">
      <c r="C1514" s="1526" t="s">
        <v>5475</v>
      </c>
      <c r="D1514" s="1523">
        <v>1</v>
      </c>
      <c r="E1514" s="1523">
        <v>1</v>
      </c>
      <c r="F1514" s="1524">
        <v>2</v>
      </c>
      <c r="G1514" s="1537" t="s">
        <v>5475</v>
      </c>
      <c r="H1514" s="1521">
        <v>1</v>
      </c>
      <c r="I1514" s="1521">
        <v>0</v>
      </c>
      <c r="J1514" s="1538">
        <v>1</v>
      </c>
      <c r="K1514" s="1525"/>
      <c r="L1514" s="1519">
        <v>13135050103</v>
      </c>
      <c r="M1514" s="1520">
        <v>1</v>
      </c>
      <c r="N1514" s="1520">
        <v>1</v>
      </c>
      <c r="O1514" s="1521">
        <v>2</v>
      </c>
    </row>
    <row r="1515" spans="3:15" ht="13.5">
      <c r="C1515" s="1526" t="s">
        <v>5476</v>
      </c>
      <c r="D1515" s="1523">
        <v>0</v>
      </c>
      <c r="E1515" s="1523">
        <v>0</v>
      </c>
      <c r="F1515" s="1524">
        <v>0</v>
      </c>
      <c r="G1515" s="1537" t="s">
        <v>5476</v>
      </c>
      <c r="H1515" s="1521">
        <v>0</v>
      </c>
      <c r="I1515" s="1521">
        <v>0</v>
      </c>
      <c r="J1515" s="1538">
        <v>0</v>
      </c>
      <c r="K1515" s="1525"/>
      <c r="L1515" s="1519">
        <v>13135050105</v>
      </c>
      <c r="M1515" s="1520">
        <v>0</v>
      </c>
      <c r="N1515" s="1520">
        <v>0</v>
      </c>
      <c r="O1515" s="1521">
        <v>0</v>
      </c>
    </row>
    <row r="1516" spans="3:15" ht="13.5">
      <c r="C1516" s="1526" t="s">
        <v>5477</v>
      </c>
      <c r="D1516" s="1523">
        <v>1</v>
      </c>
      <c r="E1516" s="1523">
        <v>0</v>
      </c>
      <c r="F1516" s="1524">
        <v>1</v>
      </c>
      <c r="G1516" s="1537" t="s">
        <v>5477</v>
      </c>
      <c r="H1516" s="1521">
        <v>1</v>
      </c>
      <c r="I1516" s="1521">
        <v>0</v>
      </c>
      <c r="J1516" s="1538">
        <v>1</v>
      </c>
      <c r="K1516" s="1525"/>
      <c r="L1516" s="1519">
        <v>13135050106</v>
      </c>
      <c r="M1516" s="1520">
        <v>1</v>
      </c>
      <c r="N1516" s="1520">
        <v>0</v>
      </c>
      <c r="O1516" s="1521">
        <v>1</v>
      </c>
    </row>
    <row r="1517" spans="3:15" ht="13.5">
      <c r="C1517" s="1526" t="s">
        <v>5478</v>
      </c>
      <c r="D1517" s="1523">
        <v>1</v>
      </c>
      <c r="E1517" s="1523">
        <v>1</v>
      </c>
      <c r="F1517" s="1524">
        <v>2</v>
      </c>
      <c r="G1517" s="1537" t="s">
        <v>5478</v>
      </c>
      <c r="H1517" s="1521">
        <v>1</v>
      </c>
      <c r="I1517" s="1521">
        <v>1</v>
      </c>
      <c r="J1517" s="1538">
        <v>2</v>
      </c>
      <c r="K1517" s="1525"/>
      <c r="L1517" s="1519">
        <v>13135050107</v>
      </c>
      <c r="M1517" s="1520">
        <v>1</v>
      </c>
      <c r="N1517" s="1520">
        <v>1</v>
      </c>
      <c r="O1517" s="1521">
        <v>2</v>
      </c>
    </row>
    <row r="1518" spans="3:15" ht="13.5">
      <c r="C1518" s="1526" t="s">
        <v>5479</v>
      </c>
      <c r="D1518" s="1523">
        <v>1</v>
      </c>
      <c r="E1518" s="1523">
        <v>1</v>
      </c>
      <c r="F1518" s="1524">
        <v>2</v>
      </c>
      <c r="G1518" s="1537" t="s">
        <v>5479</v>
      </c>
      <c r="H1518" s="1521">
        <v>1</v>
      </c>
      <c r="I1518" s="1521">
        <v>1</v>
      </c>
      <c r="J1518" s="1538">
        <v>2</v>
      </c>
      <c r="K1518" s="1525"/>
      <c r="L1518" s="1519">
        <v>13135050108</v>
      </c>
      <c r="M1518" s="1520">
        <v>1</v>
      </c>
      <c r="N1518" s="1520">
        <v>1</v>
      </c>
      <c r="O1518" s="1521">
        <v>2</v>
      </c>
    </row>
    <row r="1519" spans="3:15" ht="13.5">
      <c r="C1519" s="1526" t="s">
        <v>5480</v>
      </c>
      <c r="D1519" s="1523">
        <v>1</v>
      </c>
      <c r="E1519" s="1523">
        <v>1</v>
      </c>
      <c r="F1519" s="1524">
        <v>2</v>
      </c>
      <c r="G1519" s="1537" t="s">
        <v>5480</v>
      </c>
      <c r="H1519" s="1521">
        <v>1</v>
      </c>
      <c r="I1519" s="1521">
        <v>0</v>
      </c>
      <c r="J1519" s="1538">
        <v>1</v>
      </c>
      <c r="K1519" s="1525"/>
      <c r="L1519" s="1519">
        <v>13135050109</v>
      </c>
      <c r="M1519" s="1520">
        <v>1</v>
      </c>
      <c r="N1519" s="1520">
        <v>1</v>
      </c>
      <c r="O1519" s="1521">
        <v>2</v>
      </c>
    </row>
    <row r="1520" spans="3:15" ht="13.5">
      <c r="C1520" s="1526" t="s">
        <v>5481</v>
      </c>
      <c r="D1520" s="1523">
        <v>1</v>
      </c>
      <c r="E1520" s="1523">
        <v>0</v>
      </c>
      <c r="F1520" s="1524">
        <v>1</v>
      </c>
      <c r="G1520" s="1537" t="s">
        <v>5481</v>
      </c>
      <c r="H1520" s="1521">
        <v>1</v>
      </c>
      <c r="I1520" s="1521">
        <v>0</v>
      </c>
      <c r="J1520" s="1538">
        <v>1</v>
      </c>
      <c r="K1520" s="1525"/>
      <c r="L1520" s="1519">
        <v>13135050205</v>
      </c>
      <c r="M1520" s="1520">
        <v>1</v>
      </c>
      <c r="N1520" s="1520">
        <v>0</v>
      </c>
      <c r="O1520" s="1521">
        <v>1</v>
      </c>
    </row>
    <row r="1521" spans="3:15" ht="13.5">
      <c r="C1521" s="1526" t="s">
        <v>5482</v>
      </c>
      <c r="D1521" s="1523">
        <v>1</v>
      </c>
      <c r="E1521" s="1523">
        <v>1</v>
      </c>
      <c r="F1521" s="1524">
        <v>2</v>
      </c>
      <c r="G1521" s="1537" t="s">
        <v>5482</v>
      </c>
      <c r="H1521" s="1521">
        <v>1</v>
      </c>
      <c r="I1521" s="1521">
        <v>1</v>
      </c>
      <c r="J1521" s="1538">
        <v>2</v>
      </c>
      <c r="K1521" s="1525"/>
      <c r="L1521" s="1519">
        <v>13135050208</v>
      </c>
      <c r="M1521" s="1520">
        <v>1</v>
      </c>
      <c r="N1521" s="1520">
        <v>1</v>
      </c>
      <c r="O1521" s="1521">
        <v>2</v>
      </c>
    </row>
    <row r="1522" spans="3:15" ht="13.5">
      <c r="C1522" s="1526" t="s">
        <v>5483</v>
      </c>
      <c r="D1522" s="1523">
        <v>0</v>
      </c>
      <c r="E1522" s="1523">
        <v>0</v>
      </c>
      <c r="F1522" s="1524">
        <v>0</v>
      </c>
      <c r="G1522" s="1537" t="s">
        <v>5483</v>
      </c>
      <c r="H1522" s="1521">
        <v>1</v>
      </c>
      <c r="I1522" s="1521">
        <v>0</v>
      </c>
      <c r="J1522" s="1538">
        <v>1</v>
      </c>
      <c r="K1522" s="1525"/>
      <c r="L1522" s="1519">
        <v>13135050209</v>
      </c>
      <c r="M1522" s="1520">
        <v>1</v>
      </c>
      <c r="N1522" s="1520">
        <v>0</v>
      </c>
      <c r="O1522" s="1521">
        <v>1</v>
      </c>
    </row>
    <row r="1523" spans="3:15" ht="13.5">
      <c r="C1523" s="1526" t="s">
        <v>5484</v>
      </c>
      <c r="D1523" s="1523">
        <v>1</v>
      </c>
      <c r="E1523" s="1523">
        <v>1</v>
      </c>
      <c r="F1523" s="1524">
        <v>2</v>
      </c>
      <c r="G1523" s="1537" t="s">
        <v>5484</v>
      </c>
      <c r="H1523" s="1521">
        <v>1</v>
      </c>
      <c r="I1523" s="1521">
        <v>1</v>
      </c>
      <c r="J1523" s="1538">
        <v>2</v>
      </c>
      <c r="K1523" s="1525"/>
      <c r="L1523" s="1519">
        <v>13135050210</v>
      </c>
      <c r="M1523" s="1520">
        <v>1</v>
      </c>
      <c r="N1523" s="1520">
        <v>1</v>
      </c>
      <c r="O1523" s="1521">
        <v>2</v>
      </c>
    </row>
    <row r="1524" spans="3:15" ht="13.5">
      <c r="C1524" s="1526" t="s">
        <v>5485</v>
      </c>
      <c r="D1524" s="1523">
        <v>0</v>
      </c>
      <c r="E1524" s="1523">
        <v>0</v>
      </c>
      <c r="F1524" s="1524">
        <v>0</v>
      </c>
      <c r="G1524" s="1537" t="s">
        <v>5485</v>
      </c>
      <c r="H1524" s="1521">
        <v>0</v>
      </c>
      <c r="I1524" s="1521">
        <v>0</v>
      </c>
      <c r="J1524" s="1538">
        <v>0</v>
      </c>
      <c r="K1524" s="1525"/>
      <c r="L1524" s="1519">
        <v>13135050211</v>
      </c>
      <c r="M1524" s="1520">
        <v>0</v>
      </c>
      <c r="N1524" s="1520">
        <v>0</v>
      </c>
      <c r="O1524" s="1521">
        <v>0</v>
      </c>
    </row>
    <row r="1525" spans="3:15" ht="13.5">
      <c r="C1525" s="1526" t="s">
        <v>5486</v>
      </c>
      <c r="D1525" s="1523">
        <v>1</v>
      </c>
      <c r="E1525" s="1523">
        <v>1</v>
      </c>
      <c r="F1525" s="1524">
        <v>2</v>
      </c>
      <c r="G1525" s="1537" t="s">
        <v>5486</v>
      </c>
      <c r="H1525" s="1521">
        <v>1</v>
      </c>
      <c r="I1525" s="1521">
        <v>1</v>
      </c>
      <c r="J1525" s="1538">
        <v>2</v>
      </c>
      <c r="K1525" s="1525"/>
      <c r="L1525" s="1519">
        <v>13135050212</v>
      </c>
      <c r="M1525" s="1520">
        <v>1</v>
      </c>
      <c r="N1525" s="1520">
        <v>1</v>
      </c>
      <c r="O1525" s="1521">
        <v>2</v>
      </c>
    </row>
    <row r="1526" spans="3:15" ht="13.5">
      <c r="C1526" s="1526" t="s">
        <v>5487</v>
      </c>
      <c r="D1526" s="1523">
        <v>1</v>
      </c>
      <c r="E1526" s="1523">
        <v>1</v>
      </c>
      <c r="F1526" s="1524">
        <v>2</v>
      </c>
      <c r="G1526" s="1537" t="s">
        <v>5487</v>
      </c>
      <c r="H1526" s="1521">
        <v>1</v>
      </c>
      <c r="I1526" s="1521">
        <v>1</v>
      </c>
      <c r="J1526" s="1538">
        <v>2</v>
      </c>
      <c r="K1526" s="1525"/>
      <c r="L1526" s="1519">
        <v>13135050213</v>
      </c>
      <c r="M1526" s="1520">
        <v>1</v>
      </c>
      <c r="N1526" s="1520">
        <v>1</v>
      </c>
      <c r="O1526" s="1521">
        <v>2</v>
      </c>
    </row>
    <row r="1527" spans="3:15" ht="13.5">
      <c r="C1527" s="1526" t="s">
        <v>5488</v>
      </c>
      <c r="D1527" s="1523">
        <v>1</v>
      </c>
      <c r="E1527" s="1523">
        <v>1</v>
      </c>
      <c r="F1527" s="1524">
        <v>2</v>
      </c>
      <c r="G1527" s="1537" t="s">
        <v>5488</v>
      </c>
      <c r="H1527" s="1521">
        <v>1</v>
      </c>
      <c r="I1527" s="1521">
        <v>1</v>
      </c>
      <c r="J1527" s="1538">
        <v>2</v>
      </c>
      <c r="K1527" s="1525"/>
      <c r="L1527" s="1519">
        <v>13135050214</v>
      </c>
      <c r="M1527" s="1520">
        <v>1</v>
      </c>
      <c r="N1527" s="1520">
        <v>1</v>
      </c>
      <c r="O1527" s="1521">
        <v>2</v>
      </c>
    </row>
    <row r="1528" spans="3:15" ht="13.5">
      <c r="C1528" s="1526" t="s">
        <v>5489</v>
      </c>
      <c r="D1528" s="1523">
        <v>1</v>
      </c>
      <c r="E1528" s="1523">
        <v>1</v>
      </c>
      <c r="F1528" s="1524">
        <v>2</v>
      </c>
      <c r="G1528" s="1537" t="s">
        <v>5489</v>
      </c>
      <c r="H1528" s="1521">
        <v>1</v>
      </c>
      <c r="I1528" s="1521" t="s">
        <v>4099</v>
      </c>
      <c r="J1528" s="1538">
        <v>1</v>
      </c>
      <c r="K1528" s="1525"/>
      <c r="L1528" s="1519">
        <v>13135050215</v>
      </c>
      <c r="M1528" s="1520">
        <v>1</v>
      </c>
      <c r="N1528" s="1520">
        <v>1</v>
      </c>
      <c r="O1528" s="1521">
        <v>2</v>
      </c>
    </row>
    <row r="1529" spans="3:15" ht="13.5">
      <c r="C1529" s="1526" t="s">
        <v>5490</v>
      </c>
      <c r="D1529" s="1523">
        <v>1</v>
      </c>
      <c r="E1529" s="1523">
        <v>1</v>
      </c>
      <c r="F1529" s="1524">
        <v>2</v>
      </c>
      <c r="G1529" s="1537" t="s">
        <v>5490</v>
      </c>
      <c r="H1529" s="1521">
        <v>1</v>
      </c>
      <c r="I1529" s="1521">
        <v>1</v>
      </c>
      <c r="J1529" s="1538">
        <v>2</v>
      </c>
      <c r="K1529" s="1525"/>
      <c r="L1529" s="1519">
        <v>13135050216</v>
      </c>
      <c r="M1529" s="1520">
        <v>1</v>
      </c>
      <c r="N1529" s="1520">
        <v>1</v>
      </c>
      <c r="O1529" s="1521">
        <v>2</v>
      </c>
    </row>
    <row r="1530" spans="3:15" ht="13.5">
      <c r="C1530" s="1526" t="s">
        <v>5491</v>
      </c>
      <c r="D1530" s="1523">
        <v>1</v>
      </c>
      <c r="E1530" s="1523">
        <v>1</v>
      </c>
      <c r="F1530" s="1524">
        <v>2</v>
      </c>
      <c r="G1530" s="1537" t="s">
        <v>5491</v>
      </c>
      <c r="H1530" s="1521">
        <v>1</v>
      </c>
      <c r="I1530" s="1521">
        <v>1</v>
      </c>
      <c r="J1530" s="1538">
        <v>2</v>
      </c>
      <c r="K1530" s="1525"/>
      <c r="L1530" s="1519">
        <v>13135050217</v>
      </c>
      <c r="M1530" s="1520">
        <v>1</v>
      </c>
      <c r="N1530" s="1520">
        <v>1</v>
      </c>
      <c r="O1530" s="1521">
        <v>2</v>
      </c>
    </row>
    <row r="1531" spans="3:15" ht="13.5">
      <c r="C1531" s="1526" t="s">
        <v>5492</v>
      </c>
      <c r="D1531" s="1523">
        <v>1</v>
      </c>
      <c r="E1531" s="1523">
        <v>1</v>
      </c>
      <c r="F1531" s="1524">
        <v>2</v>
      </c>
      <c r="G1531" s="1537" t="s">
        <v>5492</v>
      </c>
      <c r="H1531" s="1521">
        <v>1</v>
      </c>
      <c r="I1531" s="1521">
        <v>0</v>
      </c>
      <c r="J1531" s="1538">
        <v>1</v>
      </c>
      <c r="K1531" s="1525"/>
      <c r="L1531" s="1519">
        <v>13135050218</v>
      </c>
      <c r="M1531" s="1520">
        <v>1</v>
      </c>
      <c r="N1531" s="1520">
        <v>1</v>
      </c>
      <c r="O1531" s="1521">
        <v>2</v>
      </c>
    </row>
    <row r="1532" spans="3:15" ht="13.5">
      <c r="C1532" s="1526" t="s">
        <v>5493</v>
      </c>
      <c r="D1532" s="1523">
        <v>1</v>
      </c>
      <c r="E1532" s="1523">
        <v>1</v>
      </c>
      <c r="F1532" s="1524">
        <v>2</v>
      </c>
      <c r="G1532" s="1537" t="s">
        <v>5493</v>
      </c>
      <c r="H1532" s="1521">
        <v>1</v>
      </c>
      <c r="I1532" s="1521">
        <v>1</v>
      </c>
      <c r="J1532" s="1538">
        <v>2</v>
      </c>
      <c r="K1532" s="1525"/>
      <c r="L1532" s="1519">
        <v>13135050219</v>
      </c>
      <c r="M1532" s="1520">
        <v>1</v>
      </c>
      <c r="N1532" s="1520">
        <v>1</v>
      </c>
      <c r="O1532" s="1521">
        <v>2</v>
      </c>
    </row>
    <row r="1533" spans="3:15" ht="13.5">
      <c r="C1533" s="1526" t="s">
        <v>5494</v>
      </c>
      <c r="D1533" s="1523">
        <v>0</v>
      </c>
      <c r="E1533" s="1523">
        <v>0</v>
      </c>
      <c r="F1533" s="1524">
        <v>0</v>
      </c>
      <c r="G1533" s="1537" t="s">
        <v>5494</v>
      </c>
      <c r="H1533" s="1521">
        <v>1</v>
      </c>
      <c r="I1533" s="1521">
        <v>0</v>
      </c>
      <c r="J1533" s="1538">
        <v>1</v>
      </c>
      <c r="K1533" s="1525"/>
      <c r="L1533" s="1519">
        <v>13135050220</v>
      </c>
      <c r="M1533" s="1520">
        <v>1</v>
      </c>
      <c r="N1533" s="1520">
        <v>0</v>
      </c>
      <c r="O1533" s="1521">
        <v>1</v>
      </c>
    </row>
    <row r="1534" spans="3:15" ht="13.5">
      <c r="C1534" s="1526" t="s">
        <v>5495</v>
      </c>
      <c r="D1534" s="1523">
        <v>1</v>
      </c>
      <c r="E1534" s="1523">
        <v>0</v>
      </c>
      <c r="F1534" s="1524">
        <v>1</v>
      </c>
      <c r="G1534" s="1537" t="s">
        <v>5495</v>
      </c>
      <c r="H1534" s="1521">
        <v>1</v>
      </c>
      <c r="I1534" s="1521">
        <v>0</v>
      </c>
      <c r="J1534" s="1538">
        <v>1</v>
      </c>
      <c r="K1534" s="1525"/>
      <c r="L1534" s="1519">
        <v>13135050304</v>
      </c>
      <c r="M1534" s="1520">
        <v>1</v>
      </c>
      <c r="N1534" s="1520">
        <v>0</v>
      </c>
      <c r="O1534" s="1521">
        <v>1</v>
      </c>
    </row>
    <row r="1535" spans="3:15" ht="13.5">
      <c r="C1535" s="1526" t="s">
        <v>5496</v>
      </c>
      <c r="D1535" s="1523">
        <v>0</v>
      </c>
      <c r="E1535" s="1523">
        <v>0</v>
      </c>
      <c r="F1535" s="1524">
        <v>0</v>
      </c>
      <c r="G1535" s="1537" t="s">
        <v>5496</v>
      </c>
      <c r="H1535" s="1521">
        <v>1</v>
      </c>
      <c r="I1535" s="1521">
        <v>0</v>
      </c>
      <c r="J1535" s="1538">
        <v>1</v>
      </c>
      <c r="K1535" s="1525"/>
      <c r="L1535" s="1519">
        <v>13135050306</v>
      </c>
      <c r="M1535" s="1520">
        <v>1</v>
      </c>
      <c r="N1535" s="1520">
        <v>0</v>
      </c>
      <c r="O1535" s="1521">
        <v>1</v>
      </c>
    </row>
    <row r="1536" spans="3:15" ht="13.5">
      <c r="C1536" s="1526" t="s">
        <v>5497</v>
      </c>
      <c r="D1536" s="1523">
        <v>1</v>
      </c>
      <c r="E1536" s="1523">
        <v>1</v>
      </c>
      <c r="F1536" s="1524">
        <v>2</v>
      </c>
      <c r="G1536" s="1537" t="s">
        <v>5497</v>
      </c>
      <c r="H1536" s="1521">
        <v>1</v>
      </c>
      <c r="I1536" s="1521">
        <v>1</v>
      </c>
      <c r="J1536" s="1538">
        <v>2</v>
      </c>
      <c r="K1536" s="1525"/>
      <c r="L1536" s="1519">
        <v>13135050308</v>
      </c>
      <c r="M1536" s="1520">
        <v>1</v>
      </c>
      <c r="N1536" s="1520">
        <v>1</v>
      </c>
      <c r="O1536" s="1521">
        <v>2</v>
      </c>
    </row>
    <row r="1537" spans="3:15" ht="13.5">
      <c r="C1537" s="1526" t="s">
        <v>5498</v>
      </c>
      <c r="D1537" s="1523">
        <v>1</v>
      </c>
      <c r="E1537" s="1523">
        <v>1</v>
      </c>
      <c r="F1537" s="1524">
        <v>2</v>
      </c>
      <c r="G1537" s="1537" t="s">
        <v>5498</v>
      </c>
      <c r="H1537" s="1521">
        <v>1</v>
      </c>
      <c r="I1537" s="1521">
        <v>1</v>
      </c>
      <c r="J1537" s="1538">
        <v>2</v>
      </c>
      <c r="K1537" s="1525"/>
      <c r="L1537" s="1519">
        <v>13135050309</v>
      </c>
      <c r="M1537" s="1520">
        <v>1</v>
      </c>
      <c r="N1537" s="1520">
        <v>1</v>
      </c>
      <c r="O1537" s="1521">
        <v>2</v>
      </c>
    </row>
    <row r="1538" spans="3:15" ht="13.5">
      <c r="C1538" s="1526" t="s">
        <v>5499</v>
      </c>
      <c r="D1538" s="1523">
        <v>1</v>
      </c>
      <c r="E1538" s="1523">
        <v>1</v>
      </c>
      <c r="F1538" s="1524">
        <v>2</v>
      </c>
      <c r="G1538" s="1537" t="s">
        <v>5499</v>
      </c>
      <c r="H1538" s="1521">
        <v>1</v>
      </c>
      <c r="I1538" s="1521">
        <v>1</v>
      </c>
      <c r="J1538" s="1538">
        <v>2</v>
      </c>
      <c r="K1538" s="1525"/>
      <c r="L1538" s="1519">
        <v>13135050310</v>
      </c>
      <c r="M1538" s="1520">
        <v>1</v>
      </c>
      <c r="N1538" s="1520">
        <v>1</v>
      </c>
      <c r="O1538" s="1521">
        <v>2</v>
      </c>
    </row>
    <row r="1539" spans="3:15" ht="13.5">
      <c r="C1539" s="1526" t="s">
        <v>5500</v>
      </c>
      <c r="D1539" s="1523">
        <v>1</v>
      </c>
      <c r="E1539" s="1523">
        <v>1</v>
      </c>
      <c r="F1539" s="1524">
        <v>2</v>
      </c>
      <c r="G1539" s="1537" t="s">
        <v>5500</v>
      </c>
      <c r="H1539" s="1521">
        <v>1</v>
      </c>
      <c r="I1539" s="1521">
        <v>0</v>
      </c>
      <c r="J1539" s="1538">
        <v>1</v>
      </c>
      <c r="K1539" s="1525"/>
      <c r="L1539" s="1519">
        <v>13135050311</v>
      </c>
      <c r="M1539" s="1520">
        <v>1</v>
      </c>
      <c r="N1539" s="1520">
        <v>1</v>
      </c>
      <c r="O1539" s="1521">
        <v>2</v>
      </c>
    </row>
    <row r="1540" spans="3:15" ht="13.5">
      <c r="C1540" s="1526" t="s">
        <v>5501</v>
      </c>
      <c r="D1540" s="1523">
        <v>0</v>
      </c>
      <c r="E1540" s="1523">
        <v>0</v>
      </c>
      <c r="F1540" s="1524">
        <v>0</v>
      </c>
      <c r="G1540" s="1537" t="s">
        <v>5501</v>
      </c>
      <c r="H1540" s="1521">
        <v>0</v>
      </c>
      <c r="I1540" s="1521">
        <v>0</v>
      </c>
      <c r="J1540" s="1538">
        <v>0</v>
      </c>
      <c r="K1540" s="1525"/>
      <c r="L1540" s="1519">
        <v>13135050313</v>
      </c>
      <c r="M1540" s="1520">
        <v>0</v>
      </c>
      <c r="N1540" s="1520">
        <v>0</v>
      </c>
      <c r="O1540" s="1521">
        <v>0</v>
      </c>
    </row>
    <row r="1541" spans="3:15" ht="13.5">
      <c r="C1541" s="1526" t="s">
        <v>5502</v>
      </c>
      <c r="D1541" s="1523">
        <v>1</v>
      </c>
      <c r="E1541" s="1523">
        <v>0</v>
      </c>
      <c r="F1541" s="1524">
        <v>1</v>
      </c>
      <c r="G1541" s="1537" t="s">
        <v>5502</v>
      </c>
      <c r="H1541" s="1521">
        <v>1</v>
      </c>
      <c r="I1541" s="1521">
        <v>0</v>
      </c>
      <c r="J1541" s="1538">
        <v>1</v>
      </c>
      <c r="K1541" s="1525"/>
      <c r="L1541" s="1519">
        <v>13135050314</v>
      </c>
      <c r="M1541" s="1520">
        <v>1</v>
      </c>
      <c r="N1541" s="1520">
        <v>0</v>
      </c>
      <c r="O1541" s="1521">
        <v>1</v>
      </c>
    </row>
    <row r="1542" spans="3:15" ht="13.5">
      <c r="C1542" s="1526" t="s">
        <v>5503</v>
      </c>
      <c r="D1542" s="1523">
        <v>1</v>
      </c>
      <c r="E1542" s="1523">
        <v>0</v>
      </c>
      <c r="F1542" s="1524">
        <v>1</v>
      </c>
      <c r="G1542" s="1537" t="s">
        <v>5503</v>
      </c>
      <c r="H1542" s="1521">
        <v>1</v>
      </c>
      <c r="I1542" s="1521">
        <v>0</v>
      </c>
      <c r="J1542" s="1538">
        <v>1</v>
      </c>
      <c r="K1542" s="1525"/>
      <c r="L1542" s="1519">
        <v>13135050315</v>
      </c>
      <c r="M1542" s="1520">
        <v>1</v>
      </c>
      <c r="N1542" s="1520">
        <v>0</v>
      </c>
      <c r="O1542" s="1521">
        <v>1</v>
      </c>
    </row>
    <row r="1543" spans="3:15" ht="13.5">
      <c r="C1543" s="1526" t="s">
        <v>5504</v>
      </c>
      <c r="D1543" s="1523">
        <v>0</v>
      </c>
      <c r="E1543" s="1523">
        <v>0</v>
      </c>
      <c r="F1543" s="1524">
        <v>0</v>
      </c>
      <c r="G1543" s="1537" t="s">
        <v>5504</v>
      </c>
      <c r="H1543" s="1521">
        <v>1</v>
      </c>
      <c r="I1543" s="1521" t="s">
        <v>4099</v>
      </c>
      <c r="J1543" s="1538">
        <v>1</v>
      </c>
      <c r="K1543" s="1525"/>
      <c r="L1543" s="1519">
        <v>13135050317</v>
      </c>
      <c r="M1543" s="1520">
        <v>1</v>
      </c>
      <c r="N1543" s="1520">
        <v>0</v>
      </c>
      <c r="O1543" s="1521">
        <v>1</v>
      </c>
    </row>
    <row r="1544" spans="3:15" ht="13.5">
      <c r="C1544" s="1526" t="s">
        <v>5505</v>
      </c>
      <c r="D1544" s="1523">
        <v>1</v>
      </c>
      <c r="E1544" s="1523">
        <v>0</v>
      </c>
      <c r="F1544" s="1524">
        <v>1</v>
      </c>
      <c r="G1544" s="1537" t="s">
        <v>5505</v>
      </c>
      <c r="H1544" s="1521">
        <v>1</v>
      </c>
      <c r="I1544" s="1521" t="s">
        <v>4099</v>
      </c>
      <c r="J1544" s="1538">
        <v>1</v>
      </c>
      <c r="K1544" s="1525"/>
      <c r="L1544" s="1519">
        <v>13135050318</v>
      </c>
      <c r="M1544" s="1520">
        <v>1</v>
      </c>
      <c r="N1544" s="1520">
        <v>0</v>
      </c>
      <c r="O1544" s="1521">
        <v>1</v>
      </c>
    </row>
    <row r="1545" spans="3:15" ht="13.5">
      <c r="C1545" s="1526" t="s">
        <v>5506</v>
      </c>
      <c r="D1545" s="1523">
        <v>0</v>
      </c>
      <c r="E1545" s="1523">
        <v>0</v>
      </c>
      <c r="F1545" s="1524">
        <v>0</v>
      </c>
      <c r="G1545" s="1537" t="s">
        <v>5506</v>
      </c>
      <c r="H1545" s="1521">
        <v>0</v>
      </c>
      <c r="I1545" s="1521" t="s">
        <v>4099</v>
      </c>
      <c r="J1545" s="1538">
        <v>0</v>
      </c>
      <c r="K1545" s="1525"/>
      <c r="L1545" s="1519">
        <v>13135050319</v>
      </c>
      <c r="M1545" s="1520">
        <v>0</v>
      </c>
      <c r="N1545" s="1520">
        <v>0</v>
      </c>
      <c r="O1545" s="1521">
        <v>0</v>
      </c>
    </row>
    <row r="1546" spans="3:15" ht="13.5">
      <c r="C1546" s="1526" t="s">
        <v>5507</v>
      </c>
      <c r="D1546" s="1523">
        <v>0</v>
      </c>
      <c r="E1546" s="1523">
        <v>0</v>
      </c>
      <c r="F1546" s="1524">
        <v>0</v>
      </c>
      <c r="G1546" s="1537" t="s">
        <v>5507</v>
      </c>
      <c r="H1546" s="1521">
        <v>0</v>
      </c>
      <c r="I1546" s="1521" t="s">
        <v>4099</v>
      </c>
      <c r="J1546" s="1538">
        <v>0</v>
      </c>
      <c r="K1546" s="1525"/>
      <c r="L1546" s="1519">
        <v>13135050320</v>
      </c>
      <c r="M1546" s="1520">
        <v>0</v>
      </c>
      <c r="N1546" s="1520">
        <v>0</v>
      </c>
      <c r="O1546" s="1521">
        <v>0</v>
      </c>
    </row>
    <row r="1547" spans="3:15" ht="13.5">
      <c r="C1547" s="1526" t="s">
        <v>5508</v>
      </c>
      <c r="D1547" s="1523">
        <v>1</v>
      </c>
      <c r="E1547" s="1523">
        <v>1</v>
      </c>
      <c r="F1547" s="1524">
        <v>2</v>
      </c>
      <c r="G1547" s="1537" t="s">
        <v>5508</v>
      </c>
      <c r="H1547" s="1521">
        <v>1</v>
      </c>
      <c r="I1547" s="1521">
        <v>1</v>
      </c>
      <c r="J1547" s="1538">
        <v>2</v>
      </c>
      <c r="K1547" s="1525"/>
      <c r="L1547" s="1519">
        <v>13135050321</v>
      </c>
      <c r="M1547" s="1520">
        <v>1</v>
      </c>
      <c r="N1547" s="1520">
        <v>1</v>
      </c>
      <c r="O1547" s="1521">
        <v>2</v>
      </c>
    </row>
    <row r="1548" spans="3:15" ht="13.5">
      <c r="C1548" s="1526" t="s">
        <v>5509</v>
      </c>
      <c r="D1548" s="1523">
        <v>1</v>
      </c>
      <c r="E1548" s="1523">
        <v>1</v>
      </c>
      <c r="F1548" s="1524">
        <v>2</v>
      </c>
      <c r="G1548" s="1537" t="s">
        <v>5509</v>
      </c>
      <c r="H1548" s="1521">
        <v>1</v>
      </c>
      <c r="I1548" s="1521">
        <v>1</v>
      </c>
      <c r="J1548" s="1538">
        <v>2</v>
      </c>
      <c r="K1548" s="1525"/>
      <c r="L1548" s="1519">
        <v>13135050322</v>
      </c>
      <c r="M1548" s="1520">
        <v>1</v>
      </c>
      <c r="N1548" s="1520">
        <v>1</v>
      </c>
      <c r="O1548" s="1521">
        <v>2</v>
      </c>
    </row>
    <row r="1549" spans="3:15" ht="13.5">
      <c r="C1549" s="1526" t="s">
        <v>5510</v>
      </c>
      <c r="D1549" s="1523">
        <v>0</v>
      </c>
      <c r="E1549" s="1523">
        <v>0</v>
      </c>
      <c r="F1549" s="1524">
        <v>0</v>
      </c>
      <c r="G1549" s="1537" t="s">
        <v>5510</v>
      </c>
      <c r="H1549" s="1521">
        <v>1</v>
      </c>
      <c r="I1549" s="1521">
        <v>0</v>
      </c>
      <c r="J1549" s="1538">
        <v>1</v>
      </c>
      <c r="K1549" s="1525"/>
      <c r="L1549" s="1519">
        <v>13135050410</v>
      </c>
      <c r="M1549" s="1520">
        <v>1</v>
      </c>
      <c r="N1549" s="1520">
        <v>0</v>
      </c>
      <c r="O1549" s="1521">
        <v>1</v>
      </c>
    </row>
    <row r="1550" spans="3:15" ht="13.5">
      <c r="C1550" s="1526" t="s">
        <v>5511</v>
      </c>
      <c r="D1550" s="1523">
        <v>1</v>
      </c>
      <c r="E1550" s="1523">
        <v>1</v>
      </c>
      <c r="F1550" s="1524">
        <v>2</v>
      </c>
      <c r="G1550" s="1537" t="s">
        <v>5511</v>
      </c>
      <c r="H1550" s="1521">
        <v>1</v>
      </c>
      <c r="I1550" s="1521">
        <v>1</v>
      </c>
      <c r="J1550" s="1538">
        <v>2</v>
      </c>
      <c r="K1550" s="1525"/>
      <c r="L1550" s="1519">
        <v>13135050415</v>
      </c>
      <c r="M1550" s="1520">
        <v>1</v>
      </c>
      <c r="N1550" s="1520">
        <v>1</v>
      </c>
      <c r="O1550" s="1521">
        <v>2</v>
      </c>
    </row>
    <row r="1551" spans="3:15" ht="13.5">
      <c r="C1551" s="1526" t="s">
        <v>5512</v>
      </c>
      <c r="D1551" s="1523">
        <v>0</v>
      </c>
      <c r="E1551" s="1523">
        <v>0</v>
      </c>
      <c r="F1551" s="1524">
        <v>0</v>
      </c>
      <c r="G1551" s="1537" t="s">
        <v>5512</v>
      </c>
      <c r="H1551" s="1521">
        <v>0</v>
      </c>
      <c r="I1551" s="1521">
        <v>0</v>
      </c>
      <c r="J1551" s="1538">
        <v>0</v>
      </c>
      <c r="K1551" s="1525"/>
      <c r="L1551" s="1519">
        <v>13135050416</v>
      </c>
      <c r="M1551" s="1520">
        <v>0</v>
      </c>
      <c r="N1551" s="1520">
        <v>0</v>
      </c>
      <c r="O1551" s="1521">
        <v>0</v>
      </c>
    </row>
    <row r="1552" spans="3:15" ht="13.5">
      <c r="C1552" s="1526" t="s">
        <v>5513</v>
      </c>
      <c r="D1552" s="1523">
        <v>0</v>
      </c>
      <c r="E1552" s="1523">
        <v>0</v>
      </c>
      <c r="F1552" s="1524">
        <v>0</v>
      </c>
      <c r="G1552" s="1537" t="s">
        <v>5513</v>
      </c>
      <c r="H1552" s="1521">
        <v>0</v>
      </c>
      <c r="I1552" s="1521" t="s">
        <v>4099</v>
      </c>
      <c r="J1552" s="1538">
        <v>0</v>
      </c>
      <c r="K1552" s="1525"/>
      <c r="L1552" s="1519">
        <v>13135050417</v>
      </c>
      <c r="M1552" s="1520">
        <v>0</v>
      </c>
      <c r="N1552" s="1520">
        <v>0</v>
      </c>
      <c r="O1552" s="1521">
        <v>0</v>
      </c>
    </row>
    <row r="1553" spans="3:15" ht="13.5">
      <c r="C1553" s="1526" t="s">
        <v>5514</v>
      </c>
      <c r="D1553" s="1523">
        <v>0</v>
      </c>
      <c r="E1553" s="1523">
        <v>0</v>
      </c>
      <c r="F1553" s="1524">
        <v>0</v>
      </c>
      <c r="G1553" s="1537" t="s">
        <v>5514</v>
      </c>
      <c r="H1553" s="1521">
        <v>0</v>
      </c>
      <c r="I1553" s="1521">
        <v>0</v>
      </c>
      <c r="J1553" s="1538">
        <v>0</v>
      </c>
      <c r="K1553" s="1525"/>
      <c r="L1553" s="1519">
        <v>13135050418</v>
      </c>
      <c r="M1553" s="1520">
        <v>0</v>
      </c>
      <c r="N1553" s="1520">
        <v>0</v>
      </c>
      <c r="O1553" s="1521">
        <v>0</v>
      </c>
    </row>
    <row r="1554" spans="3:15" ht="13.5">
      <c r="C1554" s="1526" t="s">
        <v>5515</v>
      </c>
      <c r="D1554" s="1523">
        <v>0</v>
      </c>
      <c r="E1554" s="1523">
        <v>0</v>
      </c>
      <c r="F1554" s="1524">
        <v>0</v>
      </c>
      <c r="G1554" s="1537" t="s">
        <v>5515</v>
      </c>
      <c r="H1554" s="1521">
        <v>0</v>
      </c>
      <c r="I1554" s="1521" t="s">
        <v>4099</v>
      </c>
      <c r="J1554" s="1538">
        <v>0</v>
      </c>
      <c r="K1554" s="1525"/>
      <c r="L1554" s="1519">
        <v>13135050419</v>
      </c>
      <c r="M1554" s="1520">
        <v>0</v>
      </c>
      <c r="N1554" s="1520">
        <v>0</v>
      </c>
      <c r="O1554" s="1521">
        <v>0</v>
      </c>
    </row>
    <row r="1555" spans="3:15" ht="13.5">
      <c r="C1555" s="1526" t="s">
        <v>5516</v>
      </c>
      <c r="D1555" s="1523">
        <v>0</v>
      </c>
      <c r="E1555" s="1523">
        <v>0</v>
      </c>
      <c r="F1555" s="1524">
        <v>0</v>
      </c>
      <c r="G1555" s="1537" t="s">
        <v>5516</v>
      </c>
      <c r="H1555" s="1521">
        <v>0</v>
      </c>
      <c r="I1555" s="1521">
        <v>0</v>
      </c>
      <c r="J1555" s="1538">
        <v>0</v>
      </c>
      <c r="K1555" s="1525"/>
      <c r="L1555" s="1519">
        <v>13135050421</v>
      </c>
      <c r="M1555" s="1520">
        <v>0</v>
      </c>
      <c r="N1555" s="1520">
        <v>0</v>
      </c>
      <c r="O1555" s="1521">
        <v>0</v>
      </c>
    </row>
    <row r="1556" spans="3:15" ht="13.5">
      <c r="C1556" s="1526" t="s">
        <v>5517</v>
      </c>
      <c r="D1556" s="1523">
        <v>0</v>
      </c>
      <c r="E1556" s="1523">
        <v>0</v>
      </c>
      <c r="F1556" s="1524">
        <v>0</v>
      </c>
      <c r="G1556" s="1537" t="s">
        <v>5517</v>
      </c>
      <c r="H1556" s="1521">
        <v>0</v>
      </c>
      <c r="I1556" s="1521">
        <v>0</v>
      </c>
      <c r="J1556" s="1538">
        <v>0</v>
      </c>
      <c r="K1556" s="1525"/>
      <c r="L1556" s="1519">
        <v>13135050422</v>
      </c>
      <c r="M1556" s="1520">
        <v>0</v>
      </c>
      <c r="N1556" s="1520">
        <v>0</v>
      </c>
      <c r="O1556" s="1521">
        <v>0</v>
      </c>
    </row>
    <row r="1557" spans="3:15" ht="13.5">
      <c r="C1557" s="1526" t="s">
        <v>5518</v>
      </c>
      <c r="D1557" s="1523">
        <v>0</v>
      </c>
      <c r="E1557" s="1523">
        <v>0</v>
      </c>
      <c r="F1557" s="1524">
        <v>0</v>
      </c>
      <c r="G1557" s="1537" t="s">
        <v>5518</v>
      </c>
      <c r="H1557" s="1521">
        <v>0</v>
      </c>
      <c r="I1557" s="1521" t="s">
        <v>4099</v>
      </c>
      <c r="J1557" s="1538">
        <v>0</v>
      </c>
      <c r="K1557" s="1525"/>
      <c r="L1557" s="1519">
        <v>13135050423</v>
      </c>
      <c r="M1557" s="1520">
        <v>0</v>
      </c>
      <c r="N1557" s="1520">
        <v>0</v>
      </c>
      <c r="O1557" s="1521">
        <v>0</v>
      </c>
    </row>
    <row r="1558" spans="3:15" ht="13.5">
      <c r="C1558" s="1526" t="s">
        <v>5519</v>
      </c>
      <c r="D1558" s="1523">
        <v>0</v>
      </c>
      <c r="E1558" s="1523">
        <v>0</v>
      </c>
      <c r="F1558" s="1524">
        <v>0</v>
      </c>
      <c r="G1558" s="1537" t="s">
        <v>5519</v>
      </c>
      <c r="H1558" s="1521">
        <v>0</v>
      </c>
      <c r="I1558" s="1521" t="s">
        <v>4099</v>
      </c>
      <c r="J1558" s="1538">
        <v>0</v>
      </c>
      <c r="K1558" s="1525"/>
      <c r="L1558" s="1519">
        <v>13135050424</v>
      </c>
      <c r="M1558" s="1520">
        <v>0</v>
      </c>
      <c r="N1558" s="1520">
        <v>0</v>
      </c>
      <c r="O1558" s="1521">
        <v>0</v>
      </c>
    </row>
    <row r="1559" spans="3:15" ht="13.5">
      <c r="C1559" s="1526" t="s">
        <v>5520</v>
      </c>
      <c r="D1559" s="1523">
        <v>1</v>
      </c>
      <c r="E1559" s="1523">
        <v>1</v>
      </c>
      <c r="F1559" s="1524">
        <v>2</v>
      </c>
      <c r="G1559" s="1537" t="s">
        <v>5520</v>
      </c>
      <c r="H1559" s="1521">
        <v>1</v>
      </c>
      <c r="I1559" s="1521">
        <v>1</v>
      </c>
      <c r="J1559" s="1538">
        <v>2</v>
      </c>
      <c r="K1559" s="1525"/>
      <c r="L1559" s="1519">
        <v>13135050425</v>
      </c>
      <c r="M1559" s="1520">
        <v>1</v>
      </c>
      <c r="N1559" s="1520">
        <v>1</v>
      </c>
      <c r="O1559" s="1521">
        <v>2</v>
      </c>
    </row>
    <row r="1560" spans="3:15" ht="13.5">
      <c r="C1560" s="1526" t="s">
        <v>5521</v>
      </c>
      <c r="D1560" s="1523">
        <v>1</v>
      </c>
      <c r="E1560" s="1523">
        <v>1</v>
      </c>
      <c r="F1560" s="1524">
        <v>2</v>
      </c>
      <c r="G1560" s="1537" t="s">
        <v>5521</v>
      </c>
      <c r="H1560" s="1521">
        <v>1</v>
      </c>
      <c r="I1560" s="1521">
        <v>1</v>
      </c>
      <c r="J1560" s="1538">
        <v>2</v>
      </c>
      <c r="K1560" s="1525"/>
      <c r="L1560" s="1519">
        <v>13135050426</v>
      </c>
      <c r="M1560" s="1520">
        <v>1</v>
      </c>
      <c r="N1560" s="1520">
        <v>1</v>
      </c>
      <c r="O1560" s="1521">
        <v>2</v>
      </c>
    </row>
    <row r="1561" spans="3:15" ht="13.5">
      <c r="C1561" s="1526" t="s">
        <v>5522</v>
      </c>
      <c r="D1561" s="1523">
        <v>1</v>
      </c>
      <c r="E1561" s="1523">
        <v>1</v>
      </c>
      <c r="F1561" s="1524">
        <v>2</v>
      </c>
      <c r="G1561" s="1537" t="s">
        <v>5522</v>
      </c>
      <c r="H1561" s="1521">
        <v>1</v>
      </c>
      <c r="I1561" s="1521">
        <v>1</v>
      </c>
      <c r="J1561" s="1538">
        <v>2</v>
      </c>
      <c r="K1561" s="1525"/>
      <c r="L1561" s="1519">
        <v>13135050427</v>
      </c>
      <c r="M1561" s="1520">
        <v>1</v>
      </c>
      <c r="N1561" s="1520">
        <v>1</v>
      </c>
      <c r="O1561" s="1521">
        <v>2</v>
      </c>
    </row>
    <row r="1562" spans="3:15" ht="13.5">
      <c r="C1562" s="1526" t="s">
        <v>5523</v>
      </c>
      <c r="D1562" s="1523">
        <v>1</v>
      </c>
      <c r="E1562" s="1523">
        <v>1</v>
      </c>
      <c r="F1562" s="1524">
        <v>2</v>
      </c>
      <c r="G1562" s="1537" t="s">
        <v>5523</v>
      </c>
      <c r="H1562" s="1521">
        <v>1</v>
      </c>
      <c r="I1562" s="1521">
        <v>1</v>
      </c>
      <c r="J1562" s="1538">
        <v>2</v>
      </c>
      <c r="K1562" s="1525"/>
      <c r="L1562" s="1519">
        <v>13135050428</v>
      </c>
      <c r="M1562" s="1520">
        <v>1</v>
      </c>
      <c r="N1562" s="1520">
        <v>1</v>
      </c>
      <c r="O1562" s="1521">
        <v>2</v>
      </c>
    </row>
    <row r="1563" spans="3:15" ht="13.5">
      <c r="C1563" s="1526" t="s">
        <v>5524</v>
      </c>
      <c r="D1563" s="1523">
        <v>1</v>
      </c>
      <c r="E1563" s="1523">
        <v>1</v>
      </c>
      <c r="F1563" s="1524">
        <v>2</v>
      </c>
      <c r="G1563" s="1537" t="s">
        <v>5524</v>
      </c>
      <c r="H1563" s="1521">
        <v>1</v>
      </c>
      <c r="I1563" s="1521">
        <v>1</v>
      </c>
      <c r="J1563" s="1538">
        <v>2</v>
      </c>
      <c r="K1563" s="1525"/>
      <c r="L1563" s="1519">
        <v>13135050429</v>
      </c>
      <c r="M1563" s="1520">
        <v>1</v>
      </c>
      <c r="N1563" s="1520">
        <v>1</v>
      </c>
      <c r="O1563" s="1521">
        <v>2</v>
      </c>
    </row>
    <row r="1564" spans="3:15" ht="13.5">
      <c r="C1564" s="1526" t="s">
        <v>5525</v>
      </c>
      <c r="D1564" s="1523">
        <v>1</v>
      </c>
      <c r="E1564" s="1523">
        <v>1</v>
      </c>
      <c r="F1564" s="1524">
        <v>2</v>
      </c>
      <c r="G1564" s="1537" t="s">
        <v>5525</v>
      </c>
      <c r="H1564" s="1521">
        <v>1</v>
      </c>
      <c r="I1564" s="1521">
        <v>0</v>
      </c>
      <c r="J1564" s="1538">
        <v>1</v>
      </c>
      <c r="K1564" s="1525"/>
      <c r="L1564" s="1519">
        <v>13135050430</v>
      </c>
      <c r="M1564" s="1520">
        <v>1</v>
      </c>
      <c r="N1564" s="1520">
        <v>1</v>
      </c>
      <c r="O1564" s="1521">
        <v>2</v>
      </c>
    </row>
    <row r="1565" spans="3:15" ht="13.5">
      <c r="C1565" s="1526" t="s">
        <v>5526</v>
      </c>
      <c r="D1565" s="1523">
        <v>0</v>
      </c>
      <c r="E1565" s="1523">
        <v>0</v>
      </c>
      <c r="F1565" s="1524">
        <v>0</v>
      </c>
      <c r="G1565" s="1537" t="s">
        <v>5526</v>
      </c>
      <c r="H1565" s="1521">
        <v>0</v>
      </c>
      <c r="I1565" s="1521">
        <v>0</v>
      </c>
      <c r="J1565" s="1538">
        <v>0</v>
      </c>
      <c r="K1565" s="1525"/>
      <c r="L1565" s="1519">
        <v>13135050431</v>
      </c>
      <c r="M1565" s="1520">
        <v>0</v>
      </c>
      <c r="N1565" s="1520">
        <v>0</v>
      </c>
      <c r="O1565" s="1521">
        <v>0</v>
      </c>
    </row>
    <row r="1566" spans="3:15" ht="13.5">
      <c r="C1566" s="1526" t="s">
        <v>5527</v>
      </c>
      <c r="D1566" s="1523">
        <v>1</v>
      </c>
      <c r="E1566" s="1523">
        <v>1</v>
      </c>
      <c r="F1566" s="1524">
        <v>2</v>
      </c>
      <c r="G1566" s="1537" t="s">
        <v>5527</v>
      </c>
      <c r="H1566" s="1521">
        <v>1</v>
      </c>
      <c r="I1566" s="1521" t="s">
        <v>4099</v>
      </c>
      <c r="J1566" s="1538">
        <v>1</v>
      </c>
      <c r="K1566" s="1525"/>
      <c r="L1566" s="1519">
        <v>13135050432</v>
      </c>
      <c r="M1566" s="1520">
        <v>1</v>
      </c>
      <c r="N1566" s="1520">
        <v>1</v>
      </c>
      <c r="O1566" s="1521">
        <v>2</v>
      </c>
    </row>
    <row r="1567" spans="3:15" ht="13.5">
      <c r="C1567" s="1526" t="s">
        <v>5528</v>
      </c>
      <c r="D1567" s="1523">
        <v>0</v>
      </c>
      <c r="E1567" s="1523">
        <v>0</v>
      </c>
      <c r="F1567" s="1524">
        <v>0</v>
      </c>
      <c r="G1567" s="1537" t="s">
        <v>5528</v>
      </c>
      <c r="H1567" s="1521">
        <v>1</v>
      </c>
      <c r="I1567" s="1521">
        <v>0</v>
      </c>
      <c r="J1567" s="1538">
        <v>1</v>
      </c>
      <c r="K1567" s="1525"/>
      <c r="L1567" s="1519">
        <v>13135050433</v>
      </c>
      <c r="M1567" s="1520">
        <v>1</v>
      </c>
      <c r="N1567" s="1520">
        <v>0</v>
      </c>
      <c r="O1567" s="1521">
        <v>1</v>
      </c>
    </row>
    <row r="1568" spans="3:15" ht="13.5">
      <c r="C1568" s="1526" t="s">
        <v>5529</v>
      </c>
      <c r="D1568" s="1523">
        <v>0</v>
      </c>
      <c r="E1568" s="1523">
        <v>0</v>
      </c>
      <c r="F1568" s="1524">
        <v>0</v>
      </c>
      <c r="G1568" s="1537" t="s">
        <v>5529</v>
      </c>
      <c r="H1568" s="1521">
        <v>1</v>
      </c>
      <c r="I1568" s="1521">
        <v>0</v>
      </c>
      <c r="J1568" s="1538">
        <v>1</v>
      </c>
      <c r="K1568" s="1525"/>
      <c r="L1568" s="1519">
        <v>13135050434</v>
      </c>
      <c r="M1568" s="1520">
        <v>1</v>
      </c>
      <c r="N1568" s="1520">
        <v>0</v>
      </c>
      <c r="O1568" s="1521">
        <v>1</v>
      </c>
    </row>
    <row r="1569" spans="3:15" ht="13.5">
      <c r="C1569" s="1526" t="s">
        <v>5530</v>
      </c>
      <c r="D1569" s="1523">
        <v>1</v>
      </c>
      <c r="E1569" s="1523">
        <v>0</v>
      </c>
      <c r="F1569" s="1524">
        <v>1</v>
      </c>
      <c r="G1569" s="1537" t="s">
        <v>5530</v>
      </c>
      <c r="H1569" s="1521">
        <v>0</v>
      </c>
      <c r="I1569" s="1521">
        <v>0</v>
      </c>
      <c r="J1569" s="1538">
        <v>0</v>
      </c>
      <c r="K1569" s="1525"/>
      <c r="L1569" s="1519">
        <v>13135050435</v>
      </c>
      <c r="M1569" s="1520">
        <v>1</v>
      </c>
      <c r="N1569" s="1520">
        <v>0</v>
      </c>
      <c r="O1569" s="1521">
        <v>1</v>
      </c>
    </row>
    <row r="1570" spans="3:15" ht="13.5">
      <c r="C1570" s="1526" t="s">
        <v>5531</v>
      </c>
      <c r="D1570" s="1523">
        <v>0</v>
      </c>
      <c r="E1570" s="1523">
        <v>0</v>
      </c>
      <c r="F1570" s="1524">
        <v>0</v>
      </c>
      <c r="G1570" s="1537" t="s">
        <v>5531</v>
      </c>
      <c r="H1570" s="1521">
        <v>0</v>
      </c>
      <c r="I1570" s="1521">
        <v>0</v>
      </c>
      <c r="J1570" s="1538">
        <v>0</v>
      </c>
      <c r="K1570" s="1525"/>
      <c r="L1570" s="1519">
        <v>13135050436</v>
      </c>
      <c r="M1570" s="1520">
        <v>0</v>
      </c>
      <c r="N1570" s="1520">
        <v>0</v>
      </c>
      <c r="O1570" s="1521">
        <v>0</v>
      </c>
    </row>
    <row r="1571" spans="3:15" ht="13.5">
      <c r="C1571" s="1526" t="s">
        <v>5532</v>
      </c>
      <c r="D1571" s="1523">
        <v>1</v>
      </c>
      <c r="E1571" s="1523">
        <v>0</v>
      </c>
      <c r="F1571" s="1524">
        <v>1</v>
      </c>
      <c r="G1571" s="1537" t="s">
        <v>5532</v>
      </c>
      <c r="H1571" s="1521">
        <v>0</v>
      </c>
      <c r="I1571" s="1521">
        <v>0</v>
      </c>
      <c r="J1571" s="1538">
        <v>0</v>
      </c>
      <c r="K1571" s="1525"/>
      <c r="L1571" s="1519">
        <v>13135050511</v>
      </c>
      <c r="M1571" s="1520">
        <v>1</v>
      </c>
      <c r="N1571" s="1520">
        <v>0</v>
      </c>
      <c r="O1571" s="1521">
        <v>1</v>
      </c>
    </row>
    <row r="1572" spans="3:15" ht="13.5">
      <c r="C1572" s="1526" t="s">
        <v>5533</v>
      </c>
      <c r="D1572" s="1523">
        <v>0</v>
      </c>
      <c r="E1572" s="1523">
        <v>0</v>
      </c>
      <c r="F1572" s="1524">
        <v>0</v>
      </c>
      <c r="G1572" s="1537" t="s">
        <v>5533</v>
      </c>
      <c r="H1572" s="1521">
        <v>0</v>
      </c>
      <c r="I1572" s="1521">
        <v>0</v>
      </c>
      <c r="J1572" s="1538">
        <v>0</v>
      </c>
      <c r="K1572" s="1525"/>
      <c r="L1572" s="1519">
        <v>13135050520</v>
      </c>
      <c r="M1572" s="1520">
        <v>0</v>
      </c>
      <c r="N1572" s="1520">
        <v>0</v>
      </c>
      <c r="O1572" s="1521">
        <v>0</v>
      </c>
    </row>
    <row r="1573" spans="3:15" ht="13.5">
      <c r="C1573" s="1526" t="s">
        <v>5534</v>
      </c>
      <c r="D1573" s="1523">
        <v>0</v>
      </c>
      <c r="E1573" s="1523">
        <v>0</v>
      </c>
      <c r="F1573" s="1524">
        <v>0</v>
      </c>
      <c r="G1573" s="1537" t="s">
        <v>5534</v>
      </c>
      <c r="H1573" s="1521">
        <v>0</v>
      </c>
      <c r="I1573" s="1521">
        <v>0</v>
      </c>
      <c r="J1573" s="1538">
        <v>0</v>
      </c>
      <c r="K1573" s="1525"/>
      <c r="L1573" s="1519">
        <v>13135050521</v>
      </c>
      <c r="M1573" s="1520">
        <v>0</v>
      </c>
      <c r="N1573" s="1520">
        <v>0</v>
      </c>
      <c r="O1573" s="1521">
        <v>0</v>
      </c>
    </row>
    <row r="1574" spans="3:15" ht="13.5">
      <c r="C1574" s="1526" t="s">
        <v>5535</v>
      </c>
      <c r="D1574" s="1523">
        <v>0</v>
      </c>
      <c r="E1574" s="1523">
        <v>0</v>
      </c>
      <c r="F1574" s="1524">
        <v>0</v>
      </c>
      <c r="G1574" s="1537" t="s">
        <v>5535</v>
      </c>
      <c r="H1574" s="1521">
        <v>0</v>
      </c>
      <c r="I1574" s="1521">
        <v>0</v>
      </c>
      <c r="J1574" s="1538">
        <v>0</v>
      </c>
      <c r="K1574" s="1525"/>
      <c r="L1574" s="1519">
        <v>13135050522</v>
      </c>
      <c r="M1574" s="1520">
        <v>0</v>
      </c>
      <c r="N1574" s="1520">
        <v>0</v>
      </c>
      <c r="O1574" s="1521">
        <v>0</v>
      </c>
    </row>
    <row r="1575" spans="3:15" ht="13.5">
      <c r="C1575" s="1526" t="s">
        <v>5536</v>
      </c>
      <c r="D1575" s="1523">
        <v>1</v>
      </c>
      <c r="E1575" s="1523">
        <v>1</v>
      </c>
      <c r="F1575" s="1524">
        <v>2</v>
      </c>
      <c r="G1575" s="1537" t="s">
        <v>5536</v>
      </c>
      <c r="H1575" s="1521">
        <v>0</v>
      </c>
      <c r="I1575" s="1521" t="s">
        <v>4099</v>
      </c>
      <c r="J1575" s="1538">
        <v>0</v>
      </c>
      <c r="K1575" s="1525"/>
      <c r="L1575" s="1519">
        <v>13135050523</v>
      </c>
      <c r="M1575" s="1520">
        <v>1</v>
      </c>
      <c r="N1575" s="1520">
        <v>1</v>
      </c>
      <c r="O1575" s="1521">
        <v>2</v>
      </c>
    </row>
    <row r="1576" spans="3:15" ht="13.5">
      <c r="C1576" s="1526" t="s">
        <v>5537</v>
      </c>
      <c r="D1576" s="1523">
        <v>0</v>
      </c>
      <c r="E1576" s="1523">
        <v>0</v>
      </c>
      <c r="F1576" s="1524">
        <v>0</v>
      </c>
      <c r="G1576" s="1537" t="s">
        <v>5537</v>
      </c>
      <c r="H1576" s="1521">
        <v>0</v>
      </c>
      <c r="I1576" s="1521">
        <v>0</v>
      </c>
      <c r="J1576" s="1538">
        <v>0</v>
      </c>
      <c r="K1576" s="1525"/>
      <c r="L1576" s="1519">
        <v>13135050524</v>
      </c>
      <c r="M1576" s="1520">
        <v>0</v>
      </c>
      <c r="N1576" s="1520">
        <v>0</v>
      </c>
      <c r="O1576" s="1521">
        <v>0</v>
      </c>
    </row>
    <row r="1577" spans="3:15" ht="13.5">
      <c r="C1577" s="1526" t="s">
        <v>5538</v>
      </c>
      <c r="D1577" s="1523">
        <v>1</v>
      </c>
      <c r="E1577" s="1523">
        <v>1</v>
      </c>
      <c r="F1577" s="1524">
        <v>2</v>
      </c>
      <c r="G1577" s="1537" t="s">
        <v>5538</v>
      </c>
      <c r="H1577" s="1521">
        <v>1</v>
      </c>
      <c r="I1577" s="1521">
        <v>1</v>
      </c>
      <c r="J1577" s="1538">
        <v>2</v>
      </c>
      <c r="K1577" s="1525"/>
      <c r="L1577" s="1519">
        <v>13135050525</v>
      </c>
      <c r="M1577" s="1520">
        <v>1</v>
      </c>
      <c r="N1577" s="1520">
        <v>1</v>
      </c>
      <c r="O1577" s="1521">
        <v>2</v>
      </c>
    </row>
    <row r="1578" spans="3:15" ht="13.5">
      <c r="C1578" s="1526" t="s">
        <v>5539</v>
      </c>
      <c r="D1578" s="1523">
        <v>0</v>
      </c>
      <c r="E1578" s="1523">
        <v>0</v>
      </c>
      <c r="F1578" s="1524">
        <v>0</v>
      </c>
      <c r="G1578" s="1537" t="s">
        <v>5539</v>
      </c>
      <c r="H1578" s="1521">
        <v>1</v>
      </c>
      <c r="I1578" s="1521">
        <v>0</v>
      </c>
      <c r="J1578" s="1538">
        <v>1</v>
      </c>
      <c r="K1578" s="1525"/>
      <c r="L1578" s="1519">
        <v>13135050526</v>
      </c>
      <c r="M1578" s="1520">
        <v>1</v>
      </c>
      <c r="N1578" s="1520">
        <v>0</v>
      </c>
      <c r="O1578" s="1521">
        <v>1</v>
      </c>
    </row>
    <row r="1579" spans="3:15" ht="13.5">
      <c r="C1579" s="1526" t="s">
        <v>5540</v>
      </c>
      <c r="D1579" s="1523">
        <v>1</v>
      </c>
      <c r="E1579" s="1523">
        <v>1</v>
      </c>
      <c r="F1579" s="1524">
        <v>2</v>
      </c>
      <c r="G1579" s="1537" t="s">
        <v>5540</v>
      </c>
      <c r="H1579" s="1521">
        <v>1</v>
      </c>
      <c r="I1579" s="1521">
        <v>1</v>
      </c>
      <c r="J1579" s="1538">
        <v>2</v>
      </c>
      <c r="K1579" s="1525"/>
      <c r="L1579" s="1519">
        <v>13135050527</v>
      </c>
      <c r="M1579" s="1520">
        <v>1</v>
      </c>
      <c r="N1579" s="1520">
        <v>1</v>
      </c>
      <c r="O1579" s="1521">
        <v>2</v>
      </c>
    </row>
    <row r="1580" spans="3:15" ht="13.5">
      <c r="C1580" s="1526" t="s">
        <v>5541</v>
      </c>
      <c r="D1580" s="1523">
        <v>1</v>
      </c>
      <c r="E1580" s="1523">
        <v>1</v>
      </c>
      <c r="F1580" s="1524">
        <v>2</v>
      </c>
      <c r="G1580" s="1537" t="s">
        <v>5541</v>
      </c>
      <c r="H1580" s="1521">
        <v>1</v>
      </c>
      <c r="I1580" s="1521">
        <v>1</v>
      </c>
      <c r="J1580" s="1538">
        <v>2</v>
      </c>
      <c r="K1580" s="1525"/>
      <c r="L1580" s="1519">
        <v>13135050528</v>
      </c>
      <c r="M1580" s="1520">
        <v>1</v>
      </c>
      <c r="N1580" s="1520">
        <v>1</v>
      </c>
      <c r="O1580" s="1521">
        <v>2</v>
      </c>
    </row>
    <row r="1581" spans="3:15" ht="13.5">
      <c r="C1581" s="1526" t="s">
        <v>5542</v>
      </c>
      <c r="D1581" s="1523">
        <v>1</v>
      </c>
      <c r="E1581" s="1523">
        <v>0</v>
      </c>
      <c r="F1581" s="1524">
        <v>1</v>
      </c>
      <c r="G1581" s="1537" t="s">
        <v>5542</v>
      </c>
      <c r="H1581" s="1521">
        <v>1</v>
      </c>
      <c r="I1581" s="1521" t="s">
        <v>4099</v>
      </c>
      <c r="J1581" s="1538">
        <v>1</v>
      </c>
      <c r="K1581" s="1525"/>
      <c r="L1581" s="1519">
        <v>13135050529</v>
      </c>
      <c r="M1581" s="1520">
        <v>1</v>
      </c>
      <c r="N1581" s="1520">
        <v>0</v>
      </c>
      <c r="O1581" s="1521">
        <v>1</v>
      </c>
    </row>
    <row r="1582" spans="3:15" ht="13.5">
      <c r="C1582" s="1526" t="s">
        <v>5543</v>
      </c>
      <c r="D1582" s="1523">
        <v>1</v>
      </c>
      <c r="E1582" s="1523">
        <v>1</v>
      </c>
      <c r="F1582" s="1524">
        <v>2</v>
      </c>
      <c r="G1582" s="1537" t="s">
        <v>5543</v>
      </c>
      <c r="H1582" s="1521">
        <v>1</v>
      </c>
      <c r="I1582" s="1521">
        <v>1</v>
      </c>
      <c r="J1582" s="1538">
        <v>2</v>
      </c>
      <c r="K1582" s="1525"/>
      <c r="L1582" s="1519">
        <v>13135050530</v>
      </c>
      <c r="M1582" s="1520">
        <v>1</v>
      </c>
      <c r="N1582" s="1520">
        <v>1</v>
      </c>
      <c r="O1582" s="1521">
        <v>2</v>
      </c>
    </row>
    <row r="1583" spans="3:15" ht="13.5">
      <c r="C1583" s="1526" t="s">
        <v>5544</v>
      </c>
      <c r="D1583" s="1523">
        <v>1</v>
      </c>
      <c r="E1583" s="1523">
        <v>0</v>
      </c>
      <c r="F1583" s="1524">
        <v>1</v>
      </c>
      <c r="G1583" s="1537" t="s">
        <v>5544</v>
      </c>
      <c r="H1583" s="1521">
        <v>0</v>
      </c>
      <c r="I1583" s="1521">
        <v>0</v>
      </c>
      <c r="J1583" s="1538">
        <v>0</v>
      </c>
      <c r="K1583" s="1525"/>
      <c r="L1583" s="1519">
        <v>13135050531</v>
      </c>
      <c r="M1583" s="1520">
        <v>1</v>
      </c>
      <c r="N1583" s="1520">
        <v>0</v>
      </c>
      <c r="O1583" s="1521">
        <v>1</v>
      </c>
    </row>
    <row r="1584" spans="3:15" ht="13.5">
      <c r="C1584" s="1526" t="s">
        <v>5545</v>
      </c>
      <c r="D1584" s="1523">
        <v>1</v>
      </c>
      <c r="E1584" s="1523">
        <v>0</v>
      </c>
      <c r="F1584" s="1524">
        <v>1</v>
      </c>
      <c r="G1584" s="1537" t="s">
        <v>5545</v>
      </c>
      <c r="H1584" s="1521">
        <v>1</v>
      </c>
      <c r="I1584" s="1521">
        <v>0</v>
      </c>
      <c r="J1584" s="1538">
        <v>1</v>
      </c>
      <c r="K1584" s="1525"/>
      <c r="L1584" s="1519">
        <v>13135050532</v>
      </c>
      <c r="M1584" s="1520">
        <v>1</v>
      </c>
      <c r="N1584" s="1520">
        <v>0</v>
      </c>
      <c r="O1584" s="1521">
        <v>1</v>
      </c>
    </row>
    <row r="1585" spans="3:15" ht="13.5">
      <c r="C1585" s="1526" t="s">
        <v>5546</v>
      </c>
      <c r="D1585" s="1523">
        <v>1</v>
      </c>
      <c r="E1585" s="1523">
        <v>0</v>
      </c>
      <c r="F1585" s="1524">
        <v>1</v>
      </c>
      <c r="G1585" s="1537" t="s">
        <v>5546</v>
      </c>
      <c r="H1585" s="1521">
        <v>1</v>
      </c>
      <c r="I1585" s="1521">
        <v>0</v>
      </c>
      <c r="J1585" s="1538">
        <v>1</v>
      </c>
      <c r="K1585" s="1525"/>
      <c r="L1585" s="1519">
        <v>13135050533</v>
      </c>
      <c r="M1585" s="1520">
        <v>1</v>
      </c>
      <c r="N1585" s="1520">
        <v>0</v>
      </c>
      <c r="O1585" s="1521">
        <v>1</v>
      </c>
    </row>
    <row r="1586" spans="3:15" ht="13.5">
      <c r="C1586" s="1526" t="s">
        <v>5547</v>
      </c>
      <c r="D1586" s="1523">
        <v>1</v>
      </c>
      <c r="E1586" s="1523">
        <v>1</v>
      </c>
      <c r="F1586" s="1524">
        <v>2</v>
      </c>
      <c r="G1586" s="1537" t="s">
        <v>5547</v>
      </c>
      <c r="H1586" s="1521">
        <v>1</v>
      </c>
      <c r="I1586" s="1521" t="s">
        <v>4099</v>
      </c>
      <c r="J1586" s="1538">
        <v>1</v>
      </c>
      <c r="K1586" s="1525"/>
      <c r="L1586" s="1519">
        <v>13135050534</v>
      </c>
      <c r="M1586" s="1520">
        <v>1</v>
      </c>
      <c r="N1586" s="1520">
        <v>1</v>
      </c>
      <c r="O1586" s="1521">
        <v>2</v>
      </c>
    </row>
    <row r="1587" spans="3:15" ht="13.5">
      <c r="C1587" s="1526" t="s">
        <v>5548</v>
      </c>
      <c r="D1587" s="1523">
        <v>1</v>
      </c>
      <c r="E1587" s="1523">
        <v>0</v>
      </c>
      <c r="F1587" s="1524">
        <v>1</v>
      </c>
      <c r="G1587" s="1537" t="s">
        <v>5548</v>
      </c>
      <c r="H1587" s="1521">
        <v>1</v>
      </c>
      <c r="I1587" s="1521">
        <v>0</v>
      </c>
      <c r="J1587" s="1538">
        <v>1</v>
      </c>
      <c r="K1587" s="1525"/>
      <c r="L1587" s="1519">
        <v>13135050535</v>
      </c>
      <c r="M1587" s="1520">
        <v>1</v>
      </c>
      <c r="N1587" s="1520">
        <v>0</v>
      </c>
      <c r="O1587" s="1521">
        <v>1</v>
      </c>
    </row>
    <row r="1588" spans="3:15" ht="13.5">
      <c r="C1588" s="1526" t="s">
        <v>5549</v>
      </c>
      <c r="D1588" s="1523">
        <v>1</v>
      </c>
      <c r="E1588" s="1523">
        <v>1</v>
      </c>
      <c r="F1588" s="1524">
        <v>2</v>
      </c>
      <c r="G1588" s="1537" t="s">
        <v>5549</v>
      </c>
      <c r="H1588" s="1521">
        <v>1</v>
      </c>
      <c r="I1588" s="1521">
        <v>0</v>
      </c>
      <c r="J1588" s="1538">
        <v>1</v>
      </c>
      <c r="K1588" s="1525"/>
      <c r="L1588" s="1519">
        <v>13135050536</v>
      </c>
      <c r="M1588" s="1520">
        <v>1</v>
      </c>
      <c r="N1588" s="1520">
        <v>1</v>
      </c>
      <c r="O1588" s="1521">
        <v>2</v>
      </c>
    </row>
    <row r="1589" spans="3:15" ht="13.5">
      <c r="C1589" s="1526" t="s">
        <v>5550</v>
      </c>
      <c r="D1589" s="1523">
        <v>0</v>
      </c>
      <c r="E1589" s="1523">
        <v>0</v>
      </c>
      <c r="F1589" s="1524">
        <v>0</v>
      </c>
      <c r="G1589" s="1537" t="s">
        <v>5550</v>
      </c>
      <c r="H1589" s="1521">
        <v>0</v>
      </c>
      <c r="I1589" s="1521" t="s">
        <v>4099</v>
      </c>
      <c r="J1589" s="1538">
        <v>0</v>
      </c>
      <c r="K1589" s="1525"/>
      <c r="L1589" s="1519">
        <v>13135050537</v>
      </c>
      <c r="M1589" s="1520">
        <v>0</v>
      </c>
      <c r="N1589" s="1520">
        <v>0</v>
      </c>
      <c r="O1589" s="1521">
        <v>0</v>
      </c>
    </row>
    <row r="1590" spans="3:15" ht="13.5">
      <c r="C1590" s="1526" t="s">
        <v>5551</v>
      </c>
      <c r="D1590" s="1523">
        <v>1</v>
      </c>
      <c r="E1590" s="1523">
        <v>1</v>
      </c>
      <c r="F1590" s="1524">
        <v>2</v>
      </c>
      <c r="G1590" s="1537" t="s">
        <v>5551</v>
      </c>
      <c r="H1590" s="1521">
        <v>1</v>
      </c>
      <c r="I1590" s="1521">
        <v>0</v>
      </c>
      <c r="J1590" s="1538">
        <v>1</v>
      </c>
      <c r="K1590" s="1525"/>
      <c r="L1590" s="1519">
        <v>13135050538</v>
      </c>
      <c r="M1590" s="1520">
        <v>1</v>
      </c>
      <c r="N1590" s="1520">
        <v>1</v>
      </c>
      <c r="O1590" s="1521">
        <v>2</v>
      </c>
    </row>
    <row r="1591" spans="3:15" ht="13.5">
      <c r="C1591" s="1526" t="s">
        <v>5552</v>
      </c>
      <c r="D1591" s="1523">
        <v>0</v>
      </c>
      <c r="E1591" s="1523">
        <v>0</v>
      </c>
      <c r="F1591" s="1524">
        <v>0</v>
      </c>
      <c r="G1591" s="1537" t="s">
        <v>5552</v>
      </c>
      <c r="H1591" s="1521">
        <v>0</v>
      </c>
      <c r="I1591" s="1521">
        <v>0</v>
      </c>
      <c r="J1591" s="1538">
        <v>0</v>
      </c>
      <c r="K1591" s="1525"/>
      <c r="L1591" s="1519">
        <v>13135050539</v>
      </c>
      <c r="M1591" s="1520">
        <v>0</v>
      </c>
      <c r="N1591" s="1520">
        <v>0</v>
      </c>
      <c r="O1591" s="1521">
        <v>0</v>
      </c>
    </row>
    <row r="1592" spans="3:15" ht="13.5">
      <c r="C1592" s="1526" t="s">
        <v>5553</v>
      </c>
      <c r="D1592" s="1523">
        <v>1</v>
      </c>
      <c r="E1592" s="1523">
        <v>1</v>
      </c>
      <c r="F1592" s="1524">
        <v>2</v>
      </c>
      <c r="G1592" s="1537" t="s">
        <v>5553</v>
      </c>
      <c r="H1592" s="1521">
        <v>0</v>
      </c>
      <c r="I1592" s="1521">
        <v>0</v>
      </c>
      <c r="J1592" s="1538">
        <v>0</v>
      </c>
      <c r="K1592" s="1525"/>
      <c r="L1592" s="1519">
        <v>13135050540</v>
      </c>
      <c r="M1592" s="1520">
        <v>1</v>
      </c>
      <c r="N1592" s="1520">
        <v>1</v>
      </c>
      <c r="O1592" s="1521">
        <v>2</v>
      </c>
    </row>
    <row r="1593" spans="3:15" ht="13.5">
      <c r="C1593" s="1526" t="s">
        <v>5554</v>
      </c>
      <c r="D1593" s="1523">
        <v>0</v>
      </c>
      <c r="E1593" s="1523">
        <v>0</v>
      </c>
      <c r="F1593" s="1524">
        <v>0</v>
      </c>
      <c r="G1593" s="1537" t="s">
        <v>5554</v>
      </c>
      <c r="H1593" s="1521">
        <v>0</v>
      </c>
      <c r="I1593" s="1521" t="s">
        <v>4099</v>
      </c>
      <c r="J1593" s="1538">
        <v>0</v>
      </c>
      <c r="K1593" s="1525"/>
      <c r="L1593" s="1519">
        <v>13135050541</v>
      </c>
      <c r="M1593" s="1520">
        <v>0</v>
      </c>
      <c r="N1593" s="1520">
        <v>0</v>
      </c>
      <c r="O1593" s="1521">
        <v>0</v>
      </c>
    </row>
    <row r="1594" spans="3:15" ht="13.5">
      <c r="C1594" s="1526" t="s">
        <v>5555</v>
      </c>
      <c r="D1594" s="1523">
        <v>0</v>
      </c>
      <c r="E1594" s="1523">
        <v>0</v>
      </c>
      <c r="F1594" s="1524">
        <v>0</v>
      </c>
      <c r="G1594" s="1537" t="s">
        <v>5555</v>
      </c>
      <c r="H1594" s="1521">
        <v>0</v>
      </c>
      <c r="I1594" s="1521">
        <v>0</v>
      </c>
      <c r="J1594" s="1538">
        <v>0</v>
      </c>
      <c r="K1594" s="1525"/>
      <c r="L1594" s="1519">
        <v>13135050542</v>
      </c>
      <c r="M1594" s="1520">
        <v>0</v>
      </c>
      <c r="N1594" s="1520">
        <v>0</v>
      </c>
      <c r="O1594" s="1521">
        <v>0</v>
      </c>
    </row>
    <row r="1595" spans="3:15" ht="13.5">
      <c r="C1595" s="1526" t="s">
        <v>5556</v>
      </c>
      <c r="D1595" s="1523">
        <v>1</v>
      </c>
      <c r="E1595" s="1523">
        <v>1</v>
      </c>
      <c r="F1595" s="1524">
        <v>2</v>
      </c>
      <c r="G1595" s="1537" t="s">
        <v>5556</v>
      </c>
      <c r="H1595" s="1521">
        <v>1</v>
      </c>
      <c r="I1595" s="1521">
        <v>1</v>
      </c>
      <c r="J1595" s="1538">
        <v>2</v>
      </c>
      <c r="K1595" s="1525"/>
      <c r="L1595" s="1519">
        <v>13135050543</v>
      </c>
      <c r="M1595" s="1520">
        <v>1</v>
      </c>
      <c r="N1595" s="1520">
        <v>1</v>
      </c>
      <c r="O1595" s="1521">
        <v>2</v>
      </c>
    </row>
    <row r="1596" spans="3:15" ht="13.5">
      <c r="C1596" s="1526" t="s">
        <v>5557</v>
      </c>
      <c r="D1596" s="1523">
        <v>1</v>
      </c>
      <c r="E1596" s="1523">
        <v>1</v>
      </c>
      <c r="F1596" s="1524">
        <v>2</v>
      </c>
      <c r="G1596" s="1537" t="s">
        <v>5557</v>
      </c>
      <c r="H1596" s="1521">
        <v>1</v>
      </c>
      <c r="I1596" s="1521">
        <v>1</v>
      </c>
      <c r="J1596" s="1538">
        <v>2</v>
      </c>
      <c r="K1596" s="1525"/>
      <c r="L1596" s="1519">
        <v>13135050544</v>
      </c>
      <c r="M1596" s="1520">
        <v>1</v>
      </c>
      <c r="N1596" s="1520">
        <v>1</v>
      </c>
      <c r="O1596" s="1521">
        <v>2</v>
      </c>
    </row>
    <row r="1597" spans="3:15" ht="13.5">
      <c r="C1597" s="1526" t="s">
        <v>5558</v>
      </c>
      <c r="D1597" s="1523">
        <v>1</v>
      </c>
      <c r="E1597" s="1523">
        <v>0</v>
      </c>
      <c r="F1597" s="1524">
        <v>1</v>
      </c>
      <c r="G1597" s="1537" t="s">
        <v>5558</v>
      </c>
      <c r="H1597" s="1521">
        <v>1</v>
      </c>
      <c r="I1597" s="1521">
        <v>0</v>
      </c>
      <c r="J1597" s="1538">
        <v>1</v>
      </c>
      <c r="K1597" s="1525"/>
      <c r="L1597" s="1519">
        <v>13135050545</v>
      </c>
      <c r="M1597" s="1520">
        <v>1</v>
      </c>
      <c r="N1597" s="1520">
        <v>0</v>
      </c>
      <c r="O1597" s="1521">
        <v>1</v>
      </c>
    </row>
    <row r="1598" spans="3:15" ht="13.5">
      <c r="C1598" s="1526" t="s">
        <v>5559</v>
      </c>
      <c r="D1598" s="1523">
        <v>1</v>
      </c>
      <c r="E1598" s="1523">
        <v>1</v>
      </c>
      <c r="F1598" s="1524">
        <v>2</v>
      </c>
      <c r="G1598" s="1537" t="s">
        <v>5559</v>
      </c>
      <c r="H1598" s="1521">
        <v>1</v>
      </c>
      <c r="I1598" s="1521">
        <v>1</v>
      </c>
      <c r="J1598" s="1538">
        <v>2</v>
      </c>
      <c r="K1598" s="1525"/>
      <c r="L1598" s="1519">
        <v>13135050546</v>
      </c>
      <c r="M1598" s="1520">
        <v>1</v>
      </c>
      <c r="N1598" s="1520">
        <v>1</v>
      </c>
      <c r="O1598" s="1521">
        <v>2</v>
      </c>
    </row>
    <row r="1599" spans="3:15" ht="13.5">
      <c r="C1599" s="1526" t="s">
        <v>5560</v>
      </c>
      <c r="D1599" s="1523">
        <v>1</v>
      </c>
      <c r="E1599" s="1523">
        <v>1</v>
      </c>
      <c r="F1599" s="1524">
        <v>2</v>
      </c>
      <c r="G1599" s="1537" t="s">
        <v>5560</v>
      </c>
      <c r="H1599" s="1521">
        <v>1</v>
      </c>
      <c r="I1599" s="1521">
        <v>1</v>
      </c>
      <c r="J1599" s="1538">
        <v>2</v>
      </c>
      <c r="K1599" s="1525"/>
      <c r="L1599" s="1519">
        <v>13135050547</v>
      </c>
      <c r="M1599" s="1520">
        <v>1</v>
      </c>
      <c r="N1599" s="1520">
        <v>1</v>
      </c>
      <c r="O1599" s="1521">
        <v>2</v>
      </c>
    </row>
    <row r="1600" spans="3:15" ht="13.5">
      <c r="C1600" s="1526" t="s">
        <v>5561</v>
      </c>
      <c r="D1600" s="1523">
        <v>1</v>
      </c>
      <c r="E1600" s="1523">
        <v>1</v>
      </c>
      <c r="F1600" s="1524">
        <v>2</v>
      </c>
      <c r="G1600" s="1537" t="s">
        <v>5561</v>
      </c>
      <c r="H1600" s="1521">
        <v>1</v>
      </c>
      <c r="I1600" s="1521">
        <v>1</v>
      </c>
      <c r="J1600" s="1538">
        <v>2</v>
      </c>
      <c r="K1600" s="1525"/>
      <c r="L1600" s="1519">
        <v>13135050548</v>
      </c>
      <c r="M1600" s="1520">
        <v>1</v>
      </c>
      <c r="N1600" s="1520">
        <v>1</v>
      </c>
      <c r="O1600" s="1521">
        <v>2</v>
      </c>
    </row>
    <row r="1601" spans="3:15" ht="13.5">
      <c r="C1601" s="1526" t="s">
        <v>5562</v>
      </c>
      <c r="D1601" s="1523">
        <v>1</v>
      </c>
      <c r="E1601" s="1523">
        <v>1</v>
      </c>
      <c r="F1601" s="1524">
        <v>2</v>
      </c>
      <c r="G1601" s="1537" t="s">
        <v>5562</v>
      </c>
      <c r="H1601" s="1521">
        <v>1</v>
      </c>
      <c r="I1601" s="1521">
        <v>1</v>
      </c>
      <c r="J1601" s="1538">
        <v>2</v>
      </c>
      <c r="K1601" s="1525"/>
      <c r="L1601" s="1519">
        <v>13135050549</v>
      </c>
      <c r="M1601" s="1520">
        <v>1</v>
      </c>
      <c r="N1601" s="1520">
        <v>1</v>
      </c>
      <c r="O1601" s="1521">
        <v>2</v>
      </c>
    </row>
    <row r="1602" spans="3:15" ht="13.5">
      <c r="C1602" s="1526" t="s">
        <v>5563</v>
      </c>
      <c r="D1602" s="1523">
        <v>1</v>
      </c>
      <c r="E1602" s="1523">
        <v>1</v>
      </c>
      <c r="F1602" s="1524">
        <v>2</v>
      </c>
      <c r="G1602" s="1537" t="s">
        <v>5563</v>
      </c>
      <c r="H1602" s="1521">
        <v>1</v>
      </c>
      <c r="I1602" s="1521">
        <v>1</v>
      </c>
      <c r="J1602" s="1538">
        <v>2</v>
      </c>
      <c r="K1602" s="1525"/>
      <c r="L1602" s="1519">
        <v>13135050605</v>
      </c>
      <c r="M1602" s="1520">
        <v>1</v>
      </c>
      <c r="N1602" s="1520">
        <v>1</v>
      </c>
      <c r="O1602" s="1521">
        <v>2</v>
      </c>
    </row>
    <row r="1603" spans="3:15" ht="13.5">
      <c r="C1603" s="1526" t="s">
        <v>5564</v>
      </c>
      <c r="D1603" s="1523">
        <v>1</v>
      </c>
      <c r="E1603" s="1523">
        <v>1</v>
      </c>
      <c r="F1603" s="1524">
        <v>2</v>
      </c>
      <c r="G1603" s="1537" t="s">
        <v>5564</v>
      </c>
      <c r="H1603" s="1521">
        <v>1</v>
      </c>
      <c r="I1603" s="1521">
        <v>1</v>
      </c>
      <c r="J1603" s="1538">
        <v>2</v>
      </c>
      <c r="K1603" s="1525"/>
      <c r="L1603" s="1519">
        <v>13135050606</v>
      </c>
      <c r="M1603" s="1520">
        <v>1</v>
      </c>
      <c r="N1603" s="1520">
        <v>1</v>
      </c>
      <c r="O1603" s="1521">
        <v>2</v>
      </c>
    </row>
    <row r="1604" spans="3:15" ht="13.5">
      <c r="C1604" s="1526" t="s">
        <v>5565</v>
      </c>
      <c r="D1604" s="1523">
        <v>1</v>
      </c>
      <c r="E1604" s="1523">
        <v>1</v>
      </c>
      <c r="F1604" s="1524">
        <v>2</v>
      </c>
      <c r="G1604" s="1537" t="s">
        <v>5565</v>
      </c>
      <c r="H1604" s="1521">
        <v>1</v>
      </c>
      <c r="I1604" s="1521">
        <v>1</v>
      </c>
      <c r="J1604" s="1538">
        <v>2</v>
      </c>
      <c r="K1604" s="1525"/>
      <c r="L1604" s="1519">
        <v>13135050607</v>
      </c>
      <c r="M1604" s="1520">
        <v>1</v>
      </c>
      <c r="N1604" s="1520">
        <v>1</v>
      </c>
      <c r="O1604" s="1521">
        <v>2</v>
      </c>
    </row>
    <row r="1605" spans="3:15" ht="13.5">
      <c r="C1605" s="1526" t="s">
        <v>5566</v>
      </c>
      <c r="D1605" s="1523">
        <v>1</v>
      </c>
      <c r="E1605" s="1523">
        <v>1</v>
      </c>
      <c r="F1605" s="1524">
        <v>2</v>
      </c>
      <c r="G1605" s="1537" t="s">
        <v>5566</v>
      </c>
      <c r="H1605" s="1521">
        <v>1</v>
      </c>
      <c r="I1605" s="1521">
        <v>1</v>
      </c>
      <c r="J1605" s="1538">
        <v>2</v>
      </c>
      <c r="K1605" s="1525"/>
      <c r="L1605" s="1519">
        <v>13135050608</v>
      </c>
      <c r="M1605" s="1520">
        <v>1</v>
      </c>
      <c r="N1605" s="1520">
        <v>1</v>
      </c>
      <c r="O1605" s="1521">
        <v>2</v>
      </c>
    </row>
    <row r="1606" spans="3:15" ht="13.5">
      <c r="C1606" s="1526" t="s">
        <v>5567</v>
      </c>
      <c r="D1606" s="1523">
        <v>1</v>
      </c>
      <c r="E1606" s="1523">
        <v>1</v>
      </c>
      <c r="F1606" s="1524">
        <v>2</v>
      </c>
      <c r="G1606" s="1537" t="s">
        <v>5567</v>
      </c>
      <c r="H1606" s="1521">
        <v>1</v>
      </c>
      <c r="I1606" s="1521">
        <v>1</v>
      </c>
      <c r="J1606" s="1538">
        <v>2</v>
      </c>
      <c r="K1606" s="1525"/>
      <c r="L1606" s="1519">
        <v>13135050609</v>
      </c>
      <c r="M1606" s="1520">
        <v>1</v>
      </c>
      <c r="N1606" s="1520">
        <v>1</v>
      </c>
      <c r="O1606" s="1521">
        <v>2</v>
      </c>
    </row>
    <row r="1607" spans="3:15" ht="13.5">
      <c r="C1607" s="1526" t="s">
        <v>5568</v>
      </c>
      <c r="D1607" s="1523">
        <v>1</v>
      </c>
      <c r="E1607" s="1523">
        <v>1</v>
      </c>
      <c r="F1607" s="1524">
        <v>2</v>
      </c>
      <c r="G1607" s="1537" t="s">
        <v>5568</v>
      </c>
      <c r="H1607" s="1521">
        <v>1</v>
      </c>
      <c r="I1607" s="1521">
        <v>1</v>
      </c>
      <c r="J1607" s="1538">
        <v>2</v>
      </c>
      <c r="K1607" s="1525"/>
      <c r="L1607" s="1519">
        <v>13135050610</v>
      </c>
      <c r="M1607" s="1520">
        <v>1</v>
      </c>
      <c r="N1607" s="1520">
        <v>1</v>
      </c>
      <c r="O1607" s="1521">
        <v>2</v>
      </c>
    </row>
    <row r="1608" spans="3:15" ht="13.5">
      <c r="C1608" s="1526" t="s">
        <v>5569</v>
      </c>
      <c r="D1608" s="1523">
        <v>0</v>
      </c>
      <c r="E1608" s="1523">
        <v>1</v>
      </c>
      <c r="F1608" s="1524">
        <v>1</v>
      </c>
      <c r="G1608" s="1537" t="s">
        <v>5569</v>
      </c>
      <c r="H1608" s="1521">
        <v>0</v>
      </c>
      <c r="I1608" s="1521">
        <v>1</v>
      </c>
      <c r="J1608" s="1538">
        <v>1</v>
      </c>
      <c r="K1608" s="1525"/>
      <c r="L1608" s="1519">
        <v>13135050709</v>
      </c>
      <c r="M1608" s="1520">
        <v>0</v>
      </c>
      <c r="N1608" s="1520">
        <v>1</v>
      </c>
      <c r="O1608" s="1521">
        <v>1</v>
      </c>
    </row>
    <row r="1609" spans="3:15" ht="13.5">
      <c r="C1609" s="1526" t="s">
        <v>5570</v>
      </c>
      <c r="D1609" s="1523">
        <v>1</v>
      </c>
      <c r="E1609" s="1523">
        <v>1</v>
      </c>
      <c r="F1609" s="1524">
        <v>2</v>
      </c>
      <c r="G1609" s="1537" t="s">
        <v>5570</v>
      </c>
      <c r="H1609" s="1521">
        <v>1</v>
      </c>
      <c r="I1609" s="1521">
        <v>1</v>
      </c>
      <c r="J1609" s="1538">
        <v>2</v>
      </c>
      <c r="K1609" s="1525"/>
      <c r="L1609" s="1519">
        <v>13135050712</v>
      </c>
      <c r="M1609" s="1520">
        <v>1</v>
      </c>
      <c r="N1609" s="1520">
        <v>1</v>
      </c>
      <c r="O1609" s="1521">
        <v>2</v>
      </c>
    </row>
    <row r="1610" spans="3:15" ht="13.5">
      <c r="C1610" s="1526" t="s">
        <v>5571</v>
      </c>
      <c r="D1610" s="1523">
        <v>1</v>
      </c>
      <c r="E1610" s="1523">
        <v>1</v>
      </c>
      <c r="F1610" s="1524">
        <v>2</v>
      </c>
      <c r="G1610" s="1537" t="s">
        <v>5571</v>
      </c>
      <c r="H1610" s="1521">
        <v>1</v>
      </c>
      <c r="I1610" s="1521">
        <v>1</v>
      </c>
      <c r="J1610" s="1538">
        <v>2</v>
      </c>
      <c r="K1610" s="1525"/>
      <c r="L1610" s="1519">
        <v>13135050713</v>
      </c>
      <c r="M1610" s="1520">
        <v>1</v>
      </c>
      <c r="N1610" s="1520">
        <v>1</v>
      </c>
      <c r="O1610" s="1521">
        <v>2</v>
      </c>
    </row>
    <row r="1611" spans="3:15" ht="13.5">
      <c r="C1611" s="1526" t="s">
        <v>5572</v>
      </c>
      <c r="D1611" s="1523">
        <v>1</v>
      </c>
      <c r="E1611" s="1523">
        <v>1</v>
      </c>
      <c r="F1611" s="1524">
        <v>2</v>
      </c>
      <c r="G1611" s="1537" t="s">
        <v>5572</v>
      </c>
      <c r="H1611" s="1521">
        <v>1</v>
      </c>
      <c r="I1611" s="1521">
        <v>1</v>
      </c>
      <c r="J1611" s="1538">
        <v>2</v>
      </c>
      <c r="K1611" s="1525"/>
      <c r="L1611" s="1519">
        <v>13135050714</v>
      </c>
      <c r="M1611" s="1520">
        <v>1</v>
      </c>
      <c r="N1611" s="1520">
        <v>1</v>
      </c>
      <c r="O1611" s="1521">
        <v>2</v>
      </c>
    </row>
    <row r="1612" spans="3:15" ht="13.5">
      <c r="C1612" s="1526" t="s">
        <v>5573</v>
      </c>
      <c r="D1612" s="1523">
        <v>1</v>
      </c>
      <c r="E1612" s="1523">
        <v>1</v>
      </c>
      <c r="F1612" s="1524">
        <v>2</v>
      </c>
      <c r="G1612" s="1537" t="s">
        <v>5573</v>
      </c>
      <c r="H1612" s="1521">
        <v>1</v>
      </c>
      <c r="I1612" s="1521">
        <v>1</v>
      </c>
      <c r="J1612" s="1538">
        <v>2</v>
      </c>
      <c r="K1612" s="1525"/>
      <c r="L1612" s="1519">
        <v>13135050715</v>
      </c>
      <c r="M1612" s="1520">
        <v>1</v>
      </c>
      <c r="N1612" s="1520">
        <v>1</v>
      </c>
      <c r="O1612" s="1521">
        <v>2</v>
      </c>
    </row>
    <row r="1613" spans="3:15" ht="13.5">
      <c r="C1613" s="1526" t="s">
        <v>5574</v>
      </c>
      <c r="D1613" s="1523">
        <v>1</v>
      </c>
      <c r="E1613" s="1523">
        <v>1</v>
      </c>
      <c r="F1613" s="1524">
        <v>2</v>
      </c>
      <c r="G1613" s="1537" t="s">
        <v>5574</v>
      </c>
      <c r="H1613" s="1521">
        <v>1</v>
      </c>
      <c r="I1613" s="1521" t="s">
        <v>4099</v>
      </c>
      <c r="J1613" s="1538">
        <v>1</v>
      </c>
      <c r="K1613" s="1525"/>
      <c r="L1613" s="1519">
        <v>13135050718</v>
      </c>
      <c r="M1613" s="1520">
        <v>1</v>
      </c>
      <c r="N1613" s="1520">
        <v>1</v>
      </c>
      <c r="O1613" s="1521">
        <v>2</v>
      </c>
    </row>
    <row r="1614" spans="3:15" ht="13.5">
      <c r="C1614" s="1526" t="s">
        <v>5575</v>
      </c>
      <c r="D1614" s="1523">
        <v>1</v>
      </c>
      <c r="E1614" s="1523">
        <v>1</v>
      </c>
      <c r="F1614" s="1524">
        <v>2</v>
      </c>
      <c r="G1614" s="1537" t="s">
        <v>5575</v>
      </c>
      <c r="H1614" s="1521">
        <v>1</v>
      </c>
      <c r="I1614" s="1521">
        <v>0</v>
      </c>
      <c r="J1614" s="1538">
        <v>1</v>
      </c>
      <c r="K1614" s="1525"/>
      <c r="L1614" s="1519">
        <v>13135050719</v>
      </c>
      <c r="M1614" s="1520">
        <v>1</v>
      </c>
      <c r="N1614" s="1520">
        <v>1</v>
      </c>
      <c r="O1614" s="1521">
        <v>2</v>
      </c>
    </row>
    <row r="1615" spans="3:15" ht="13.5">
      <c r="C1615" s="1526" t="s">
        <v>5576</v>
      </c>
      <c r="D1615" s="1523">
        <v>1</v>
      </c>
      <c r="E1615" s="1523">
        <v>1</v>
      </c>
      <c r="F1615" s="1524">
        <v>2</v>
      </c>
      <c r="G1615" s="1537" t="s">
        <v>5576</v>
      </c>
      <c r="H1615" s="1521">
        <v>1</v>
      </c>
      <c r="I1615" s="1521">
        <v>1</v>
      </c>
      <c r="J1615" s="1538">
        <v>2</v>
      </c>
      <c r="K1615" s="1525"/>
      <c r="L1615" s="1519">
        <v>13135050720</v>
      </c>
      <c r="M1615" s="1520">
        <v>1</v>
      </c>
      <c r="N1615" s="1520">
        <v>1</v>
      </c>
      <c r="O1615" s="1521">
        <v>2</v>
      </c>
    </row>
    <row r="1616" spans="3:15" ht="13.5">
      <c r="C1616" s="1526" t="s">
        <v>5577</v>
      </c>
      <c r="D1616" s="1523">
        <v>1</v>
      </c>
      <c r="E1616" s="1523">
        <v>0</v>
      </c>
      <c r="F1616" s="1524">
        <v>1</v>
      </c>
      <c r="G1616" s="1537" t="s">
        <v>5577</v>
      </c>
      <c r="H1616" s="1521">
        <v>1</v>
      </c>
      <c r="I1616" s="1521">
        <v>1</v>
      </c>
      <c r="J1616" s="1538">
        <v>2</v>
      </c>
      <c r="K1616" s="1525"/>
      <c r="L1616" s="1519">
        <v>13135050721</v>
      </c>
      <c r="M1616" s="1520">
        <v>1</v>
      </c>
      <c r="N1616" s="1520">
        <v>1</v>
      </c>
      <c r="O1616" s="1521">
        <v>2</v>
      </c>
    </row>
    <row r="1617" spans="3:15" ht="13.5">
      <c r="C1617" s="1526" t="s">
        <v>5578</v>
      </c>
      <c r="D1617" s="1523">
        <v>0</v>
      </c>
      <c r="E1617" s="1523">
        <v>0</v>
      </c>
      <c r="F1617" s="1524">
        <v>0</v>
      </c>
      <c r="G1617" s="1537" t="s">
        <v>5578</v>
      </c>
      <c r="H1617" s="1521">
        <v>0</v>
      </c>
      <c r="I1617" s="1521">
        <v>0</v>
      </c>
      <c r="J1617" s="1538">
        <v>0</v>
      </c>
      <c r="K1617" s="1525"/>
      <c r="L1617" s="1519">
        <v>13135050722</v>
      </c>
      <c r="M1617" s="1520">
        <v>0</v>
      </c>
      <c r="N1617" s="1520">
        <v>0</v>
      </c>
      <c r="O1617" s="1521">
        <v>0</v>
      </c>
    </row>
    <row r="1618" spans="3:15" ht="13.5">
      <c r="C1618" s="1526" t="s">
        <v>5579</v>
      </c>
      <c r="D1618" s="1523">
        <v>0</v>
      </c>
      <c r="E1618" s="1523">
        <v>1</v>
      </c>
      <c r="F1618" s="1524">
        <v>1</v>
      </c>
      <c r="G1618" s="1537" t="s">
        <v>5579</v>
      </c>
      <c r="H1618" s="1521">
        <v>1</v>
      </c>
      <c r="I1618" s="1521">
        <v>1</v>
      </c>
      <c r="J1618" s="1538">
        <v>2</v>
      </c>
      <c r="K1618" s="1525"/>
      <c r="L1618" s="1519">
        <v>13135050723</v>
      </c>
      <c r="M1618" s="1520">
        <v>1</v>
      </c>
      <c r="N1618" s="1520">
        <v>1</v>
      </c>
      <c r="O1618" s="1521">
        <v>2</v>
      </c>
    </row>
    <row r="1619" spans="3:15" ht="13.5">
      <c r="C1619" s="1526" t="s">
        <v>5580</v>
      </c>
      <c r="D1619" s="1523">
        <v>1</v>
      </c>
      <c r="E1619" s="1523">
        <v>1</v>
      </c>
      <c r="F1619" s="1524">
        <v>2</v>
      </c>
      <c r="G1619" s="1537" t="s">
        <v>5580</v>
      </c>
      <c r="H1619" s="1521">
        <v>1</v>
      </c>
      <c r="I1619" s="1521">
        <v>1</v>
      </c>
      <c r="J1619" s="1538">
        <v>2</v>
      </c>
      <c r="K1619" s="1525"/>
      <c r="L1619" s="1519">
        <v>13135050724</v>
      </c>
      <c r="M1619" s="1520">
        <v>1</v>
      </c>
      <c r="N1619" s="1520">
        <v>1</v>
      </c>
      <c r="O1619" s="1521">
        <v>2</v>
      </c>
    </row>
    <row r="1620" spans="3:15" ht="13.5">
      <c r="C1620" s="1526" t="s">
        <v>5581</v>
      </c>
      <c r="D1620" s="1523">
        <v>1</v>
      </c>
      <c r="E1620" s="1523">
        <v>1</v>
      </c>
      <c r="F1620" s="1524">
        <v>2</v>
      </c>
      <c r="G1620" s="1537" t="s">
        <v>5581</v>
      </c>
      <c r="H1620" s="1521">
        <v>1</v>
      </c>
      <c r="I1620" s="1521">
        <v>1</v>
      </c>
      <c r="J1620" s="1538">
        <v>2</v>
      </c>
      <c r="K1620" s="1525"/>
      <c r="L1620" s="1519">
        <v>13135050725</v>
      </c>
      <c r="M1620" s="1520">
        <v>1</v>
      </c>
      <c r="N1620" s="1520">
        <v>1</v>
      </c>
      <c r="O1620" s="1521">
        <v>2</v>
      </c>
    </row>
    <row r="1621" spans="3:15" ht="13.5">
      <c r="C1621" s="1526" t="s">
        <v>5582</v>
      </c>
      <c r="D1621" s="1523">
        <v>1</v>
      </c>
      <c r="E1621" s="1523">
        <v>1</v>
      </c>
      <c r="F1621" s="1524">
        <v>2</v>
      </c>
      <c r="G1621" s="1537" t="s">
        <v>5582</v>
      </c>
      <c r="H1621" s="1521">
        <v>1</v>
      </c>
      <c r="I1621" s="1521">
        <v>1</v>
      </c>
      <c r="J1621" s="1538">
        <v>2</v>
      </c>
      <c r="K1621" s="1525"/>
      <c r="L1621" s="1519">
        <v>13135050726</v>
      </c>
      <c r="M1621" s="1520">
        <v>1</v>
      </c>
      <c r="N1621" s="1520">
        <v>1</v>
      </c>
      <c r="O1621" s="1521">
        <v>2</v>
      </c>
    </row>
    <row r="1622" spans="3:15" ht="13.5">
      <c r="C1622" s="1526" t="s">
        <v>5583</v>
      </c>
      <c r="D1622" s="1523">
        <v>1</v>
      </c>
      <c r="E1622" s="1523">
        <v>1</v>
      </c>
      <c r="F1622" s="1524">
        <v>2</v>
      </c>
      <c r="G1622" s="1537" t="s">
        <v>5583</v>
      </c>
      <c r="H1622" s="1521">
        <v>1</v>
      </c>
      <c r="I1622" s="1521">
        <v>1</v>
      </c>
      <c r="J1622" s="1538">
        <v>2</v>
      </c>
      <c r="K1622" s="1525"/>
      <c r="L1622" s="1519">
        <v>13135050727</v>
      </c>
      <c r="M1622" s="1520">
        <v>1</v>
      </c>
      <c r="N1622" s="1520">
        <v>1</v>
      </c>
      <c r="O1622" s="1521">
        <v>2</v>
      </c>
    </row>
    <row r="1623" spans="3:15" ht="13.5">
      <c r="C1623" s="1526" t="s">
        <v>5584</v>
      </c>
      <c r="D1623" s="1523">
        <v>1</v>
      </c>
      <c r="E1623" s="1523">
        <v>1</v>
      </c>
      <c r="F1623" s="1524">
        <v>2</v>
      </c>
      <c r="G1623" s="1537" t="s">
        <v>5584</v>
      </c>
      <c r="H1623" s="1521">
        <v>1</v>
      </c>
      <c r="I1623" s="1521">
        <v>1</v>
      </c>
      <c r="J1623" s="1538">
        <v>2</v>
      </c>
      <c r="K1623" s="1525"/>
      <c r="L1623" s="1519">
        <v>13135050728</v>
      </c>
      <c r="M1623" s="1520">
        <v>1</v>
      </c>
      <c r="N1623" s="1520">
        <v>1</v>
      </c>
      <c r="O1623" s="1521">
        <v>2</v>
      </c>
    </row>
    <row r="1624" spans="3:15" ht="13.5">
      <c r="C1624" s="1526" t="s">
        <v>5585</v>
      </c>
      <c r="D1624" s="1523">
        <v>0</v>
      </c>
      <c r="E1624" s="1523">
        <v>0</v>
      </c>
      <c r="F1624" s="1524">
        <v>0</v>
      </c>
      <c r="G1624" s="1537" t="s">
        <v>5585</v>
      </c>
      <c r="H1624" s="1521">
        <v>1</v>
      </c>
      <c r="I1624" s="1521">
        <v>0</v>
      </c>
      <c r="J1624" s="1538">
        <v>1</v>
      </c>
      <c r="K1624" s="1525"/>
      <c r="L1624" s="1519">
        <v>13135050729</v>
      </c>
      <c r="M1624" s="1520">
        <v>1</v>
      </c>
      <c r="N1624" s="1520">
        <v>0</v>
      </c>
      <c r="O1624" s="1521">
        <v>1</v>
      </c>
    </row>
    <row r="1625" spans="3:15" ht="13.5">
      <c r="C1625" s="1526" t="s">
        <v>5586</v>
      </c>
      <c r="D1625" s="1523">
        <v>1</v>
      </c>
      <c r="E1625" s="1523">
        <v>1</v>
      </c>
      <c r="F1625" s="1524">
        <v>2</v>
      </c>
      <c r="G1625" s="1537" t="s">
        <v>5586</v>
      </c>
      <c r="H1625" s="1521">
        <v>1</v>
      </c>
      <c r="I1625" s="1521">
        <v>0</v>
      </c>
      <c r="J1625" s="1538">
        <v>1</v>
      </c>
      <c r="K1625" s="1525"/>
      <c r="L1625" s="1519">
        <v>13135050730</v>
      </c>
      <c r="M1625" s="1520">
        <v>1</v>
      </c>
      <c r="N1625" s="1520">
        <v>1</v>
      </c>
      <c r="O1625" s="1521">
        <v>2</v>
      </c>
    </row>
    <row r="1626" spans="3:15" ht="13.5">
      <c r="C1626" s="1526" t="s">
        <v>5587</v>
      </c>
      <c r="D1626" s="1523">
        <v>1</v>
      </c>
      <c r="E1626" s="1523">
        <v>1</v>
      </c>
      <c r="F1626" s="1524">
        <v>2</v>
      </c>
      <c r="G1626" s="1537" t="s">
        <v>5587</v>
      </c>
      <c r="H1626" s="1521">
        <v>0</v>
      </c>
      <c r="I1626" s="1521">
        <v>1</v>
      </c>
      <c r="J1626" s="1538">
        <v>1</v>
      </c>
      <c r="K1626" s="1525"/>
      <c r="L1626" s="1519">
        <v>13135050731</v>
      </c>
      <c r="M1626" s="1520">
        <v>1</v>
      </c>
      <c r="N1626" s="1520">
        <v>1</v>
      </c>
      <c r="O1626" s="1521">
        <v>2</v>
      </c>
    </row>
    <row r="1627" spans="3:15" ht="13.5">
      <c r="C1627" s="1526" t="s">
        <v>5588</v>
      </c>
      <c r="D1627" s="1523">
        <v>1</v>
      </c>
      <c r="E1627" s="1523">
        <v>1</v>
      </c>
      <c r="F1627" s="1524">
        <v>2</v>
      </c>
      <c r="G1627" s="1537" t="s">
        <v>5588</v>
      </c>
      <c r="H1627" s="1521">
        <v>0</v>
      </c>
      <c r="I1627" s="1521">
        <v>1</v>
      </c>
      <c r="J1627" s="1538">
        <v>1</v>
      </c>
      <c r="K1627" s="1525"/>
      <c r="L1627" s="1519">
        <v>13137000100</v>
      </c>
      <c r="M1627" s="1520">
        <v>1</v>
      </c>
      <c r="N1627" s="1520">
        <v>1</v>
      </c>
      <c r="O1627" s="1521">
        <v>2</v>
      </c>
    </row>
    <row r="1628" spans="3:15" ht="13.5">
      <c r="C1628" s="1526" t="s">
        <v>5589</v>
      </c>
      <c r="D1628" s="1523">
        <v>1</v>
      </c>
      <c r="E1628" s="1523">
        <v>0</v>
      </c>
      <c r="F1628" s="1524">
        <v>1</v>
      </c>
      <c r="G1628" s="1537" t="s">
        <v>5589</v>
      </c>
      <c r="H1628" s="1521">
        <v>0</v>
      </c>
      <c r="I1628" s="1521">
        <v>0</v>
      </c>
      <c r="J1628" s="1538">
        <v>0</v>
      </c>
      <c r="K1628" s="1525"/>
      <c r="L1628" s="1519">
        <v>13137000201</v>
      </c>
      <c r="M1628" s="1520">
        <v>1</v>
      </c>
      <c r="N1628" s="1520">
        <v>0</v>
      </c>
      <c r="O1628" s="1521">
        <v>1</v>
      </c>
    </row>
    <row r="1629" spans="3:15" ht="13.5">
      <c r="C1629" s="1526" t="s">
        <v>5590</v>
      </c>
      <c r="D1629" s="1523">
        <v>1</v>
      </c>
      <c r="E1629" s="1523">
        <v>1</v>
      </c>
      <c r="F1629" s="1524">
        <v>2</v>
      </c>
      <c r="G1629" s="1537" t="s">
        <v>5590</v>
      </c>
      <c r="H1629" s="1521">
        <v>1</v>
      </c>
      <c r="I1629" s="1521">
        <v>0</v>
      </c>
      <c r="J1629" s="1538">
        <v>1</v>
      </c>
      <c r="K1629" s="1525"/>
      <c r="L1629" s="1519">
        <v>13137000202</v>
      </c>
      <c r="M1629" s="1520">
        <v>1</v>
      </c>
      <c r="N1629" s="1520">
        <v>1</v>
      </c>
      <c r="O1629" s="1521">
        <v>2</v>
      </c>
    </row>
    <row r="1630" spans="3:15" ht="13.5">
      <c r="C1630" s="1526" t="s">
        <v>5591</v>
      </c>
      <c r="D1630" s="1523">
        <v>0</v>
      </c>
      <c r="E1630" s="1523">
        <v>0</v>
      </c>
      <c r="F1630" s="1524">
        <v>0</v>
      </c>
      <c r="G1630" s="1537" t="s">
        <v>5591</v>
      </c>
      <c r="H1630" s="1521">
        <v>0</v>
      </c>
      <c r="I1630" s="1521">
        <v>0</v>
      </c>
      <c r="J1630" s="1538">
        <v>0</v>
      </c>
      <c r="K1630" s="1525"/>
      <c r="L1630" s="1519">
        <v>13137000300</v>
      </c>
      <c r="M1630" s="1520">
        <v>0</v>
      </c>
      <c r="N1630" s="1520">
        <v>0</v>
      </c>
      <c r="O1630" s="1521">
        <v>0</v>
      </c>
    </row>
    <row r="1631" spans="3:15" ht="13.5">
      <c r="C1631" s="1526" t="s">
        <v>5592</v>
      </c>
      <c r="D1631" s="1523">
        <v>1</v>
      </c>
      <c r="E1631" s="1523">
        <v>0</v>
      </c>
      <c r="F1631" s="1524">
        <v>1</v>
      </c>
      <c r="G1631" s="1537" t="s">
        <v>5592</v>
      </c>
      <c r="H1631" s="1521">
        <v>0</v>
      </c>
      <c r="I1631" s="1521">
        <v>1</v>
      </c>
      <c r="J1631" s="1538">
        <v>1</v>
      </c>
      <c r="K1631" s="1525"/>
      <c r="L1631" s="1519">
        <v>13137000400</v>
      </c>
      <c r="M1631" s="1520">
        <v>1</v>
      </c>
      <c r="N1631" s="1520">
        <v>1</v>
      </c>
      <c r="O1631" s="1521">
        <v>1</v>
      </c>
    </row>
    <row r="1632" spans="3:15" ht="13.5">
      <c r="C1632" s="1526" t="s">
        <v>5593</v>
      </c>
      <c r="D1632" s="1523">
        <v>0</v>
      </c>
      <c r="E1632" s="1523">
        <v>0</v>
      </c>
      <c r="F1632" s="1524">
        <v>0</v>
      </c>
      <c r="G1632" s="1537" t="s">
        <v>5593</v>
      </c>
      <c r="H1632" s="1521">
        <v>0</v>
      </c>
      <c r="I1632" s="1521">
        <v>1</v>
      </c>
      <c r="J1632" s="1538">
        <v>1</v>
      </c>
      <c r="K1632" s="1525"/>
      <c r="L1632" s="1519">
        <v>13137000500</v>
      </c>
      <c r="M1632" s="1520">
        <v>0</v>
      </c>
      <c r="N1632" s="1520">
        <v>1</v>
      </c>
      <c r="O1632" s="1521">
        <v>1</v>
      </c>
    </row>
    <row r="1633" spans="3:15" ht="13.5">
      <c r="C1633" s="1526" t="s">
        <v>5594</v>
      </c>
      <c r="D1633" s="1523">
        <v>0</v>
      </c>
      <c r="E1633" s="1523">
        <v>0</v>
      </c>
      <c r="F1633" s="1524">
        <v>0</v>
      </c>
      <c r="G1633" s="1537" t="s">
        <v>5594</v>
      </c>
      <c r="H1633" s="1521">
        <v>0</v>
      </c>
      <c r="I1633" s="1521">
        <v>0</v>
      </c>
      <c r="J1633" s="1538">
        <v>0</v>
      </c>
      <c r="K1633" s="1525"/>
      <c r="L1633" s="1519">
        <v>13137000601</v>
      </c>
      <c r="M1633" s="1520">
        <v>0</v>
      </c>
      <c r="N1633" s="1520">
        <v>0</v>
      </c>
      <c r="O1633" s="1521">
        <v>0</v>
      </c>
    </row>
    <row r="1634" spans="3:15" ht="13.5">
      <c r="C1634" s="1526" t="s">
        <v>5595</v>
      </c>
      <c r="D1634" s="1523">
        <v>0</v>
      </c>
      <c r="E1634" s="1523">
        <v>0</v>
      </c>
      <c r="F1634" s="1524">
        <v>0</v>
      </c>
      <c r="G1634" s="1537" t="s">
        <v>5595</v>
      </c>
      <c r="H1634" s="1521">
        <v>0</v>
      </c>
      <c r="I1634" s="1521">
        <v>0</v>
      </c>
      <c r="J1634" s="1538">
        <v>0</v>
      </c>
      <c r="K1634" s="1525"/>
      <c r="L1634" s="1519">
        <v>13137000602</v>
      </c>
      <c r="M1634" s="1520">
        <v>0</v>
      </c>
      <c r="N1634" s="1520">
        <v>0</v>
      </c>
      <c r="O1634" s="1521">
        <v>0</v>
      </c>
    </row>
    <row r="1635" spans="3:15" ht="13.5">
      <c r="C1635" s="1526" t="s">
        <v>5596</v>
      </c>
      <c r="D1635" s="1523">
        <v>1</v>
      </c>
      <c r="E1635" s="1523">
        <v>0</v>
      </c>
      <c r="F1635" s="1524">
        <v>1</v>
      </c>
      <c r="G1635" s="1537" t="s">
        <v>5596</v>
      </c>
      <c r="H1635" s="1521">
        <v>0</v>
      </c>
      <c r="I1635" s="1521">
        <v>0</v>
      </c>
      <c r="J1635" s="1538">
        <v>0</v>
      </c>
      <c r="K1635" s="1525"/>
      <c r="L1635" s="1519">
        <v>13139000101</v>
      </c>
      <c r="M1635" s="1520">
        <v>1</v>
      </c>
      <c r="N1635" s="1520">
        <v>0</v>
      </c>
      <c r="O1635" s="1521">
        <v>1</v>
      </c>
    </row>
    <row r="1636" spans="3:15" ht="13.5">
      <c r="C1636" s="1526" t="s">
        <v>5597</v>
      </c>
      <c r="D1636" s="1523">
        <v>1</v>
      </c>
      <c r="E1636" s="1523">
        <v>0</v>
      </c>
      <c r="F1636" s="1524">
        <v>1</v>
      </c>
      <c r="G1636" s="1537" t="s">
        <v>5597</v>
      </c>
      <c r="H1636" s="1521">
        <v>1</v>
      </c>
      <c r="I1636" s="1521">
        <v>0</v>
      </c>
      <c r="J1636" s="1538">
        <v>1</v>
      </c>
      <c r="K1636" s="1525"/>
      <c r="L1636" s="1519">
        <v>13139000102</v>
      </c>
      <c r="M1636" s="1520">
        <v>1</v>
      </c>
      <c r="N1636" s="1520">
        <v>0</v>
      </c>
      <c r="O1636" s="1521">
        <v>1</v>
      </c>
    </row>
    <row r="1637" spans="3:15" ht="13.5">
      <c r="C1637" s="1526" t="s">
        <v>5598</v>
      </c>
      <c r="D1637" s="1523">
        <v>0</v>
      </c>
      <c r="E1637" s="1523">
        <v>0</v>
      </c>
      <c r="F1637" s="1524">
        <v>0</v>
      </c>
      <c r="G1637" s="1537" t="s">
        <v>5598</v>
      </c>
      <c r="H1637" s="1521">
        <v>1</v>
      </c>
      <c r="I1637" s="1521">
        <v>0</v>
      </c>
      <c r="J1637" s="1538">
        <v>1</v>
      </c>
      <c r="K1637" s="1525"/>
      <c r="L1637" s="1519">
        <v>13139000201</v>
      </c>
      <c r="M1637" s="1520">
        <v>1</v>
      </c>
      <c r="N1637" s="1520">
        <v>0</v>
      </c>
      <c r="O1637" s="1521">
        <v>1</v>
      </c>
    </row>
    <row r="1638" spans="3:15" ht="13.5">
      <c r="C1638" s="1526" t="s">
        <v>5599</v>
      </c>
      <c r="D1638" s="1523">
        <v>1</v>
      </c>
      <c r="E1638" s="1523">
        <v>1</v>
      </c>
      <c r="F1638" s="1524">
        <v>2</v>
      </c>
      <c r="G1638" s="1537" t="s">
        <v>5599</v>
      </c>
      <c r="H1638" s="1521">
        <v>1</v>
      </c>
      <c r="I1638" s="1521">
        <v>1</v>
      </c>
      <c r="J1638" s="1538">
        <v>2</v>
      </c>
      <c r="K1638" s="1525"/>
      <c r="L1638" s="1519">
        <v>13139000203</v>
      </c>
      <c r="M1638" s="1520">
        <v>1</v>
      </c>
      <c r="N1638" s="1520">
        <v>1</v>
      </c>
      <c r="O1638" s="1521">
        <v>2</v>
      </c>
    </row>
    <row r="1639" spans="3:15" ht="13.5">
      <c r="C1639" s="1526" t="s">
        <v>5600</v>
      </c>
      <c r="D1639" s="1523">
        <v>1</v>
      </c>
      <c r="E1639" s="1523">
        <v>1</v>
      </c>
      <c r="F1639" s="1524">
        <v>2</v>
      </c>
      <c r="G1639" s="1537" t="s">
        <v>5600</v>
      </c>
      <c r="H1639" s="1521">
        <v>1</v>
      </c>
      <c r="I1639" s="1521">
        <v>1</v>
      </c>
      <c r="J1639" s="1538">
        <v>2</v>
      </c>
      <c r="K1639" s="1525"/>
      <c r="L1639" s="1519">
        <v>13139000204</v>
      </c>
      <c r="M1639" s="1520">
        <v>1</v>
      </c>
      <c r="N1639" s="1520">
        <v>1</v>
      </c>
      <c r="O1639" s="1521">
        <v>2</v>
      </c>
    </row>
    <row r="1640" spans="3:15" ht="13.5">
      <c r="C1640" s="1526" t="s">
        <v>5601</v>
      </c>
      <c r="D1640" s="1523">
        <v>1</v>
      </c>
      <c r="E1640" s="1523">
        <v>1</v>
      </c>
      <c r="F1640" s="1524">
        <v>2</v>
      </c>
      <c r="G1640" s="1537" t="s">
        <v>5601</v>
      </c>
      <c r="H1640" s="1521">
        <v>1</v>
      </c>
      <c r="I1640" s="1521">
        <v>0</v>
      </c>
      <c r="J1640" s="1538">
        <v>1</v>
      </c>
      <c r="K1640" s="1525"/>
      <c r="L1640" s="1519">
        <v>13139000302</v>
      </c>
      <c r="M1640" s="1520">
        <v>1</v>
      </c>
      <c r="N1640" s="1520">
        <v>1</v>
      </c>
      <c r="O1640" s="1521">
        <v>2</v>
      </c>
    </row>
    <row r="1641" spans="3:15" ht="13.5">
      <c r="C1641" s="1526" t="s">
        <v>5602</v>
      </c>
      <c r="D1641" s="1523">
        <v>1</v>
      </c>
      <c r="E1641" s="1523">
        <v>1</v>
      </c>
      <c r="F1641" s="1524">
        <v>2</v>
      </c>
      <c r="G1641" s="1537" t="s">
        <v>5602</v>
      </c>
      <c r="H1641" s="1521">
        <v>1</v>
      </c>
      <c r="I1641" s="1521">
        <v>1</v>
      </c>
      <c r="J1641" s="1538">
        <v>2</v>
      </c>
      <c r="K1641" s="1525"/>
      <c r="L1641" s="1519">
        <v>13139000303</v>
      </c>
      <c r="M1641" s="1520">
        <v>1</v>
      </c>
      <c r="N1641" s="1520">
        <v>1</v>
      </c>
      <c r="O1641" s="1521">
        <v>2</v>
      </c>
    </row>
    <row r="1642" spans="3:15" ht="13.5">
      <c r="C1642" s="1526" t="s">
        <v>5603</v>
      </c>
      <c r="D1642" s="1523">
        <v>1</v>
      </c>
      <c r="E1642" s="1523">
        <v>1</v>
      </c>
      <c r="F1642" s="1524">
        <v>2</v>
      </c>
      <c r="G1642" s="1537" t="s">
        <v>5603</v>
      </c>
      <c r="H1642" s="1521">
        <v>1</v>
      </c>
      <c r="I1642" s="1521">
        <v>1</v>
      </c>
      <c r="J1642" s="1538">
        <v>2</v>
      </c>
      <c r="K1642" s="1525"/>
      <c r="L1642" s="1519">
        <v>13139000304</v>
      </c>
      <c r="M1642" s="1520">
        <v>1</v>
      </c>
      <c r="N1642" s="1520">
        <v>1</v>
      </c>
      <c r="O1642" s="1521">
        <v>2</v>
      </c>
    </row>
    <row r="1643" spans="3:15" ht="13.5">
      <c r="C1643" s="1526" t="s">
        <v>5604</v>
      </c>
      <c r="D1643" s="1523">
        <v>1</v>
      </c>
      <c r="E1643" s="1523">
        <v>1</v>
      </c>
      <c r="F1643" s="1524">
        <v>2</v>
      </c>
      <c r="G1643" s="1537" t="s">
        <v>5604</v>
      </c>
      <c r="H1643" s="1521">
        <v>1</v>
      </c>
      <c r="I1643" s="1521">
        <v>1</v>
      </c>
      <c r="J1643" s="1538">
        <v>2</v>
      </c>
      <c r="K1643" s="1525"/>
      <c r="L1643" s="1519">
        <v>13139000305</v>
      </c>
      <c r="M1643" s="1520">
        <v>1</v>
      </c>
      <c r="N1643" s="1520">
        <v>1</v>
      </c>
      <c r="O1643" s="1521">
        <v>2</v>
      </c>
    </row>
    <row r="1644" spans="3:15" ht="13.5">
      <c r="C1644" s="1526" t="s">
        <v>5605</v>
      </c>
      <c r="D1644" s="1523">
        <v>1</v>
      </c>
      <c r="E1644" s="1523">
        <v>0</v>
      </c>
      <c r="F1644" s="1524">
        <v>1</v>
      </c>
      <c r="G1644" s="1537" t="s">
        <v>5605</v>
      </c>
      <c r="H1644" s="1521">
        <v>1</v>
      </c>
      <c r="I1644" s="1521">
        <v>1</v>
      </c>
      <c r="J1644" s="1538">
        <v>2</v>
      </c>
      <c r="K1644" s="1525"/>
      <c r="L1644" s="1519">
        <v>13139000400</v>
      </c>
      <c r="M1644" s="1520">
        <v>1</v>
      </c>
      <c r="N1644" s="1520">
        <v>1</v>
      </c>
      <c r="O1644" s="1521">
        <v>2</v>
      </c>
    </row>
    <row r="1645" spans="3:15" ht="13.5">
      <c r="C1645" s="1526" t="s">
        <v>5606</v>
      </c>
      <c r="D1645" s="1523">
        <v>1</v>
      </c>
      <c r="E1645" s="1523">
        <v>1</v>
      </c>
      <c r="F1645" s="1524">
        <v>2</v>
      </c>
      <c r="G1645" s="1537" t="s">
        <v>5606</v>
      </c>
      <c r="H1645" s="1521">
        <v>1</v>
      </c>
      <c r="I1645" s="1521">
        <v>1</v>
      </c>
      <c r="J1645" s="1538">
        <v>2</v>
      </c>
      <c r="K1645" s="1525"/>
      <c r="L1645" s="1519">
        <v>13139000500</v>
      </c>
      <c r="M1645" s="1520">
        <v>1</v>
      </c>
      <c r="N1645" s="1520">
        <v>1</v>
      </c>
      <c r="O1645" s="1521">
        <v>2</v>
      </c>
    </row>
    <row r="1646" spans="3:15" ht="13.5">
      <c r="C1646" s="1526" t="s">
        <v>5607</v>
      </c>
      <c r="D1646" s="1523">
        <v>0</v>
      </c>
      <c r="E1646" s="1523">
        <v>0</v>
      </c>
      <c r="F1646" s="1524">
        <v>0</v>
      </c>
      <c r="G1646" s="1537" t="s">
        <v>5607</v>
      </c>
      <c r="H1646" s="1521">
        <v>0</v>
      </c>
      <c r="I1646" s="1521">
        <v>0</v>
      </c>
      <c r="J1646" s="1538">
        <v>0</v>
      </c>
      <c r="K1646" s="1525"/>
      <c r="L1646" s="1519">
        <v>13139000600</v>
      </c>
      <c r="M1646" s="1520">
        <v>0</v>
      </c>
      <c r="N1646" s="1520">
        <v>0</v>
      </c>
      <c r="O1646" s="1521">
        <v>0</v>
      </c>
    </row>
    <row r="1647" spans="3:15" ht="13.5">
      <c r="C1647" s="1526" t="s">
        <v>5608</v>
      </c>
      <c r="D1647" s="1523">
        <v>0</v>
      </c>
      <c r="E1647" s="1523">
        <v>0</v>
      </c>
      <c r="F1647" s="1524">
        <v>0</v>
      </c>
      <c r="G1647" s="1537" t="s">
        <v>5608</v>
      </c>
      <c r="H1647" s="1521">
        <v>0</v>
      </c>
      <c r="I1647" s="1521">
        <v>0</v>
      </c>
      <c r="J1647" s="1538">
        <v>0</v>
      </c>
      <c r="K1647" s="1525"/>
      <c r="L1647" s="1519">
        <v>13139000701</v>
      </c>
      <c r="M1647" s="1520">
        <v>0</v>
      </c>
      <c r="N1647" s="1520">
        <v>0</v>
      </c>
      <c r="O1647" s="1521">
        <v>0</v>
      </c>
    </row>
    <row r="1648" spans="3:15" ht="13.5">
      <c r="C1648" s="1526" t="s">
        <v>5609</v>
      </c>
      <c r="D1648" s="1523">
        <v>0</v>
      </c>
      <c r="E1648" s="1523">
        <v>0</v>
      </c>
      <c r="F1648" s="1524">
        <v>0</v>
      </c>
      <c r="G1648" s="1537" t="s">
        <v>5609</v>
      </c>
      <c r="H1648" s="1521">
        <v>0</v>
      </c>
      <c r="I1648" s="1521">
        <v>0</v>
      </c>
      <c r="J1648" s="1538">
        <v>0</v>
      </c>
      <c r="K1648" s="1525"/>
      <c r="L1648" s="1519">
        <v>13139000702</v>
      </c>
      <c r="M1648" s="1520">
        <v>0</v>
      </c>
      <c r="N1648" s="1520">
        <v>0</v>
      </c>
      <c r="O1648" s="1521">
        <v>0</v>
      </c>
    </row>
    <row r="1649" spans="3:15" ht="13.5">
      <c r="C1649" s="1526" t="s">
        <v>5610</v>
      </c>
      <c r="D1649" s="1523">
        <v>0</v>
      </c>
      <c r="E1649" s="1523">
        <v>0</v>
      </c>
      <c r="F1649" s="1524">
        <v>0</v>
      </c>
      <c r="G1649" s="1537" t="s">
        <v>5610</v>
      </c>
      <c r="H1649" s="1521">
        <v>0</v>
      </c>
      <c r="I1649" s="1521">
        <v>0</v>
      </c>
      <c r="J1649" s="1538">
        <v>0</v>
      </c>
      <c r="K1649" s="1525"/>
      <c r="L1649" s="1519">
        <v>13139000800</v>
      </c>
      <c r="M1649" s="1520">
        <v>0</v>
      </c>
      <c r="N1649" s="1520">
        <v>0</v>
      </c>
      <c r="O1649" s="1521">
        <v>0</v>
      </c>
    </row>
    <row r="1650" spans="3:15" ht="13.5">
      <c r="C1650" s="1526" t="s">
        <v>5611</v>
      </c>
      <c r="D1650" s="1523">
        <v>1</v>
      </c>
      <c r="E1650" s="1523">
        <v>1</v>
      </c>
      <c r="F1650" s="1524">
        <v>2</v>
      </c>
      <c r="G1650" s="1537" t="s">
        <v>5611</v>
      </c>
      <c r="H1650" s="1521">
        <v>1</v>
      </c>
      <c r="I1650" s="1521">
        <v>1</v>
      </c>
      <c r="J1650" s="1538">
        <v>2</v>
      </c>
      <c r="K1650" s="1525"/>
      <c r="L1650" s="1519">
        <v>13139000900</v>
      </c>
      <c r="M1650" s="1520">
        <v>1</v>
      </c>
      <c r="N1650" s="1520">
        <v>1</v>
      </c>
      <c r="O1650" s="1521">
        <v>2</v>
      </c>
    </row>
    <row r="1651" spans="3:15" ht="13.5">
      <c r="C1651" s="1526" t="s">
        <v>5612</v>
      </c>
      <c r="D1651" s="1523">
        <v>1</v>
      </c>
      <c r="E1651" s="1523">
        <v>0</v>
      </c>
      <c r="F1651" s="1524">
        <v>1</v>
      </c>
      <c r="G1651" s="1537" t="s">
        <v>5612</v>
      </c>
      <c r="H1651" s="1521">
        <v>0</v>
      </c>
      <c r="I1651" s="1521">
        <v>1</v>
      </c>
      <c r="J1651" s="1538">
        <v>1</v>
      </c>
      <c r="K1651" s="1525"/>
      <c r="L1651" s="1519">
        <v>13139001002</v>
      </c>
      <c r="M1651" s="1520">
        <v>1</v>
      </c>
      <c r="N1651" s="1520">
        <v>1</v>
      </c>
      <c r="O1651" s="1521">
        <v>1</v>
      </c>
    </row>
    <row r="1652" spans="3:15" ht="13.5">
      <c r="C1652" s="1526" t="s">
        <v>5613</v>
      </c>
      <c r="D1652" s="1523">
        <v>0</v>
      </c>
      <c r="E1652" s="1523">
        <v>0</v>
      </c>
      <c r="F1652" s="1524">
        <v>0</v>
      </c>
      <c r="G1652" s="1537" t="s">
        <v>5613</v>
      </c>
      <c r="H1652" s="1521">
        <v>0</v>
      </c>
      <c r="I1652" s="1521">
        <v>0</v>
      </c>
      <c r="J1652" s="1538">
        <v>0</v>
      </c>
      <c r="K1652" s="1525"/>
      <c r="L1652" s="1519">
        <v>13139001003</v>
      </c>
      <c r="M1652" s="1520">
        <v>0</v>
      </c>
      <c r="N1652" s="1520">
        <v>0</v>
      </c>
      <c r="O1652" s="1521">
        <v>0</v>
      </c>
    </row>
    <row r="1653" spans="3:15" ht="13.5">
      <c r="C1653" s="1526" t="s">
        <v>5614</v>
      </c>
      <c r="D1653" s="1523">
        <v>1</v>
      </c>
      <c r="E1653" s="1523">
        <v>1</v>
      </c>
      <c r="F1653" s="1524">
        <v>2</v>
      </c>
      <c r="G1653" s="1537" t="s">
        <v>5614</v>
      </c>
      <c r="H1653" s="1521">
        <v>0</v>
      </c>
      <c r="I1653" s="1521">
        <v>0</v>
      </c>
      <c r="J1653" s="1538">
        <v>0</v>
      </c>
      <c r="K1653" s="1525"/>
      <c r="L1653" s="1519">
        <v>13139001004</v>
      </c>
      <c r="M1653" s="1520">
        <v>1</v>
      </c>
      <c r="N1653" s="1520">
        <v>1</v>
      </c>
      <c r="O1653" s="1521">
        <v>2</v>
      </c>
    </row>
    <row r="1654" spans="3:15" ht="13.5">
      <c r="C1654" s="1526" t="s">
        <v>5615</v>
      </c>
      <c r="D1654" s="1523">
        <v>0</v>
      </c>
      <c r="E1654" s="1523">
        <v>0</v>
      </c>
      <c r="F1654" s="1524">
        <v>0</v>
      </c>
      <c r="G1654" s="1537" t="s">
        <v>5615</v>
      </c>
      <c r="H1654" s="1521">
        <v>0</v>
      </c>
      <c r="I1654" s="1521" t="s">
        <v>4099</v>
      </c>
      <c r="J1654" s="1538">
        <v>0</v>
      </c>
      <c r="K1654" s="1525"/>
      <c r="L1654" s="1519">
        <v>13139001101</v>
      </c>
      <c r="M1654" s="1520">
        <v>0</v>
      </c>
      <c r="N1654" s="1520">
        <v>0</v>
      </c>
      <c r="O1654" s="1521">
        <v>0</v>
      </c>
    </row>
    <row r="1655" spans="3:15" ht="13.5">
      <c r="C1655" s="1526" t="s">
        <v>5616</v>
      </c>
      <c r="D1655" s="1523">
        <v>0</v>
      </c>
      <c r="E1655" s="1523">
        <v>0</v>
      </c>
      <c r="F1655" s="1524">
        <v>0</v>
      </c>
      <c r="G1655" s="1537" t="s">
        <v>5616</v>
      </c>
      <c r="H1655" s="1521">
        <v>1</v>
      </c>
      <c r="I1655" s="1521">
        <v>0</v>
      </c>
      <c r="J1655" s="1538">
        <v>1</v>
      </c>
      <c r="K1655" s="1525"/>
      <c r="L1655" s="1519">
        <v>13139001102</v>
      </c>
      <c r="M1655" s="1520">
        <v>1</v>
      </c>
      <c r="N1655" s="1520">
        <v>0</v>
      </c>
      <c r="O1655" s="1521">
        <v>1</v>
      </c>
    </row>
    <row r="1656" spans="3:15" ht="13.5">
      <c r="C1656" s="1526" t="s">
        <v>5617</v>
      </c>
      <c r="D1656" s="1523">
        <v>0</v>
      </c>
      <c r="E1656" s="1523">
        <v>0</v>
      </c>
      <c r="F1656" s="1524">
        <v>0</v>
      </c>
      <c r="G1656" s="1537" t="s">
        <v>5617</v>
      </c>
      <c r="H1656" s="1521">
        <v>0</v>
      </c>
      <c r="I1656" s="1521">
        <v>0</v>
      </c>
      <c r="J1656" s="1538">
        <v>0</v>
      </c>
      <c r="K1656" s="1525"/>
      <c r="L1656" s="1519">
        <v>13139001201</v>
      </c>
      <c r="M1656" s="1520">
        <v>0</v>
      </c>
      <c r="N1656" s="1520">
        <v>0</v>
      </c>
      <c r="O1656" s="1521">
        <v>0</v>
      </c>
    </row>
    <row r="1657" spans="3:15" ht="13.5">
      <c r="C1657" s="1526" t="s">
        <v>5618</v>
      </c>
      <c r="D1657" s="1523">
        <v>1</v>
      </c>
      <c r="E1657" s="1523">
        <v>0</v>
      </c>
      <c r="F1657" s="1524">
        <v>1</v>
      </c>
      <c r="G1657" s="1537" t="s">
        <v>5618</v>
      </c>
      <c r="H1657" s="1521">
        <v>0</v>
      </c>
      <c r="I1657" s="1521">
        <v>0</v>
      </c>
      <c r="J1657" s="1538">
        <v>0</v>
      </c>
      <c r="K1657" s="1525"/>
      <c r="L1657" s="1519">
        <v>13139001202</v>
      </c>
      <c r="M1657" s="1520">
        <v>1</v>
      </c>
      <c r="N1657" s="1520">
        <v>0</v>
      </c>
      <c r="O1657" s="1521">
        <v>1</v>
      </c>
    </row>
    <row r="1658" spans="3:15" ht="13.5">
      <c r="C1658" s="1526" t="s">
        <v>5619</v>
      </c>
      <c r="D1658" s="1523">
        <v>1</v>
      </c>
      <c r="E1658" s="1523">
        <v>1</v>
      </c>
      <c r="F1658" s="1524">
        <v>2</v>
      </c>
      <c r="G1658" s="1537" t="s">
        <v>5619</v>
      </c>
      <c r="H1658" s="1521">
        <v>1</v>
      </c>
      <c r="I1658" s="1521">
        <v>0</v>
      </c>
      <c r="J1658" s="1538">
        <v>1</v>
      </c>
      <c r="K1658" s="1525"/>
      <c r="L1658" s="1519">
        <v>13139001301</v>
      </c>
      <c r="M1658" s="1520">
        <v>1</v>
      </c>
      <c r="N1658" s="1520">
        <v>1</v>
      </c>
      <c r="O1658" s="1521">
        <v>2</v>
      </c>
    </row>
    <row r="1659" spans="3:15" ht="13.5">
      <c r="C1659" s="1526" t="s">
        <v>5620</v>
      </c>
      <c r="D1659" s="1523">
        <v>1</v>
      </c>
      <c r="E1659" s="1523">
        <v>1</v>
      </c>
      <c r="F1659" s="1524">
        <v>2</v>
      </c>
      <c r="G1659" s="1537" t="s">
        <v>5620</v>
      </c>
      <c r="H1659" s="1521">
        <v>1</v>
      </c>
      <c r="I1659" s="1521">
        <v>1</v>
      </c>
      <c r="J1659" s="1538">
        <v>2</v>
      </c>
      <c r="K1659" s="1525"/>
      <c r="L1659" s="1519">
        <v>13139001302</v>
      </c>
      <c r="M1659" s="1520">
        <v>1</v>
      </c>
      <c r="N1659" s="1520">
        <v>1</v>
      </c>
      <c r="O1659" s="1521">
        <v>2</v>
      </c>
    </row>
    <row r="1660" spans="3:15" ht="13.5">
      <c r="C1660" s="1526" t="s">
        <v>5621</v>
      </c>
      <c r="D1660" s="1523">
        <v>1</v>
      </c>
      <c r="E1660" s="1523">
        <v>1</v>
      </c>
      <c r="F1660" s="1524">
        <v>2</v>
      </c>
      <c r="G1660" s="1537" t="s">
        <v>5621</v>
      </c>
      <c r="H1660" s="1521">
        <v>1</v>
      </c>
      <c r="I1660" s="1521">
        <v>0</v>
      </c>
      <c r="J1660" s="1538">
        <v>1</v>
      </c>
      <c r="K1660" s="1525"/>
      <c r="L1660" s="1519">
        <v>13139001402</v>
      </c>
      <c r="M1660" s="1520">
        <v>1</v>
      </c>
      <c r="N1660" s="1520">
        <v>1</v>
      </c>
      <c r="O1660" s="1521">
        <v>2</v>
      </c>
    </row>
    <row r="1661" spans="3:15" ht="13.5">
      <c r="C1661" s="1526" t="s">
        <v>5622</v>
      </c>
      <c r="D1661" s="1523">
        <v>0</v>
      </c>
      <c r="E1661" s="1523">
        <v>0</v>
      </c>
      <c r="F1661" s="1524">
        <v>0</v>
      </c>
      <c r="G1661" s="1537" t="s">
        <v>5622</v>
      </c>
      <c r="H1661" s="1521">
        <v>0</v>
      </c>
      <c r="I1661" s="1521">
        <v>0</v>
      </c>
      <c r="J1661" s="1538">
        <v>0</v>
      </c>
      <c r="K1661" s="1525"/>
      <c r="L1661" s="1519">
        <v>13139001403</v>
      </c>
      <c r="M1661" s="1520">
        <v>0</v>
      </c>
      <c r="N1661" s="1520">
        <v>0</v>
      </c>
      <c r="O1661" s="1521">
        <v>0</v>
      </c>
    </row>
    <row r="1662" spans="3:15" ht="13.5">
      <c r="C1662" s="1526" t="s">
        <v>5623</v>
      </c>
      <c r="D1662" s="1523">
        <v>1</v>
      </c>
      <c r="E1662" s="1523">
        <v>0</v>
      </c>
      <c r="F1662" s="1524">
        <v>1</v>
      </c>
      <c r="G1662" s="1537" t="s">
        <v>5623</v>
      </c>
      <c r="H1662" s="1521">
        <v>1</v>
      </c>
      <c r="I1662" s="1521">
        <v>0</v>
      </c>
      <c r="J1662" s="1538">
        <v>1</v>
      </c>
      <c r="K1662" s="1525"/>
      <c r="L1662" s="1519">
        <v>13139001404</v>
      </c>
      <c r="M1662" s="1520">
        <v>1</v>
      </c>
      <c r="N1662" s="1520">
        <v>0</v>
      </c>
      <c r="O1662" s="1521">
        <v>1</v>
      </c>
    </row>
    <row r="1663" spans="3:15" ht="13.5">
      <c r="C1663" s="1526" t="s">
        <v>5624</v>
      </c>
      <c r="D1663" s="1523">
        <v>1</v>
      </c>
      <c r="E1663" s="1523">
        <v>1</v>
      </c>
      <c r="F1663" s="1524">
        <v>2</v>
      </c>
      <c r="G1663" s="1537" t="s">
        <v>5624</v>
      </c>
      <c r="H1663" s="1521">
        <v>1</v>
      </c>
      <c r="I1663" s="1521">
        <v>1</v>
      </c>
      <c r="J1663" s="1538">
        <v>2</v>
      </c>
      <c r="K1663" s="1525"/>
      <c r="L1663" s="1519">
        <v>13139001501</v>
      </c>
      <c r="M1663" s="1520">
        <v>1</v>
      </c>
      <c r="N1663" s="1520">
        <v>1</v>
      </c>
      <c r="O1663" s="1521">
        <v>2</v>
      </c>
    </row>
    <row r="1664" spans="3:15" ht="13.5">
      <c r="C1664" s="1526" t="s">
        <v>5625</v>
      </c>
      <c r="D1664" s="1523">
        <v>1</v>
      </c>
      <c r="E1664" s="1523">
        <v>1</v>
      </c>
      <c r="F1664" s="1524">
        <v>2</v>
      </c>
      <c r="G1664" s="1537" t="s">
        <v>5625</v>
      </c>
      <c r="H1664" s="1521">
        <v>1</v>
      </c>
      <c r="I1664" s="1521">
        <v>1</v>
      </c>
      <c r="J1664" s="1538">
        <v>2</v>
      </c>
      <c r="K1664" s="1525"/>
      <c r="L1664" s="1519">
        <v>13139001502</v>
      </c>
      <c r="M1664" s="1520">
        <v>1</v>
      </c>
      <c r="N1664" s="1520">
        <v>1</v>
      </c>
      <c r="O1664" s="1521">
        <v>2</v>
      </c>
    </row>
    <row r="1665" spans="3:15" ht="13.5">
      <c r="C1665" s="1526" t="s">
        <v>5626</v>
      </c>
      <c r="D1665" s="1523">
        <v>1</v>
      </c>
      <c r="E1665" s="1523">
        <v>1</v>
      </c>
      <c r="F1665" s="1524">
        <v>2</v>
      </c>
      <c r="G1665" s="1537" t="s">
        <v>5626</v>
      </c>
      <c r="H1665" s="1521">
        <v>1</v>
      </c>
      <c r="I1665" s="1521">
        <v>0</v>
      </c>
      <c r="J1665" s="1538">
        <v>1</v>
      </c>
      <c r="K1665" s="1525"/>
      <c r="L1665" s="1519">
        <v>13139001603</v>
      </c>
      <c r="M1665" s="1520">
        <v>1</v>
      </c>
      <c r="N1665" s="1520">
        <v>1</v>
      </c>
      <c r="O1665" s="1521">
        <v>2</v>
      </c>
    </row>
    <row r="1666" spans="3:15" ht="13.5">
      <c r="C1666" s="1526" t="s">
        <v>5627</v>
      </c>
      <c r="D1666" s="1523">
        <v>1</v>
      </c>
      <c r="E1666" s="1523">
        <v>1</v>
      </c>
      <c r="F1666" s="1524">
        <v>2</v>
      </c>
      <c r="G1666" s="1537" t="s">
        <v>5627</v>
      </c>
      <c r="H1666" s="1521">
        <v>1</v>
      </c>
      <c r="I1666" s="1521">
        <v>1</v>
      </c>
      <c r="J1666" s="1538">
        <v>2</v>
      </c>
      <c r="K1666" s="1525"/>
      <c r="L1666" s="1519">
        <v>13139001604</v>
      </c>
      <c r="M1666" s="1520">
        <v>1</v>
      </c>
      <c r="N1666" s="1520">
        <v>1</v>
      </c>
      <c r="O1666" s="1521">
        <v>2</v>
      </c>
    </row>
    <row r="1667" spans="3:15" ht="13.5">
      <c r="C1667" s="1526" t="s">
        <v>5628</v>
      </c>
      <c r="D1667" s="1523">
        <v>1</v>
      </c>
      <c r="E1667" s="1523">
        <v>1</v>
      </c>
      <c r="F1667" s="1524">
        <v>2</v>
      </c>
      <c r="G1667" s="1537" t="s">
        <v>5628</v>
      </c>
      <c r="H1667" s="1521">
        <v>1</v>
      </c>
      <c r="I1667" s="1521" t="s">
        <v>4099</v>
      </c>
      <c r="J1667" s="1538">
        <v>1</v>
      </c>
      <c r="K1667" s="1525"/>
      <c r="L1667" s="1519">
        <v>13139001605</v>
      </c>
      <c r="M1667" s="1520">
        <v>1</v>
      </c>
      <c r="N1667" s="1520">
        <v>1</v>
      </c>
      <c r="O1667" s="1521">
        <v>2</v>
      </c>
    </row>
    <row r="1668" spans="3:15" ht="13.5">
      <c r="C1668" s="1526" t="s">
        <v>5629</v>
      </c>
      <c r="D1668" s="1523">
        <v>1</v>
      </c>
      <c r="E1668" s="1523">
        <v>1</v>
      </c>
      <c r="F1668" s="1524">
        <v>2</v>
      </c>
      <c r="G1668" s="1537" t="s">
        <v>5629</v>
      </c>
      <c r="H1668" s="1521">
        <v>1</v>
      </c>
      <c r="I1668" s="1521">
        <v>1</v>
      </c>
      <c r="J1668" s="1538">
        <v>2</v>
      </c>
      <c r="K1668" s="1525"/>
      <c r="L1668" s="1519">
        <v>13139001606</v>
      </c>
      <c r="M1668" s="1520">
        <v>1</v>
      </c>
      <c r="N1668" s="1520">
        <v>1</v>
      </c>
      <c r="O1668" s="1521">
        <v>2</v>
      </c>
    </row>
    <row r="1669" spans="3:15" ht="13.5">
      <c r="C1669" s="1526" t="s">
        <v>5630</v>
      </c>
      <c r="D1669" s="1523">
        <v>0</v>
      </c>
      <c r="E1669" s="1523">
        <v>1</v>
      </c>
      <c r="F1669" s="1524">
        <v>1</v>
      </c>
      <c r="G1669" s="1537" t="s">
        <v>5630</v>
      </c>
      <c r="H1669" s="1521">
        <v>1</v>
      </c>
      <c r="I1669" s="1521">
        <v>1</v>
      </c>
      <c r="J1669" s="1538">
        <v>2</v>
      </c>
      <c r="K1669" s="1525"/>
      <c r="L1669" s="1519">
        <v>13139001607</v>
      </c>
      <c r="M1669" s="1520">
        <v>1</v>
      </c>
      <c r="N1669" s="1520">
        <v>1</v>
      </c>
      <c r="O1669" s="1521">
        <v>2</v>
      </c>
    </row>
    <row r="1670" spans="3:15" ht="13.5">
      <c r="C1670" s="1526" t="s">
        <v>5631</v>
      </c>
      <c r="D1670" s="1523">
        <v>1</v>
      </c>
      <c r="E1670" s="1523">
        <v>1</v>
      </c>
      <c r="F1670" s="1524">
        <v>2</v>
      </c>
      <c r="G1670" s="1537" t="s">
        <v>5631</v>
      </c>
      <c r="H1670" s="1521">
        <v>1</v>
      </c>
      <c r="I1670" s="1521">
        <v>1</v>
      </c>
      <c r="J1670" s="1538">
        <v>2</v>
      </c>
      <c r="K1670" s="1525"/>
      <c r="L1670" s="1519">
        <v>13139001608</v>
      </c>
      <c r="M1670" s="1520">
        <v>1</v>
      </c>
      <c r="N1670" s="1520">
        <v>1</v>
      </c>
      <c r="O1670" s="1521">
        <v>2</v>
      </c>
    </row>
    <row r="1671" spans="3:15" ht="13.5">
      <c r="C1671" s="1526" t="s">
        <v>5632</v>
      </c>
      <c r="D1671" s="1523">
        <v>0</v>
      </c>
      <c r="E1671" s="1523">
        <v>0</v>
      </c>
      <c r="F1671" s="1524">
        <v>0</v>
      </c>
      <c r="G1671" s="1537" t="s">
        <v>5632</v>
      </c>
      <c r="H1671" s="1521">
        <v>0</v>
      </c>
      <c r="I1671" s="1521">
        <v>1</v>
      </c>
      <c r="J1671" s="1538">
        <v>1</v>
      </c>
      <c r="K1671" s="1525"/>
      <c r="L1671" s="1519">
        <v>13141480300</v>
      </c>
      <c r="M1671" s="1520">
        <v>0</v>
      </c>
      <c r="N1671" s="1520">
        <v>1</v>
      </c>
      <c r="O1671" s="1521">
        <v>1</v>
      </c>
    </row>
    <row r="1672" spans="3:15" ht="13.5">
      <c r="C1672" s="1526" t="s">
        <v>5633</v>
      </c>
      <c r="D1672" s="1523">
        <v>0</v>
      </c>
      <c r="E1672" s="1523">
        <v>0</v>
      </c>
      <c r="F1672" s="1524">
        <v>0</v>
      </c>
      <c r="G1672" s="1537" t="s">
        <v>5633</v>
      </c>
      <c r="H1672" s="1521">
        <v>0</v>
      </c>
      <c r="I1672" s="1521">
        <v>1</v>
      </c>
      <c r="J1672" s="1538">
        <v>1</v>
      </c>
      <c r="K1672" s="1525"/>
      <c r="L1672" s="1519">
        <v>13141480400</v>
      </c>
      <c r="M1672" s="1520">
        <v>0</v>
      </c>
      <c r="N1672" s="1520">
        <v>1</v>
      </c>
      <c r="O1672" s="1521">
        <v>1</v>
      </c>
    </row>
    <row r="1673" spans="3:15" ht="13.5">
      <c r="C1673" s="1526" t="s">
        <v>5634</v>
      </c>
      <c r="D1673" s="1523">
        <v>0</v>
      </c>
      <c r="E1673" s="1523">
        <v>0</v>
      </c>
      <c r="F1673" s="1524">
        <v>0</v>
      </c>
      <c r="G1673" s="1537" t="s">
        <v>5634</v>
      </c>
      <c r="H1673" s="1521">
        <v>0</v>
      </c>
      <c r="I1673" s="1521">
        <v>0</v>
      </c>
      <c r="J1673" s="1538">
        <v>0</v>
      </c>
      <c r="K1673" s="1525"/>
      <c r="L1673" s="1519">
        <v>13143010100</v>
      </c>
      <c r="M1673" s="1520">
        <v>0</v>
      </c>
      <c r="N1673" s="1520">
        <v>0</v>
      </c>
      <c r="O1673" s="1521">
        <v>0</v>
      </c>
    </row>
    <row r="1674" spans="3:15" ht="13.5">
      <c r="C1674" s="1526" t="s">
        <v>5635</v>
      </c>
      <c r="D1674" s="1523">
        <v>0</v>
      </c>
      <c r="E1674" s="1523">
        <v>1</v>
      </c>
      <c r="F1674" s="1524">
        <v>1</v>
      </c>
      <c r="G1674" s="1537" t="s">
        <v>5635</v>
      </c>
      <c r="H1674" s="1521">
        <v>0</v>
      </c>
      <c r="I1674" s="1521">
        <v>0</v>
      </c>
      <c r="J1674" s="1538">
        <v>0</v>
      </c>
      <c r="K1674" s="1525"/>
      <c r="L1674" s="1519">
        <v>13143010200</v>
      </c>
      <c r="M1674" s="1520">
        <v>0</v>
      </c>
      <c r="N1674" s="1520">
        <v>1</v>
      </c>
      <c r="O1674" s="1521">
        <v>1</v>
      </c>
    </row>
    <row r="1675" spans="3:15" ht="13.5">
      <c r="C1675" s="1526" t="s">
        <v>5636</v>
      </c>
      <c r="D1675" s="1523">
        <v>0</v>
      </c>
      <c r="E1675" s="1523">
        <v>0</v>
      </c>
      <c r="F1675" s="1524">
        <v>0</v>
      </c>
      <c r="G1675" s="1537" t="s">
        <v>5636</v>
      </c>
      <c r="H1675" s="1521">
        <v>0</v>
      </c>
      <c r="I1675" s="1521">
        <v>0</v>
      </c>
      <c r="J1675" s="1538">
        <v>0</v>
      </c>
      <c r="K1675" s="1525"/>
      <c r="L1675" s="1519">
        <v>13143010301</v>
      </c>
      <c r="M1675" s="1520">
        <v>0</v>
      </c>
      <c r="N1675" s="1520">
        <v>0</v>
      </c>
      <c r="O1675" s="1521">
        <v>0</v>
      </c>
    </row>
    <row r="1676" spans="3:15" ht="13.5">
      <c r="C1676" s="1526" t="s">
        <v>5637</v>
      </c>
      <c r="D1676" s="1523">
        <v>0</v>
      </c>
      <c r="E1676" s="1523">
        <v>0</v>
      </c>
      <c r="F1676" s="1524">
        <v>0</v>
      </c>
      <c r="G1676" s="1537" t="s">
        <v>5637</v>
      </c>
      <c r="H1676" s="1521">
        <v>1</v>
      </c>
      <c r="I1676" s="1521">
        <v>0</v>
      </c>
      <c r="J1676" s="1538">
        <v>1</v>
      </c>
      <c r="K1676" s="1525"/>
      <c r="L1676" s="1519">
        <v>13143010302</v>
      </c>
      <c r="M1676" s="1520">
        <v>1</v>
      </c>
      <c r="N1676" s="1520">
        <v>0</v>
      </c>
      <c r="O1676" s="1521">
        <v>1</v>
      </c>
    </row>
    <row r="1677" spans="3:15" ht="13.5">
      <c r="C1677" s="1526" t="s">
        <v>5638</v>
      </c>
      <c r="D1677" s="1523">
        <v>0</v>
      </c>
      <c r="E1677" s="1523">
        <v>0</v>
      </c>
      <c r="F1677" s="1524">
        <v>0</v>
      </c>
      <c r="G1677" s="1537" t="s">
        <v>5638</v>
      </c>
      <c r="H1677" s="1521">
        <v>0</v>
      </c>
      <c r="I1677" s="1521">
        <v>0</v>
      </c>
      <c r="J1677" s="1538">
        <v>0</v>
      </c>
      <c r="K1677" s="1525"/>
      <c r="L1677" s="1519">
        <v>13143010400</v>
      </c>
      <c r="M1677" s="1520">
        <v>0</v>
      </c>
      <c r="N1677" s="1520">
        <v>0</v>
      </c>
      <c r="O1677" s="1521">
        <v>0</v>
      </c>
    </row>
    <row r="1678" spans="3:15" ht="13.5">
      <c r="C1678" s="1526" t="s">
        <v>5639</v>
      </c>
      <c r="D1678" s="1523">
        <v>0</v>
      </c>
      <c r="E1678" s="1523">
        <v>0</v>
      </c>
      <c r="F1678" s="1524">
        <v>0</v>
      </c>
      <c r="G1678" s="1537" t="s">
        <v>5639</v>
      </c>
      <c r="H1678" s="1521">
        <v>0</v>
      </c>
      <c r="I1678" s="1521">
        <v>1</v>
      </c>
      <c r="J1678" s="1538">
        <v>1</v>
      </c>
      <c r="K1678" s="1525"/>
      <c r="L1678" s="1519">
        <v>13145120198</v>
      </c>
      <c r="M1678" s="1520">
        <v>0</v>
      </c>
      <c r="N1678" s="1520">
        <v>1</v>
      </c>
      <c r="O1678" s="1521">
        <v>1</v>
      </c>
    </row>
    <row r="1679" spans="3:15" ht="13.5">
      <c r="C1679" s="1526" t="s">
        <v>5640</v>
      </c>
      <c r="D1679" s="1523">
        <v>0</v>
      </c>
      <c r="E1679" s="1523">
        <v>1</v>
      </c>
      <c r="F1679" s="1524">
        <v>1</v>
      </c>
      <c r="G1679" s="1537" t="s">
        <v>5640</v>
      </c>
      <c r="H1679" s="1521">
        <v>0</v>
      </c>
      <c r="I1679" s="1521" t="s">
        <v>4099</v>
      </c>
      <c r="J1679" s="1538">
        <v>0</v>
      </c>
      <c r="K1679" s="1525"/>
      <c r="L1679" s="1519">
        <v>13145120200</v>
      </c>
      <c r="M1679" s="1520">
        <v>0</v>
      </c>
      <c r="N1679" s="1520">
        <v>1</v>
      </c>
      <c r="O1679" s="1521">
        <v>1</v>
      </c>
    </row>
    <row r="1680" spans="3:15" ht="13.5">
      <c r="C1680" s="1526" t="s">
        <v>5641</v>
      </c>
      <c r="D1680" s="1523">
        <v>1</v>
      </c>
      <c r="E1680" s="1523">
        <v>1</v>
      </c>
      <c r="F1680" s="1524">
        <v>2</v>
      </c>
      <c r="G1680" s="1537" t="s">
        <v>5641</v>
      </c>
      <c r="H1680" s="1521">
        <v>1</v>
      </c>
      <c r="I1680" s="1521">
        <v>1</v>
      </c>
      <c r="J1680" s="1538">
        <v>2</v>
      </c>
      <c r="K1680" s="1525"/>
      <c r="L1680" s="1519">
        <v>13145120300</v>
      </c>
      <c r="M1680" s="1520">
        <v>1</v>
      </c>
      <c r="N1680" s="1520">
        <v>1</v>
      </c>
      <c r="O1680" s="1521">
        <v>2</v>
      </c>
    </row>
    <row r="1681" spans="3:15" ht="13.5">
      <c r="C1681" s="1526" t="s">
        <v>5642</v>
      </c>
      <c r="D1681" s="1523">
        <v>1</v>
      </c>
      <c r="E1681" s="1523">
        <v>1</v>
      </c>
      <c r="F1681" s="1524">
        <v>2</v>
      </c>
      <c r="G1681" s="1537" t="s">
        <v>5642</v>
      </c>
      <c r="H1681" s="1521">
        <v>1</v>
      </c>
      <c r="I1681" s="1521">
        <v>1</v>
      </c>
      <c r="J1681" s="1538">
        <v>2</v>
      </c>
      <c r="K1681" s="1525"/>
      <c r="L1681" s="1519">
        <v>13145120401</v>
      </c>
      <c r="M1681" s="1520">
        <v>1</v>
      </c>
      <c r="N1681" s="1520">
        <v>1</v>
      </c>
      <c r="O1681" s="1521">
        <v>2</v>
      </c>
    </row>
    <row r="1682" spans="3:15" ht="13.5">
      <c r="C1682" s="1526" t="s">
        <v>5643</v>
      </c>
      <c r="D1682" s="1523">
        <v>1</v>
      </c>
      <c r="E1682" s="1523">
        <v>1</v>
      </c>
      <c r="F1682" s="1524">
        <v>2</v>
      </c>
      <c r="G1682" s="1537" t="s">
        <v>5643</v>
      </c>
      <c r="H1682" s="1521">
        <v>0</v>
      </c>
      <c r="I1682" s="1521">
        <v>1</v>
      </c>
      <c r="J1682" s="1538">
        <v>1</v>
      </c>
      <c r="K1682" s="1525"/>
      <c r="L1682" s="1519">
        <v>13145120402</v>
      </c>
      <c r="M1682" s="1520">
        <v>1</v>
      </c>
      <c r="N1682" s="1520">
        <v>1</v>
      </c>
      <c r="O1682" s="1521">
        <v>2</v>
      </c>
    </row>
    <row r="1683" spans="3:15" ht="13.5">
      <c r="C1683" s="1526" t="s">
        <v>5644</v>
      </c>
      <c r="D1683" s="1523">
        <v>0</v>
      </c>
      <c r="E1683" s="1523">
        <v>1</v>
      </c>
      <c r="F1683" s="1524">
        <v>1</v>
      </c>
      <c r="G1683" s="1537" t="s">
        <v>5644</v>
      </c>
      <c r="H1683" s="1521">
        <v>0</v>
      </c>
      <c r="I1683" s="1521">
        <v>1</v>
      </c>
      <c r="J1683" s="1538">
        <v>1</v>
      </c>
      <c r="K1683" s="1525"/>
      <c r="L1683" s="1519">
        <v>13147960100</v>
      </c>
      <c r="M1683" s="1520">
        <v>0</v>
      </c>
      <c r="N1683" s="1520">
        <v>1</v>
      </c>
      <c r="O1683" s="1521">
        <v>1</v>
      </c>
    </row>
    <row r="1684" spans="3:15" ht="13.5">
      <c r="C1684" s="1526" t="s">
        <v>5645</v>
      </c>
      <c r="D1684" s="1523">
        <v>1</v>
      </c>
      <c r="E1684" s="1523">
        <v>1</v>
      </c>
      <c r="F1684" s="1524">
        <v>2</v>
      </c>
      <c r="G1684" s="1537" t="s">
        <v>5645</v>
      </c>
      <c r="H1684" s="1521">
        <v>0</v>
      </c>
      <c r="I1684" s="1521">
        <v>1</v>
      </c>
      <c r="J1684" s="1538">
        <v>1</v>
      </c>
      <c r="K1684" s="1525"/>
      <c r="L1684" s="1519">
        <v>13147960200</v>
      </c>
      <c r="M1684" s="1520">
        <v>1</v>
      </c>
      <c r="N1684" s="1520">
        <v>1</v>
      </c>
      <c r="O1684" s="1521">
        <v>2</v>
      </c>
    </row>
    <row r="1685" spans="3:15" ht="13.5">
      <c r="C1685" s="1526" t="s">
        <v>5646</v>
      </c>
      <c r="D1685" s="1523">
        <v>0</v>
      </c>
      <c r="E1685" s="1523">
        <v>0</v>
      </c>
      <c r="F1685" s="1524">
        <v>0</v>
      </c>
      <c r="G1685" s="1537" t="s">
        <v>5646</v>
      </c>
      <c r="H1685" s="1521">
        <v>0</v>
      </c>
      <c r="I1685" s="1521">
        <v>0</v>
      </c>
      <c r="J1685" s="1538">
        <v>0</v>
      </c>
      <c r="K1685" s="1525"/>
      <c r="L1685" s="1519">
        <v>13147960300</v>
      </c>
      <c r="M1685" s="1520">
        <v>0</v>
      </c>
      <c r="N1685" s="1520">
        <v>0</v>
      </c>
      <c r="O1685" s="1521">
        <v>0</v>
      </c>
    </row>
    <row r="1686" spans="3:15" ht="13.5">
      <c r="C1686" s="1526" t="s">
        <v>5647</v>
      </c>
      <c r="D1686" s="1523">
        <v>0</v>
      </c>
      <c r="E1686" s="1523">
        <v>0</v>
      </c>
      <c r="F1686" s="1524">
        <v>0</v>
      </c>
      <c r="G1686" s="1537" t="s">
        <v>5647</v>
      </c>
      <c r="H1686" s="1521">
        <v>0</v>
      </c>
      <c r="I1686" s="1521">
        <v>0</v>
      </c>
      <c r="J1686" s="1538">
        <v>0</v>
      </c>
      <c r="K1686" s="1525"/>
      <c r="L1686" s="1519">
        <v>13147960400</v>
      </c>
      <c r="M1686" s="1520">
        <v>0</v>
      </c>
      <c r="N1686" s="1520">
        <v>0</v>
      </c>
      <c r="O1686" s="1521">
        <v>0</v>
      </c>
    </row>
    <row r="1687" spans="3:15" ht="13.5">
      <c r="C1687" s="1526" t="s">
        <v>5648</v>
      </c>
      <c r="D1687" s="1523">
        <v>0</v>
      </c>
      <c r="E1687" s="1523">
        <v>0</v>
      </c>
      <c r="F1687" s="1524">
        <v>0</v>
      </c>
      <c r="G1687" s="1537" t="s">
        <v>5648</v>
      </c>
      <c r="H1687" s="1521">
        <v>0</v>
      </c>
      <c r="I1687" s="1521">
        <v>1</v>
      </c>
      <c r="J1687" s="1538">
        <v>1</v>
      </c>
      <c r="K1687" s="1525"/>
      <c r="L1687" s="1519">
        <v>13147960500</v>
      </c>
      <c r="M1687" s="1520">
        <v>0</v>
      </c>
      <c r="N1687" s="1520">
        <v>1</v>
      </c>
      <c r="O1687" s="1521">
        <v>1</v>
      </c>
    </row>
    <row r="1688" spans="3:15" ht="13.5">
      <c r="C1688" s="1526" t="s">
        <v>5649</v>
      </c>
      <c r="D1688" s="1523">
        <v>0</v>
      </c>
      <c r="E1688" s="1523">
        <v>0</v>
      </c>
      <c r="F1688" s="1524">
        <v>0</v>
      </c>
      <c r="G1688" s="1537" t="s">
        <v>5649</v>
      </c>
      <c r="H1688" s="1521">
        <v>0</v>
      </c>
      <c r="I1688" s="1521">
        <v>0</v>
      </c>
      <c r="J1688" s="1538">
        <v>0</v>
      </c>
      <c r="K1688" s="1525"/>
      <c r="L1688" s="1519">
        <v>13149970100</v>
      </c>
      <c r="M1688" s="1520">
        <v>0</v>
      </c>
      <c r="N1688" s="1520">
        <v>0</v>
      </c>
      <c r="O1688" s="1521">
        <v>0</v>
      </c>
    </row>
    <row r="1689" spans="3:15" ht="13.5">
      <c r="C1689" s="1526" t="s">
        <v>5650</v>
      </c>
      <c r="D1689" s="1523">
        <v>0</v>
      </c>
      <c r="E1689" s="1523">
        <v>1</v>
      </c>
      <c r="F1689" s="1524">
        <v>1</v>
      </c>
      <c r="G1689" s="1537" t="s">
        <v>5650</v>
      </c>
      <c r="H1689" s="1521">
        <v>0</v>
      </c>
      <c r="I1689" s="1521">
        <v>1</v>
      </c>
      <c r="J1689" s="1538">
        <v>1</v>
      </c>
      <c r="K1689" s="1525"/>
      <c r="L1689" s="1519">
        <v>13149970200</v>
      </c>
      <c r="M1689" s="1520">
        <v>0</v>
      </c>
      <c r="N1689" s="1520">
        <v>1</v>
      </c>
      <c r="O1689" s="1521">
        <v>1</v>
      </c>
    </row>
    <row r="1690" spans="3:15" ht="13.5">
      <c r="C1690" s="1526" t="s">
        <v>5651</v>
      </c>
      <c r="D1690" s="1523">
        <v>0</v>
      </c>
      <c r="E1690" s="1523">
        <v>0</v>
      </c>
      <c r="F1690" s="1524">
        <v>0</v>
      </c>
      <c r="G1690" s="1537" t="s">
        <v>5651</v>
      </c>
      <c r="H1690" s="1521">
        <v>1</v>
      </c>
      <c r="I1690" s="1521">
        <v>0</v>
      </c>
      <c r="J1690" s="1538">
        <v>1</v>
      </c>
      <c r="K1690" s="1525"/>
      <c r="L1690" s="1519">
        <v>13149970300</v>
      </c>
      <c r="M1690" s="1520">
        <v>1</v>
      </c>
      <c r="N1690" s="1520">
        <v>0</v>
      </c>
      <c r="O1690" s="1521">
        <v>1</v>
      </c>
    </row>
    <row r="1691" spans="3:15" ht="13.5">
      <c r="C1691" s="1526" t="s">
        <v>5652</v>
      </c>
      <c r="D1691" s="1523">
        <v>1</v>
      </c>
      <c r="E1691" s="1523">
        <v>1</v>
      </c>
      <c r="F1691" s="1524">
        <v>2</v>
      </c>
      <c r="G1691" s="1537" t="s">
        <v>5652</v>
      </c>
      <c r="H1691" s="1521">
        <v>1</v>
      </c>
      <c r="I1691" s="1521">
        <v>1</v>
      </c>
      <c r="J1691" s="1538">
        <v>2</v>
      </c>
      <c r="K1691" s="1525"/>
      <c r="L1691" s="1519">
        <v>13151070104</v>
      </c>
      <c r="M1691" s="1520">
        <v>1</v>
      </c>
      <c r="N1691" s="1520">
        <v>1</v>
      </c>
      <c r="O1691" s="1521">
        <v>2</v>
      </c>
    </row>
    <row r="1692" spans="3:15" ht="13.5">
      <c r="C1692" s="1526" t="s">
        <v>5653</v>
      </c>
      <c r="D1692" s="1523">
        <v>0</v>
      </c>
      <c r="E1692" s="1523">
        <v>0</v>
      </c>
      <c r="F1692" s="1524">
        <v>0</v>
      </c>
      <c r="G1692" s="1537" t="s">
        <v>5653</v>
      </c>
      <c r="H1692" s="1521">
        <v>0</v>
      </c>
      <c r="I1692" s="1521">
        <v>0</v>
      </c>
      <c r="J1692" s="1538">
        <v>0</v>
      </c>
      <c r="K1692" s="1525"/>
      <c r="L1692" s="1519">
        <v>13151070106</v>
      </c>
      <c r="M1692" s="1520">
        <v>0</v>
      </c>
      <c r="N1692" s="1520">
        <v>0</v>
      </c>
      <c r="O1692" s="1521">
        <v>0</v>
      </c>
    </row>
    <row r="1693" spans="3:15" ht="13.5">
      <c r="C1693" s="1526" t="s">
        <v>5654</v>
      </c>
      <c r="D1693" s="1523">
        <v>1</v>
      </c>
      <c r="E1693" s="1523">
        <v>1</v>
      </c>
      <c r="F1693" s="1524">
        <v>2</v>
      </c>
      <c r="G1693" s="1537" t="s">
        <v>5654</v>
      </c>
      <c r="H1693" s="1521">
        <v>1</v>
      </c>
      <c r="I1693" s="1521">
        <v>1</v>
      </c>
      <c r="J1693" s="1538">
        <v>2</v>
      </c>
      <c r="K1693" s="1525"/>
      <c r="L1693" s="1519">
        <v>13151070107</v>
      </c>
      <c r="M1693" s="1520">
        <v>1</v>
      </c>
      <c r="N1693" s="1520">
        <v>1</v>
      </c>
      <c r="O1693" s="1521">
        <v>2</v>
      </c>
    </row>
    <row r="1694" spans="3:15" ht="13.5">
      <c r="C1694" s="1526" t="s">
        <v>5655</v>
      </c>
      <c r="D1694" s="1523">
        <v>1</v>
      </c>
      <c r="E1694" s="1523">
        <v>1</v>
      </c>
      <c r="F1694" s="1524">
        <v>2</v>
      </c>
      <c r="G1694" s="1537" t="s">
        <v>5655</v>
      </c>
      <c r="H1694" s="1521">
        <v>1</v>
      </c>
      <c r="I1694" s="1521">
        <v>1</v>
      </c>
      <c r="J1694" s="1538">
        <v>2</v>
      </c>
      <c r="K1694" s="1525"/>
      <c r="L1694" s="1519">
        <v>13151070108</v>
      </c>
      <c r="M1694" s="1520">
        <v>1</v>
      </c>
      <c r="N1694" s="1520">
        <v>1</v>
      </c>
      <c r="O1694" s="1521">
        <v>2</v>
      </c>
    </row>
    <row r="1695" spans="3:15" ht="13.5">
      <c r="C1695" s="1526" t="s">
        <v>5656</v>
      </c>
      <c r="D1695" s="1523">
        <v>1</v>
      </c>
      <c r="E1695" s="1523">
        <v>1</v>
      </c>
      <c r="F1695" s="1524">
        <v>2</v>
      </c>
      <c r="G1695" s="1537" t="s">
        <v>5656</v>
      </c>
      <c r="H1695" s="1521">
        <v>1</v>
      </c>
      <c r="I1695" s="1521">
        <v>1</v>
      </c>
      <c r="J1695" s="1538">
        <v>2</v>
      </c>
      <c r="K1695" s="1525"/>
      <c r="L1695" s="1519">
        <v>13151070109</v>
      </c>
      <c r="M1695" s="1520">
        <v>1</v>
      </c>
      <c r="N1695" s="1520">
        <v>1</v>
      </c>
      <c r="O1695" s="1521">
        <v>2</v>
      </c>
    </row>
    <row r="1696" spans="3:15" ht="13.5">
      <c r="C1696" s="1526" t="s">
        <v>5657</v>
      </c>
      <c r="D1696" s="1523">
        <v>1</v>
      </c>
      <c r="E1696" s="1523">
        <v>1</v>
      </c>
      <c r="F1696" s="1524">
        <v>2</v>
      </c>
      <c r="G1696" s="1537" t="s">
        <v>5657</v>
      </c>
      <c r="H1696" s="1521">
        <v>1</v>
      </c>
      <c r="I1696" s="1521">
        <v>1</v>
      </c>
      <c r="J1696" s="1538">
        <v>2</v>
      </c>
      <c r="K1696" s="1525"/>
      <c r="L1696" s="1519">
        <v>13151070110</v>
      </c>
      <c r="M1696" s="1520">
        <v>1</v>
      </c>
      <c r="N1696" s="1520">
        <v>1</v>
      </c>
      <c r="O1696" s="1521">
        <v>2</v>
      </c>
    </row>
    <row r="1697" spans="3:15" ht="13.5">
      <c r="C1697" s="1526" t="s">
        <v>5658</v>
      </c>
      <c r="D1697" s="1523">
        <v>0</v>
      </c>
      <c r="E1697" s="1523">
        <v>0</v>
      </c>
      <c r="F1697" s="1524">
        <v>0</v>
      </c>
      <c r="G1697" s="1537" t="s">
        <v>5658</v>
      </c>
      <c r="H1697" s="1521">
        <v>0</v>
      </c>
      <c r="I1697" s="1521">
        <v>0</v>
      </c>
      <c r="J1697" s="1538">
        <v>0</v>
      </c>
      <c r="K1697" s="1525"/>
      <c r="L1697" s="1519">
        <v>13151070111</v>
      </c>
      <c r="M1697" s="1520">
        <v>0</v>
      </c>
      <c r="N1697" s="1520">
        <v>0</v>
      </c>
      <c r="O1697" s="1521">
        <v>0</v>
      </c>
    </row>
    <row r="1698" spans="3:15" ht="13.5">
      <c r="C1698" s="1526" t="s">
        <v>5659</v>
      </c>
      <c r="D1698" s="1523">
        <v>0</v>
      </c>
      <c r="E1698" s="1523">
        <v>0</v>
      </c>
      <c r="F1698" s="1524">
        <v>0</v>
      </c>
      <c r="G1698" s="1537" t="s">
        <v>5659</v>
      </c>
      <c r="H1698" s="1521">
        <v>0</v>
      </c>
      <c r="I1698" s="1521">
        <v>0</v>
      </c>
      <c r="J1698" s="1538">
        <v>0</v>
      </c>
      <c r="K1698" s="1525"/>
      <c r="L1698" s="1519">
        <v>13151070113</v>
      </c>
      <c r="M1698" s="1520">
        <v>0</v>
      </c>
      <c r="N1698" s="1520">
        <v>0</v>
      </c>
      <c r="O1698" s="1521">
        <v>0</v>
      </c>
    </row>
    <row r="1699" spans="3:15" ht="13.5">
      <c r="C1699" s="1526" t="s">
        <v>5660</v>
      </c>
      <c r="D1699" s="1523">
        <v>0</v>
      </c>
      <c r="E1699" s="1523">
        <v>1</v>
      </c>
      <c r="F1699" s="1524">
        <v>1</v>
      </c>
      <c r="G1699" s="1537" t="s">
        <v>5660</v>
      </c>
      <c r="H1699" s="1521">
        <v>0</v>
      </c>
      <c r="I1699" s="1521">
        <v>1</v>
      </c>
      <c r="J1699" s="1538">
        <v>1</v>
      </c>
      <c r="K1699" s="1525"/>
      <c r="L1699" s="1519">
        <v>13151070114</v>
      </c>
      <c r="M1699" s="1520">
        <v>0</v>
      </c>
      <c r="N1699" s="1520">
        <v>1</v>
      </c>
      <c r="O1699" s="1521">
        <v>1</v>
      </c>
    </row>
    <row r="1700" spans="3:15" ht="13.5">
      <c r="C1700" s="1526" t="s">
        <v>5661</v>
      </c>
      <c r="D1700" s="1523">
        <v>1</v>
      </c>
      <c r="E1700" s="1523">
        <v>1</v>
      </c>
      <c r="F1700" s="1524">
        <v>2</v>
      </c>
      <c r="G1700" s="1537" t="s">
        <v>5661</v>
      </c>
      <c r="H1700" s="1521">
        <v>1</v>
      </c>
      <c r="I1700" s="1521">
        <v>1</v>
      </c>
      <c r="J1700" s="1538">
        <v>2</v>
      </c>
      <c r="K1700" s="1525"/>
      <c r="L1700" s="1519">
        <v>13151070202</v>
      </c>
      <c r="M1700" s="1520">
        <v>1</v>
      </c>
      <c r="N1700" s="1520">
        <v>1</v>
      </c>
      <c r="O1700" s="1521">
        <v>2</v>
      </c>
    </row>
    <row r="1701" spans="3:15" ht="13.5">
      <c r="C1701" s="1526" t="s">
        <v>5662</v>
      </c>
      <c r="D1701" s="1523">
        <v>1</v>
      </c>
      <c r="E1701" s="1523">
        <v>1</v>
      </c>
      <c r="F1701" s="1524">
        <v>2</v>
      </c>
      <c r="G1701" s="1537" t="s">
        <v>5662</v>
      </c>
      <c r="H1701" s="1521">
        <v>1</v>
      </c>
      <c r="I1701" s="1521">
        <v>1</v>
      </c>
      <c r="J1701" s="1538">
        <v>2</v>
      </c>
      <c r="K1701" s="1525"/>
      <c r="L1701" s="1519">
        <v>13151070203</v>
      </c>
      <c r="M1701" s="1520">
        <v>1</v>
      </c>
      <c r="N1701" s="1520">
        <v>1</v>
      </c>
      <c r="O1701" s="1521">
        <v>2</v>
      </c>
    </row>
    <row r="1702" spans="3:15" ht="13.5">
      <c r="C1702" s="1526" t="s">
        <v>5663</v>
      </c>
      <c r="D1702" s="1523">
        <v>1</v>
      </c>
      <c r="E1702" s="1523">
        <v>1</v>
      </c>
      <c r="F1702" s="1524">
        <v>2</v>
      </c>
      <c r="G1702" s="1537" t="s">
        <v>5663</v>
      </c>
      <c r="H1702" s="1521">
        <v>1</v>
      </c>
      <c r="I1702" s="1521">
        <v>1</v>
      </c>
      <c r="J1702" s="1538">
        <v>2</v>
      </c>
      <c r="K1702" s="1525"/>
      <c r="L1702" s="1519">
        <v>13151070204</v>
      </c>
      <c r="M1702" s="1520">
        <v>1</v>
      </c>
      <c r="N1702" s="1520">
        <v>1</v>
      </c>
      <c r="O1702" s="1521">
        <v>2</v>
      </c>
    </row>
    <row r="1703" spans="3:15" ht="13.5">
      <c r="C1703" s="1526" t="s">
        <v>5664</v>
      </c>
      <c r="D1703" s="1523">
        <v>0</v>
      </c>
      <c r="E1703" s="1523">
        <v>1</v>
      </c>
      <c r="F1703" s="1524">
        <v>1</v>
      </c>
      <c r="G1703" s="1537" t="s">
        <v>5664</v>
      </c>
      <c r="H1703" s="1521">
        <v>0</v>
      </c>
      <c r="I1703" s="1521">
        <v>1</v>
      </c>
      <c r="J1703" s="1538">
        <v>1</v>
      </c>
      <c r="K1703" s="1525"/>
      <c r="L1703" s="1519">
        <v>13151070205</v>
      </c>
      <c r="M1703" s="1520">
        <v>0</v>
      </c>
      <c r="N1703" s="1520">
        <v>1</v>
      </c>
      <c r="O1703" s="1521">
        <v>1</v>
      </c>
    </row>
    <row r="1704" spans="3:15" ht="13.5">
      <c r="C1704" s="1526" t="s">
        <v>5665</v>
      </c>
      <c r="D1704" s="1523">
        <v>0</v>
      </c>
      <c r="E1704" s="1523">
        <v>0</v>
      </c>
      <c r="F1704" s="1524">
        <v>0</v>
      </c>
      <c r="G1704" s="1537" t="s">
        <v>5665</v>
      </c>
      <c r="H1704" s="1521">
        <v>0</v>
      </c>
      <c r="I1704" s="1521">
        <v>1</v>
      </c>
      <c r="J1704" s="1538">
        <v>1</v>
      </c>
      <c r="K1704" s="1525"/>
      <c r="L1704" s="1519">
        <v>13151070304</v>
      </c>
      <c r="M1704" s="1520">
        <v>0</v>
      </c>
      <c r="N1704" s="1520">
        <v>1</v>
      </c>
      <c r="O1704" s="1521">
        <v>1</v>
      </c>
    </row>
    <row r="1705" spans="3:15" ht="13.5">
      <c r="C1705" s="1526" t="s">
        <v>5666</v>
      </c>
      <c r="D1705" s="1523">
        <v>1</v>
      </c>
      <c r="E1705" s="1523">
        <v>1</v>
      </c>
      <c r="F1705" s="1524">
        <v>2</v>
      </c>
      <c r="G1705" s="1537" t="s">
        <v>5666</v>
      </c>
      <c r="H1705" s="1521">
        <v>1</v>
      </c>
      <c r="I1705" s="1521" t="s">
        <v>4099</v>
      </c>
      <c r="J1705" s="1538">
        <v>1</v>
      </c>
      <c r="K1705" s="1525"/>
      <c r="L1705" s="1519">
        <v>13151070305</v>
      </c>
      <c r="M1705" s="1520">
        <v>1</v>
      </c>
      <c r="N1705" s="1520">
        <v>1</v>
      </c>
      <c r="O1705" s="1521">
        <v>2</v>
      </c>
    </row>
    <row r="1706" spans="3:15" ht="13.5">
      <c r="C1706" s="1526" t="s">
        <v>5667</v>
      </c>
      <c r="D1706" s="1523">
        <v>1</v>
      </c>
      <c r="E1706" s="1523">
        <v>1</v>
      </c>
      <c r="F1706" s="1524">
        <v>2</v>
      </c>
      <c r="G1706" s="1537" t="s">
        <v>5667</v>
      </c>
      <c r="H1706" s="1521">
        <v>1</v>
      </c>
      <c r="I1706" s="1521">
        <v>1</v>
      </c>
      <c r="J1706" s="1538">
        <v>2</v>
      </c>
      <c r="K1706" s="1525"/>
      <c r="L1706" s="1519">
        <v>13151070306</v>
      </c>
      <c r="M1706" s="1520">
        <v>1</v>
      </c>
      <c r="N1706" s="1520">
        <v>1</v>
      </c>
      <c r="O1706" s="1521">
        <v>2</v>
      </c>
    </row>
    <row r="1707" spans="3:15" ht="13.5">
      <c r="C1707" s="1526" t="s">
        <v>5668</v>
      </c>
      <c r="D1707" s="1523">
        <v>1</v>
      </c>
      <c r="E1707" s="1523">
        <v>1</v>
      </c>
      <c r="F1707" s="1524">
        <v>2</v>
      </c>
      <c r="G1707" s="1537" t="s">
        <v>5668</v>
      </c>
      <c r="H1707" s="1521">
        <v>1</v>
      </c>
      <c r="I1707" s="1521">
        <v>1</v>
      </c>
      <c r="J1707" s="1538">
        <v>2</v>
      </c>
      <c r="K1707" s="1525"/>
      <c r="L1707" s="1519">
        <v>13151070307</v>
      </c>
      <c r="M1707" s="1520">
        <v>1</v>
      </c>
      <c r="N1707" s="1520">
        <v>1</v>
      </c>
      <c r="O1707" s="1521">
        <v>2</v>
      </c>
    </row>
    <row r="1708" spans="3:15" ht="13.5">
      <c r="C1708" s="1526" t="s">
        <v>5669</v>
      </c>
      <c r="D1708" s="1523">
        <v>1</v>
      </c>
      <c r="E1708" s="1523">
        <v>1</v>
      </c>
      <c r="F1708" s="1524">
        <v>2</v>
      </c>
      <c r="G1708" s="1537" t="s">
        <v>5669</v>
      </c>
      <c r="H1708" s="1521">
        <v>1</v>
      </c>
      <c r="I1708" s="1521">
        <v>1</v>
      </c>
      <c r="J1708" s="1538">
        <v>2</v>
      </c>
      <c r="K1708" s="1525"/>
      <c r="L1708" s="1519">
        <v>13151070309</v>
      </c>
      <c r="M1708" s="1520">
        <v>1</v>
      </c>
      <c r="N1708" s="1520">
        <v>1</v>
      </c>
      <c r="O1708" s="1521">
        <v>2</v>
      </c>
    </row>
    <row r="1709" spans="3:15" ht="13.5">
      <c r="C1709" s="1526" t="s">
        <v>5670</v>
      </c>
      <c r="D1709" s="1523">
        <v>1</v>
      </c>
      <c r="E1709" s="1523">
        <v>1</v>
      </c>
      <c r="F1709" s="1524">
        <v>2</v>
      </c>
      <c r="G1709" s="1537" t="s">
        <v>5670</v>
      </c>
      <c r="H1709" s="1521">
        <v>1</v>
      </c>
      <c r="I1709" s="1521">
        <v>0</v>
      </c>
      <c r="J1709" s="1538">
        <v>1</v>
      </c>
      <c r="K1709" s="1525"/>
      <c r="L1709" s="1519">
        <v>13151070310</v>
      </c>
      <c r="M1709" s="1520">
        <v>1</v>
      </c>
      <c r="N1709" s="1520">
        <v>1</v>
      </c>
      <c r="O1709" s="1521">
        <v>2</v>
      </c>
    </row>
    <row r="1710" spans="3:15" ht="13.5">
      <c r="C1710" s="1526" t="s">
        <v>5671</v>
      </c>
      <c r="D1710" s="1523">
        <v>0</v>
      </c>
      <c r="E1710" s="1523">
        <v>0</v>
      </c>
      <c r="F1710" s="1524">
        <v>0</v>
      </c>
      <c r="G1710" s="1537" t="s">
        <v>5671</v>
      </c>
      <c r="H1710" s="1521">
        <v>0</v>
      </c>
      <c r="I1710" s="1521" t="s">
        <v>4099</v>
      </c>
      <c r="J1710" s="1538">
        <v>0</v>
      </c>
      <c r="K1710" s="1525"/>
      <c r="L1710" s="1519">
        <v>13151070311</v>
      </c>
      <c r="M1710" s="1520">
        <v>0</v>
      </c>
      <c r="N1710" s="1520">
        <v>0</v>
      </c>
      <c r="O1710" s="1521">
        <v>0</v>
      </c>
    </row>
    <row r="1711" spans="3:15" ht="13.5">
      <c r="C1711" s="1526" t="s">
        <v>5672</v>
      </c>
      <c r="D1711" s="1523">
        <v>1</v>
      </c>
      <c r="E1711" s="1523">
        <v>1</v>
      </c>
      <c r="F1711" s="1524">
        <v>2</v>
      </c>
      <c r="G1711" s="1537" t="s">
        <v>5672</v>
      </c>
      <c r="H1711" s="1521">
        <v>1</v>
      </c>
      <c r="I1711" s="1521">
        <v>1</v>
      </c>
      <c r="J1711" s="1538">
        <v>2</v>
      </c>
      <c r="K1711" s="1525"/>
      <c r="L1711" s="1519">
        <v>13151070402</v>
      </c>
      <c r="M1711" s="1520">
        <v>1</v>
      </c>
      <c r="N1711" s="1520">
        <v>1</v>
      </c>
      <c r="O1711" s="1521">
        <v>2</v>
      </c>
    </row>
    <row r="1712" spans="3:15" ht="13.5">
      <c r="C1712" s="1526" t="s">
        <v>5673</v>
      </c>
      <c r="D1712" s="1523">
        <v>0</v>
      </c>
      <c r="E1712" s="1523">
        <v>1</v>
      </c>
      <c r="F1712" s="1524">
        <v>1</v>
      </c>
      <c r="G1712" s="1537" t="s">
        <v>5673</v>
      </c>
      <c r="H1712" s="1521">
        <v>0</v>
      </c>
      <c r="I1712" s="1521">
        <v>0</v>
      </c>
      <c r="J1712" s="1538">
        <v>0</v>
      </c>
      <c r="K1712" s="1525"/>
      <c r="L1712" s="1519">
        <v>13151070403</v>
      </c>
      <c r="M1712" s="1520">
        <v>0</v>
      </c>
      <c r="N1712" s="1520">
        <v>1</v>
      </c>
      <c r="O1712" s="1521">
        <v>1</v>
      </c>
    </row>
    <row r="1713" spans="3:15" ht="13.5">
      <c r="C1713" s="1526" t="s">
        <v>5674</v>
      </c>
      <c r="D1713" s="1523">
        <v>1</v>
      </c>
      <c r="E1713" s="1523">
        <v>1</v>
      </c>
      <c r="F1713" s="1524">
        <v>2</v>
      </c>
      <c r="G1713" s="1537" t="s">
        <v>5674</v>
      </c>
      <c r="H1713" s="1521">
        <v>1</v>
      </c>
      <c r="I1713" s="1521">
        <v>1</v>
      </c>
      <c r="J1713" s="1538">
        <v>2</v>
      </c>
      <c r="K1713" s="1525"/>
      <c r="L1713" s="1519">
        <v>13151070404</v>
      </c>
      <c r="M1713" s="1520">
        <v>1</v>
      </c>
      <c r="N1713" s="1520">
        <v>1</v>
      </c>
      <c r="O1713" s="1521">
        <v>2</v>
      </c>
    </row>
    <row r="1714" spans="3:15" ht="13.5">
      <c r="C1714" s="1526" t="s">
        <v>5675</v>
      </c>
      <c r="D1714" s="1523">
        <v>0</v>
      </c>
      <c r="E1714" s="1523">
        <v>0</v>
      </c>
      <c r="F1714" s="1524">
        <v>0</v>
      </c>
      <c r="G1714" s="1537" t="s">
        <v>5675</v>
      </c>
      <c r="H1714" s="1521">
        <v>1</v>
      </c>
      <c r="I1714" s="1521">
        <v>0</v>
      </c>
      <c r="J1714" s="1538">
        <v>1</v>
      </c>
      <c r="K1714" s="1525"/>
      <c r="L1714" s="1519">
        <v>13151070501</v>
      </c>
      <c r="M1714" s="1520">
        <v>1</v>
      </c>
      <c r="N1714" s="1520">
        <v>0</v>
      </c>
      <c r="O1714" s="1521">
        <v>1</v>
      </c>
    </row>
    <row r="1715" spans="3:15" ht="13.5">
      <c r="C1715" s="1526" t="s">
        <v>5676</v>
      </c>
      <c r="D1715" s="1523">
        <v>1</v>
      </c>
      <c r="E1715" s="1523">
        <v>1</v>
      </c>
      <c r="F1715" s="1524">
        <v>2</v>
      </c>
      <c r="G1715" s="1537" t="s">
        <v>5676</v>
      </c>
      <c r="H1715" s="1521">
        <v>1</v>
      </c>
      <c r="I1715" s="1521">
        <v>1</v>
      </c>
      <c r="J1715" s="1538">
        <v>2</v>
      </c>
      <c r="K1715" s="1525"/>
      <c r="L1715" s="1519">
        <v>13151070502</v>
      </c>
      <c r="M1715" s="1520">
        <v>1</v>
      </c>
      <c r="N1715" s="1520">
        <v>1</v>
      </c>
      <c r="O1715" s="1521">
        <v>2</v>
      </c>
    </row>
    <row r="1716" spans="3:15" ht="13.5">
      <c r="C1716" s="1526" t="s">
        <v>5677</v>
      </c>
      <c r="D1716" s="1523">
        <v>0</v>
      </c>
      <c r="E1716" s="1523">
        <v>0</v>
      </c>
      <c r="F1716" s="1524">
        <v>0</v>
      </c>
      <c r="G1716" s="1537" t="s">
        <v>5677</v>
      </c>
      <c r="H1716" s="1521">
        <v>0</v>
      </c>
      <c r="I1716" s="1521">
        <v>1</v>
      </c>
      <c r="J1716" s="1538">
        <v>0</v>
      </c>
      <c r="K1716" s="1525"/>
      <c r="L1716" s="1519">
        <v>13153020105</v>
      </c>
      <c r="M1716" s="1520">
        <v>0</v>
      </c>
      <c r="N1716" s="1520">
        <v>1</v>
      </c>
      <c r="O1716" s="1521">
        <v>0</v>
      </c>
    </row>
    <row r="1717" spans="3:15" ht="13.5">
      <c r="C1717" s="1526" t="s">
        <v>5678</v>
      </c>
      <c r="D1717" s="1523">
        <v>0</v>
      </c>
      <c r="E1717" s="1523">
        <v>1</v>
      </c>
      <c r="F1717" s="1524">
        <v>1</v>
      </c>
      <c r="G1717" s="1537" t="s">
        <v>5678</v>
      </c>
      <c r="H1717" s="1521">
        <v>0</v>
      </c>
      <c r="I1717" s="1521">
        <v>0</v>
      </c>
      <c r="J1717" s="1538">
        <v>0</v>
      </c>
      <c r="K1717" s="1525"/>
      <c r="L1717" s="1519">
        <v>13153020106</v>
      </c>
      <c r="M1717" s="1520">
        <v>0</v>
      </c>
      <c r="N1717" s="1520">
        <v>1</v>
      </c>
      <c r="O1717" s="1521">
        <v>1</v>
      </c>
    </row>
    <row r="1718" spans="3:15" ht="13.5">
      <c r="C1718" s="1526" t="s">
        <v>5679</v>
      </c>
      <c r="D1718" s="1523">
        <v>0</v>
      </c>
      <c r="E1718" s="1523">
        <v>1</v>
      </c>
      <c r="F1718" s="1524">
        <v>1</v>
      </c>
      <c r="G1718" s="1537" t="s">
        <v>5679</v>
      </c>
      <c r="H1718" s="1521">
        <v>0</v>
      </c>
      <c r="I1718" s="1521">
        <v>1</v>
      </c>
      <c r="J1718" s="1538">
        <v>1</v>
      </c>
      <c r="K1718" s="1525"/>
      <c r="L1718" s="1519">
        <v>13153020108</v>
      </c>
      <c r="M1718" s="1520">
        <v>0</v>
      </c>
      <c r="N1718" s="1520">
        <v>1</v>
      </c>
      <c r="O1718" s="1521">
        <v>1</v>
      </c>
    </row>
    <row r="1719" spans="3:15" ht="13.5">
      <c r="C1719" s="1526" t="s">
        <v>5680</v>
      </c>
      <c r="D1719" s="1523">
        <v>1</v>
      </c>
      <c r="E1719" s="1523">
        <v>1</v>
      </c>
      <c r="F1719" s="1524">
        <v>2</v>
      </c>
      <c r="G1719" s="1537" t="s">
        <v>5680</v>
      </c>
      <c r="H1719" s="1521">
        <v>1</v>
      </c>
      <c r="I1719" s="1521">
        <v>1</v>
      </c>
      <c r="J1719" s="1538">
        <v>2</v>
      </c>
      <c r="K1719" s="1525"/>
      <c r="L1719" s="1519">
        <v>13153020109</v>
      </c>
      <c r="M1719" s="1520">
        <v>1</v>
      </c>
      <c r="N1719" s="1520">
        <v>1</v>
      </c>
      <c r="O1719" s="1521">
        <v>2</v>
      </c>
    </row>
    <row r="1720" spans="3:15" ht="13.5">
      <c r="C1720" s="1526" t="s">
        <v>5681</v>
      </c>
      <c r="D1720" s="1523">
        <v>0</v>
      </c>
      <c r="E1720" s="1523">
        <v>0</v>
      </c>
      <c r="F1720" s="1524">
        <v>0</v>
      </c>
      <c r="G1720" s="1537" t="s">
        <v>5681</v>
      </c>
      <c r="H1720" s="1521">
        <v>0</v>
      </c>
      <c r="I1720" s="1521">
        <v>0</v>
      </c>
      <c r="J1720" s="1538">
        <v>0</v>
      </c>
      <c r="K1720" s="1525"/>
      <c r="L1720" s="1519">
        <v>13153020200</v>
      </c>
      <c r="M1720" s="1520">
        <v>0</v>
      </c>
      <c r="N1720" s="1520">
        <v>0</v>
      </c>
      <c r="O1720" s="1521">
        <v>0</v>
      </c>
    </row>
    <row r="1721" spans="3:15" ht="13.5">
      <c r="C1721" s="1526" t="s">
        <v>5682</v>
      </c>
      <c r="D1721" s="1523">
        <v>0</v>
      </c>
      <c r="E1721" s="1523">
        <v>0</v>
      </c>
      <c r="F1721" s="1524">
        <v>0</v>
      </c>
      <c r="G1721" s="1537" t="s">
        <v>5682</v>
      </c>
      <c r="H1721" s="1521">
        <v>0</v>
      </c>
      <c r="I1721" s="1521">
        <v>0</v>
      </c>
      <c r="J1721" s="1538">
        <v>0</v>
      </c>
      <c r="K1721" s="1525"/>
      <c r="L1721" s="1519">
        <v>13153020300</v>
      </c>
      <c r="M1721" s="1520">
        <v>0</v>
      </c>
      <c r="N1721" s="1520">
        <v>0</v>
      </c>
      <c r="O1721" s="1521">
        <v>0</v>
      </c>
    </row>
    <row r="1722" spans="3:15" ht="13.5">
      <c r="C1722" s="1526" t="s">
        <v>5683</v>
      </c>
      <c r="D1722" s="1523">
        <v>0</v>
      </c>
      <c r="E1722" s="1523">
        <v>0</v>
      </c>
      <c r="F1722" s="1524">
        <v>0</v>
      </c>
      <c r="G1722" s="1537" t="s">
        <v>5683</v>
      </c>
      <c r="H1722" s="1521">
        <v>0</v>
      </c>
      <c r="I1722" s="1521">
        <v>0</v>
      </c>
      <c r="J1722" s="1538">
        <v>0</v>
      </c>
      <c r="K1722" s="1525"/>
      <c r="L1722" s="1519">
        <v>13153020400</v>
      </c>
      <c r="M1722" s="1520">
        <v>0</v>
      </c>
      <c r="N1722" s="1520">
        <v>0</v>
      </c>
      <c r="O1722" s="1521">
        <v>0</v>
      </c>
    </row>
    <row r="1723" spans="3:15" ht="13.5">
      <c r="C1723" s="1526" t="s">
        <v>5684</v>
      </c>
      <c r="D1723" s="1523">
        <v>0</v>
      </c>
      <c r="E1723" s="1523">
        <v>1</v>
      </c>
      <c r="F1723" s="1524">
        <v>1</v>
      </c>
      <c r="G1723" s="1537" t="s">
        <v>5684</v>
      </c>
      <c r="H1723" s="1521">
        <v>0</v>
      </c>
      <c r="I1723" s="1521" t="s">
        <v>4099</v>
      </c>
      <c r="J1723" s="1538">
        <v>0</v>
      </c>
      <c r="K1723" s="1525"/>
      <c r="L1723" s="1519">
        <v>13153020600</v>
      </c>
      <c r="M1723" s="1520">
        <v>0</v>
      </c>
      <c r="N1723" s="1520">
        <v>1</v>
      </c>
      <c r="O1723" s="1521">
        <v>1</v>
      </c>
    </row>
    <row r="1724" spans="3:15" ht="13.5">
      <c r="C1724" s="1526" t="s">
        <v>5685</v>
      </c>
      <c r="D1724" s="1523">
        <v>0</v>
      </c>
      <c r="E1724" s="1523">
        <v>0</v>
      </c>
      <c r="F1724" s="1524">
        <v>0</v>
      </c>
      <c r="G1724" s="1537" t="s">
        <v>5685</v>
      </c>
      <c r="H1724" s="1521">
        <v>0</v>
      </c>
      <c r="I1724" s="1521">
        <v>0</v>
      </c>
      <c r="J1724" s="1538">
        <v>0</v>
      </c>
      <c r="K1724" s="1525"/>
      <c r="L1724" s="1519">
        <v>13153020700</v>
      </c>
      <c r="M1724" s="1520">
        <v>0</v>
      </c>
      <c r="N1724" s="1520">
        <v>0</v>
      </c>
      <c r="O1724" s="1521">
        <v>0</v>
      </c>
    </row>
    <row r="1725" spans="3:15" ht="13.5">
      <c r="C1725" s="1526" t="s">
        <v>5686</v>
      </c>
      <c r="D1725" s="1523">
        <v>0</v>
      </c>
      <c r="E1725" s="1523">
        <v>0</v>
      </c>
      <c r="F1725" s="1524">
        <v>0</v>
      </c>
      <c r="G1725" s="1537" t="s">
        <v>5686</v>
      </c>
      <c r="H1725" s="1521">
        <v>1</v>
      </c>
      <c r="I1725" s="1521">
        <v>0</v>
      </c>
      <c r="J1725" s="1538">
        <v>1</v>
      </c>
      <c r="K1725" s="1525"/>
      <c r="L1725" s="1519">
        <v>13153020800</v>
      </c>
      <c r="M1725" s="1520">
        <v>1</v>
      </c>
      <c r="N1725" s="1520">
        <v>0</v>
      </c>
      <c r="O1725" s="1521">
        <v>1</v>
      </c>
    </row>
    <row r="1726" spans="3:15" ht="13.5">
      <c r="C1726" s="1526" t="s">
        <v>5687</v>
      </c>
      <c r="D1726" s="1523">
        <v>0</v>
      </c>
      <c r="E1726" s="1523">
        <v>0</v>
      </c>
      <c r="F1726" s="1524">
        <v>0</v>
      </c>
      <c r="G1726" s="1537" t="s">
        <v>5687</v>
      </c>
      <c r="H1726" s="1521">
        <v>0</v>
      </c>
      <c r="I1726" s="1521">
        <v>0</v>
      </c>
      <c r="J1726" s="1538">
        <v>0</v>
      </c>
      <c r="K1726" s="1525"/>
      <c r="L1726" s="1519">
        <v>13153020900</v>
      </c>
      <c r="M1726" s="1520">
        <v>0</v>
      </c>
      <c r="N1726" s="1520">
        <v>0</v>
      </c>
      <c r="O1726" s="1521">
        <v>0</v>
      </c>
    </row>
    <row r="1727" spans="3:15" ht="13.5">
      <c r="C1727" s="1526" t="s">
        <v>5688</v>
      </c>
      <c r="D1727" s="1523">
        <v>0</v>
      </c>
      <c r="E1727" s="1523">
        <v>0</v>
      </c>
      <c r="F1727" s="1524">
        <v>0</v>
      </c>
      <c r="G1727" s="1537" t="s">
        <v>5688</v>
      </c>
      <c r="H1727" s="1521">
        <v>0</v>
      </c>
      <c r="I1727" s="1521">
        <v>1</v>
      </c>
      <c r="J1727" s="1538">
        <v>1</v>
      </c>
      <c r="K1727" s="1525"/>
      <c r="L1727" s="1519">
        <v>13153021000</v>
      </c>
      <c r="M1727" s="1520">
        <v>0</v>
      </c>
      <c r="N1727" s="1520">
        <v>1</v>
      </c>
      <c r="O1727" s="1521">
        <v>1</v>
      </c>
    </row>
    <row r="1728" spans="3:15" ht="13.5">
      <c r="C1728" s="1526" t="s">
        <v>5689</v>
      </c>
      <c r="D1728" s="1523">
        <v>1</v>
      </c>
      <c r="E1728" s="1523">
        <v>1</v>
      </c>
      <c r="F1728" s="1524">
        <v>2</v>
      </c>
      <c r="G1728" s="1537" t="s">
        <v>5689</v>
      </c>
      <c r="H1728" s="1521">
        <v>1</v>
      </c>
      <c r="I1728" s="1521">
        <v>1</v>
      </c>
      <c r="J1728" s="1538">
        <v>2</v>
      </c>
      <c r="K1728" s="1525"/>
      <c r="L1728" s="1519">
        <v>13153021103</v>
      </c>
      <c r="M1728" s="1520">
        <v>1</v>
      </c>
      <c r="N1728" s="1520">
        <v>1</v>
      </c>
      <c r="O1728" s="1521">
        <v>2</v>
      </c>
    </row>
    <row r="1729" spans="3:15" ht="13.5">
      <c r="C1729" s="1526" t="s">
        <v>5690</v>
      </c>
      <c r="D1729" s="1523">
        <v>0</v>
      </c>
      <c r="E1729" s="1523">
        <v>0</v>
      </c>
      <c r="F1729" s="1524">
        <v>0</v>
      </c>
      <c r="G1729" s="1537" t="s">
        <v>5690</v>
      </c>
      <c r="H1729" s="1521">
        <v>0</v>
      </c>
      <c r="I1729" s="1521">
        <v>0</v>
      </c>
      <c r="J1729" s="1538">
        <v>0</v>
      </c>
      <c r="K1729" s="1525"/>
      <c r="L1729" s="1519">
        <v>13153021104</v>
      </c>
      <c r="M1729" s="1520">
        <v>0</v>
      </c>
      <c r="N1729" s="1520">
        <v>0</v>
      </c>
      <c r="O1729" s="1521">
        <v>0</v>
      </c>
    </row>
    <row r="1730" spans="3:15" ht="13.5">
      <c r="C1730" s="1526" t="s">
        <v>5691</v>
      </c>
      <c r="D1730" s="1523">
        <v>0</v>
      </c>
      <c r="E1730" s="1523">
        <v>1</v>
      </c>
      <c r="F1730" s="1524">
        <v>1</v>
      </c>
      <c r="G1730" s="1537" t="s">
        <v>5691</v>
      </c>
      <c r="H1730" s="1521">
        <v>1</v>
      </c>
      <c r="I1730" s="1521">
        <v>0</v>
      </c>
      <c r="J1730" s="1538">
        <v>1</v>
      </c>
      <c r="K1730" s="1525"/>
      <c r="L1730" s="1519">
        <v>13153021105</v>
      </c>
      <c r="M1730" s="1520">
        <v>1</v>
      </c>
      <c r="N1730" s="1520">
        <v>1</v>
      </c>
      <c r="O1730" s="1521">
        <v>1</v>
      </c>
    </row>
    <row r="1731" spans="3:15" ht="13.5">
      <c r="C1731" s="1526" t="s">
        <v>5692</v>
      </c>
      <c r="D1731" s="1523">
        <v>1</v>
      </c>
      <c r="E1731" s="1523">
        <v>1</v>
      </c>
      <c r="F1731" s="1524">
        <v>2</v>
      </c>
      <c r="G1731" s="1537" t="s">
        <v>5692</v>
      </c>
      <c r="H1731" s="1521">
        <v>0</v>
      </c>
      <c r="I1731" s="1521">
        <v>1</v>
      </c>
      <c r="J1731" s="1538">
        <v>1</v>
      </c>
      <c r="K1731" s="1525"/>
      <c r="L1731" s="1519">
        <v>13153021107</v>
      </c>
      <c r="M1731" s="1520">
        <v>1</v>
      </c>
      <c r="N1731" s="1520">
        <v>1</v>
      </c>
      <c r="O1731" s="1521">
        <v>2</v>
      </c>
    </row>
    <row r="1732" spans="3:15" ht="13.5">
      <c r="C1732" s="1526" t="s">
        <v>5693</v>
      </c>
      <c r="D1732" s="1523">
        <v>1</v>
      </c>
      <c r="E1732" s="1523">
        <v>1</v>
      </c>
      <c r="F1732" s="1524">
        <v>2</v>
      </c>
      <c r="G1732" s="1537" t="s">
        <v>5693</v>
      </c>
      <c r="H1732" s="1521">
        <v>1</v>
      </c>
      <c r="I1732" s="1521">
        <v>1</v>
      </c>
      <c r="J1732" s="1538">
        <v>2</v>
      </c>
      <c r="K1732" s="1525"/>
      <c r="L1732" s="1519">
        <v>13153021108</v>
      </c>
      <c r="M1732" s="1520">
        <v>1</v>
      </c>
      <c r="N1732" s="1520">
        <v>1</v>
      </c>
      <c r="O1732" s="1521">
        <v>2</v>
      </c>
    </row>
    <row r="1733" spans="3:15" ht="13.5">
      <c r="C1733" s="1526" t="s">
        <v>5694</v>
      </c>
      <c r="D1733" s="1523">
        <v>1</v>
      </c>
      <c r="E1733" s="1523">
        <v>1</v>
      </c>
      <c r="F1733" s="1524">
        <v>2</v>
      </c>
      <c r="G1733" s="1537" t="s">
        <v>5694</v>
      </c>
      <c r="H1733" s="1521">
        <v>1</v>
      </c>
      <c r="I1733" s="1521">
        <v>1</v>
      </c>
      <c r="J1733" s="1538">
        <v>2</v>
      </c>
      <c r="K1733" s="1525"/>
      <c r="L1733" s="1519">
        <v>13153021113</v>
      </c>
      <c r="M1733" s="1520">
        <v>1</v>
      </c>
      <c r="N1733" s="1520">
        <v>1</v>
      </c>
      <c r="O1733" s="1521">
        <v>2</v>
      </c>
    </row>
    <row r="1734" spans="3:15" ht="13.5">
      <c r="C1734" s="1526" t="s">
        <v>5695</v>
      </c>
      <c r="D1734" s="1523">
        <v>1</v>
      </c>
      <c r="E1734" s="1523">
        <v>1</v>
      </c>
      <c r="F1734" s="1524">
        <v>2</v>
      </c>
      <c r="G1734" s="1537" t="s">
        <v>5695</v>
      </c>
      <c r="H1734" s="1521">
        <v>1</v>
      </c>
      <c r="I1734" s="1521">
        <v>1</v>
      </c>
      <c r="J1734" s="1538">
        <v>2</v>
      </c>
      <c r="K1734" s="1525"/>
      <c r="L1734" s="1519">
        <v>13153021201</v>
      </c>
      <c r="M1734" s="1520">
        <v>1</v>
      </c>
      <c r="N1734" s="1520">
        <v>1</v>
      </c>
      <c r="O1734" s="1521">
        <v>2</v>
      </c>
    </row>
    <row r="1735" spans="3:15" ht="13.5">
      <c r="C1735" s="1526" t="s">
        <v>5696</v>
      </c>
      <c r="D1735" s="1523">
        <v>0</v>
      </c>
      <c r="E1735" s="1523">
        <v>1</v>
      </c>
      <c r="F1735" s="1524">
        <v>1</v>
      </c>
      <c r="G1735" s="1537" t="s">
        <v>5696</v>
      </c>
      <c r="H1735" s="1521">
        <v>0</v>
      </c>
      <c r="I1735" s="1521">
        <v>1</v>
      </c>
      <c r="J1735" s="1538">
        <v>1</v>
      </c>
      <c r="K1735" s="1525"/>
      <c r="L1735" s="1519">
        <v>13153021202</v>
      </c>
      <c r="M1735" s="1520">
        <v>0</v>
      </c>
      <c r="N1735" s="1520">
        <v>1</v>
      </c>
      <c r="O1735" s="1521">
        <v>1</v>
      </c>
    </row>
    <row r="1736" spans="3:15" ht="13.5">
      <c r="C1736" s="1526" t="s">
        <v>5697</v>
      </c>
      <c r="D1736" s="1523">
        <v>0</v>
      </c>
      <c r="E1736" s="1523">
        <v>0</v>
      </c>
      <c r="F1736" s="1524">
        <v>0</v>
      </c>
      <c r="G1736" s="1537" t="s">
        <v>5697</v>
      </c>
      <c r="H1736" s="1521">
        <v>0</v>
      </c>
      <c r="I1736" s="1521">
        <v>0</v>
      </c>
      <c r="J1736" s="1538">
        <v>0</v>
      </c>
      <c r="K1736" s="1525"/>
      <c r="L1736" s="1519">
        <v>13153021300</v>
      </c>
      <c r="M1736" s="1520">
        <v>0</v>
      </c>
      <c r="N1736" s="1520">
        <v>0</v>
      </c>
      <c r="O1736" s="1521">
        <v>0</v>
      </c>
    </row>
    <row r="1737" spans="3:15" ht="13.5">
      <c r="C1737" s="1526" t="s">
        <v>5698</v>
      </c>
      <c r="D1737" s="1523">
        <v>0</v>
      </c>
      <c r="E1737" s="1523">
        <v>1</v>
      </c>
      <c r="F1737" s="1524">
        <v>1</v>
      </c>
      <c r="G1737" s="1537" t="s">
        <v>5698</v>
      </c>
      <c r="H1737" s="1521">
        <v>0</v>
      </c>
      <c r="I1737" s="1521">
        <v>1</v>
      </c>
      <c r="J1737" s="1538">
        <v>1</v>
      </c>
      <c r="K1737" s="1525"/>
      <c r="L1737" s="1519">
        <v>13153021400</v>
      </c>
      <c r="M1737" s="1520">
        <v>0</v>
      </c>
      <c r="N1737" s="1520">
        <v>1</v>
      </c>
      <c r="O1737" s="1521">
        <v>1</v>
      </c>
    </row>
    <row r="1738" spans="3:15" ht="13.5">
      <c r="C1738" s="1526" t="s">
        <v>5699</v>
      </c>
      <c r="D1738" s="1523">
        <v>1</v>
      </c>
      <c r="E1738" s="1523">
        <v>1</v>
      </c>
      <c r="F1738" s="1524">
        <v>2</v>
      </c>
      <c r="G1738" s="1537" t="s">
        <v>5699</v>
      </c>
      <c r="H1738" s="1521">
        <v>1</v>
      </c>
      <c r="I1738" s="1521">
        <v>1</v>
      </c>
      <c r="J1738" s="1538">
        <v>2</v>
      </c>
      <c r="K1738" s="1525"/>
      <c r="L1738" s="1519">
        <v>13153021500</v>
      </c>
      <c r="M1738" s="1520">
        <v>1</v>
      </c>
      <c r="N1738" s="1520">
        <v>1</v>
      </c>
      <c r="O1738" s="1521">
        <v>2</v>
      </c>
    </row>
    <row r="1739" spans="3:15" ht="13.5">
      <c r="C1739" s="1526" t="s">
        <v>5700</v>
      </c>
      <c r="D1739" s="1523">
        <v>0</v>
      </c>
      <c r="E1739" s="1523">
        <v>0</v>
      </c>
      <c r="F1739" s="1524">
        <v>0</v>
      </c>
      <c r="G1739" s="1537" t="s">
        <v>5700</v>
      </c>
      <c r="H1739" s="1521">
        <v>0</v>
      </c>
      <c r="I1739" s="1521">
        <v>0</v>
      </c>
      <c r="J1739" s="1538">
        <v>0</v>
      </c>
      <c r="K1739" s="1525"/>
      <c r="L1739" s="1519">
        <v>13155950100</v>
      </c>
      <c r="M1739" s="1520">
        <v>0</v>
      </c>
      <c r="N1739" s="1520">
        <v>0</v>
      </c>
      <c r="O1739" s="1521">
        <v>0</v>
      </c>
    </row>
    <row r="1740" spans="3:15" ht="13.5">
      <c r="C1740" s="1526" t="s">
        <v>5701</v>
      </c>
      <c r="D1740" s="1523">
        <v>0</v>
      </c>
      <c r="E1740" s="1523">
        <v>0</v>
      </c>
      <c r="F1740" s="1524">
        <v>0</v>
      </c>
      <c r="G1740" s="1537" t="s">
        <v>5701</v>
      </c>
      <c r="H1740" s="1521">
        <v>0</v>
      </c>
      <c r="I1740" s="1521">
        <v>0</v>
      </c>
      <c r="J1740" s="1538">
        <v>0</v>
      </c>
      <c r="K1740" s="1525"/>
      <c r="L1740" s="1519">
        <v>13155950200</v>
      </c>
      <c r="M1740" s="1520">
        <v>0</v>
      </c>
      <c r="N1740" s="1520">
        <v>0</v>
      </c>
      <c r="O1740" s="1521">
        <v>0</v>
      </c>
    </row>
    <row r="1741" spans="3:15" ht="13.5">
      <c r="C1741" s="1526" t="s">
        <v>5702</v>
      </c>
      <c r="D1741" s="1523">
        <v>1</v>
      </c>
      <c r="E1741" s="1523">
        <v>1</v>
      </c>
      <c r="F1741" s="1524">
        <v>2</v>
      </c>
      <c r="G1741" s="1537" t="s">
        <v>5702</v>
      </c>
      <c r="H1741" s="1521">
        <v>1</v>
      </c>
      <c r="I1741" s="1521">
        <v>1</v>
      </c>
      <c r="J1741" s="1538">
        <v>1</v>
      </c>
      <c r="K1741" s="1525"/>
      <c r="L1741" s="1519">
        <v>13157010101</v>
      </c>
      <c r="M1741" s="1520">
        <v>1</v>
      </c>
      <c r="N1741" s="1520">
        <v>1</v>
      </c>
      <c r="O1741" s="1521">
        <v>2</v>
      </c>
    </row>
    <row r="1742" spans="3:15" ht="13.5">
      <c r="C1742" s="1526" t="s">
        <v>5703</v>
      </c>
      <c r="D1742" s="1523">
        <v>1</v>
      </c>
      <c r="E1742" s="1523">
        <v>1</v>
      </c>
      <c r="F1742" s="1524">
        <v>2</v>
      </c>
      <c r="G1742" s="1537" t="s">
        <v>5703</v>
      </c>
      <c r="H1742" s="1521">
        <v>1</v>
      </c>
      <c r="I1742" s="1521">
        <v>1</v>
      </c>
      <c r="J1742" s="1538">
        <v>2</v>
      </c>
      <c r="K1742" s="1525"/>
      <c r="L1742" s="1519">
        <v>13157010102</v>
      </c>
      <c r="M1742" s="1520">
        <v>1</v>
      </c>
      <c r="N1742" s="1520">
        <v>1</v>
      </c>
      <c r="O1742" s="1521">
        <v>2</v>
      </c>
    </row>
    <row r="1743" spans="3:15" ht="13.5">
      <c r="C1743" s="1526" t="s">
        <v>5704</v>
      </c>
      <c r="D1743" s="1523">
        <v>1</v>
      </c>
      <c r="E1743" s="1523">
        <v>1</v>
      </c>
      <c r="F1743" s="1524">
        <v>2</v>
      </c>
      <c r="G1743" s="1537" t="s">
        <v>5704</v>
      </c>
      <c r="H1743" s="1521">
        <v>0</v>
      </c>
      <c r="I1743" s="1521">
        <v>1</v>
      </c>
      <c r="J1743" s="1538">
        <v>1</v>
      </c>
      <c r="K1743" s="1525"/>
      <c r="L1743" s="1519">
        <v>13157010103</v>
      </c>
      <c r="M1743" s="1520">
        <v>1</v>
      </c>
      <c r="N1743" s="1520">
        <v>1</v>
      </c>
      <c r="O1743" s="1521">
        <v>2</v>
      </c>
    </row>
    <row r="1744" spans="3:15" ht="13.5">
      <c r="C1744" s="1526" t="s">
        <v>5705</v>
      </c>
      <c r="D1744" s="1523">
        <v>0</v>
      </c>
      <c r="E1744" s="1523">
        <v>0</v>
      </c>
      <c r="F1744" s="1524">
        <v>0</v>
      </c>
      <c r="G1744" s="1537" t="s">
        <v>5705</v>
      </c>
      <c r="H1744" s="1521">
        <v>0</v>
      </c>
      <c r="I1744" s="1521">
        <v>0</v>
      </c>
      <c r="J1744" s="1538">
        <v>0</v>
      </c>
      <c r="K1744" s="1525"/>
      <c r="L1744" s="1519">
        <v>13157010200</v>
      </c>
      <c r="M1744" s="1520">
        <v>0</v>
      </c>
      <c r="N1744" s="1520">
        <v>0</v>
      </c>
      <c r="O1744" s="1521">
        <v>0</v>
      </c>
    </row>
    <row r="1745" spans="3:15" ht="13.5">
      <c r="C1745" s="1526" t="s">
        <v>5706</v>
      </c>
      <c r="D1745" s="1523">
        <v>0</v>
      </c>
      <c r="E1745" s="1523">
        <v>0</v>
      </c>
      <c r="F1745" s="1524">
        <v>0</v>
      </c>
      <c r="G1745" s="1537" t="s">
        <v>5706</v>
      </c>
      <c r="H1745" s="1521">
        <v>0</v>
      </c>
      <c r="I1745" s="1521">
        <v>0</v>
      </c>
      <c r="J1745" s="1538">
        <v>0</v>
      </c>
      <c r="K1745" s="1525"/>
      <c r="L1745" s="1519">
        <v>13157010300</v>
      </c>
      <c r="M1745" s="1520">
        <v>0</v>
      </c>
      <c r="N1745" s="1520">
        <v>0</v>
      </c>
      <c r="O1745" s="1521">
        <v>0</v>
      </c>
    </row>
    <row r="1746" spans="3:15" ht="13.5">
      <c r="C1746" s="1526" t="s">
        <v>5707</v>
      </c>
      <c r="D1746" s="1523">
        <v>0</v>
      </c>
      <c r="E1746" s="1523">
        <v>0</v>
      </c>
      <c r="F1746" s="1524">
        <v>0</v>
      </c>
      <c r="G1746" s="1537" t="s">
        <v>5707</v>
      </c>
      <c r="H1746" s="1521">
        <v>0</v>
      </c>
      <c r="I1746" s="1521">
        <v>0</v>
      </c>
      <c r="J1746" s="1538">
        <v>0</v>
      </c>
      <c r="K1746" s="1525"/>
      <c r="L1746" s="1519">
        <v>13157010400</v>
      </c>
      <c r="M1746" s="1520">
        <v>0</v>
      </c>
      <c r="N1746" s="1520">
        <v>0</v>
      </c>
      <c r="O1746" s="1521">
        <v>0</v>
      </c>
    </row>
    <row r="1747" spans="3:15" ht="13.5">
      <c r="C1747" s="1526" t="s">
        <v>5708</v>
      </c>
      <c r="D1747" s="1523">
        <v>0</v>
      </c>
      <c r="E1747" s="1523">
        <v>0</v>
      </c>
      <c r="F1747" s="1524">
        <v>0</v>
      </c>
      <c r="G1747" s="1537" t="s">
        <v>5708</v>
      </c>
      <c r="H1747" s="1521">
        <v>0</v>
      </c>
      <c r="I1747" s="1521">
        <v>0</v>
      </c>
      <c r="J1747" s="1538">
        <v>0</v>
      </c>
      <c r="K1747" s="1525"/>
      <c r="L1747" s="1519">
        <v>13157010500</v>
      </c>
      <c r="M1747" s="1520">
        <v>0</v>
      </c>
      <c r="N1747" s="1520">
        <v>0</v>
      </c>
      <c r="O1747" s="1521">
        <v>0</v>
      </c>
    </row>
    <row r="1748" spans="3:15" ht="13.5">
      <c r="C1748" s="1526" t="s">
        <v>5709</v>
      </c>
      <c r="D1748" s="1523">
        <v>0</v>
      </c>
      <c r="E1748" s="1523">
        <v>0</v>
      </c>
      <c r="F1748" s="1524">
        <v>0</v>
      </c>
      <c r="G1748" s="1537" t="s">
        <v>5709</v>
      </c>
      <c r="H1748" s="1521">
        <v>1</v>
      </c>
      <c r="I1748" s="1521">
        <v>0</v>
      </c>
      <c r="J1748" s="1538">
        <v>1</v>
      </c>
      <c r="K1748" s="1525"/>
      <c r="L1748" s="1519">
        <v>13157010600</v>
      </c>
      <c r="M1748" s="1520">
        <v>1</v>
      </c>
      <c r="N1748" s="1520">
        <v>0</v>
      </c>
      <c r="O1748" s="1521">
        <v>1</v>
      </c>
    </row>
    <row r="1749" spans="3:15" ht="13.5">
      <c r="C1749" s="1526" t="s">
        <v>5710</v>
      </c>
      <c r="D1749" s="1523">
        <v>0</v>
      </c>
      <c r="E1749" s="1523">
        <v>1</v>
      </c>
      <c r="F1749" s="1524">
        <v>1</v>
      </c>
      <c r="G1749" s="1537" t="s">
        <v>5710</v>
      </c>
      <c r="H1749" s="1521">
        <v>1</v>
      </c>
      <c r="I1749" s="1521">
        <v>1</v>
      </c>
      <c r="J1749" s="1538">
        <v>1</v>
      </c>
      <c r="K1749" s="1525"/>
      <c r="L1749" s="1519">
        <v>13157010701</v>
      </c>
      <c r="M1749" s="1520">
        <v>1</v>
      </c>
      <c r="N1749" s="1520">
        <v>1</v>
      </c>
      <c r="O1749" s="1521">
        <v>1</v>
      </c>
    </row>
    <row r="1750" spans="3:15" ht="13.5">
      <c r="C1750" s="1526" t="s">
        <v>5711</v>
      </c>
      <c r="D1750" s="1523">
        <v>1</v>
      </c>
      <c r="E1750" s="1523">
        <v>1</v>
      </c>
      <c r="F1750" s="1524">
        <v>2</v>
      </c>
      <c r="G1750" s="1537" t="s">
        <v>5711</v>
      </c>
      <c r="H1750" s="1521">
        <v>1</v>
      </c>
      <c r="I1750" s="1521">
        <v>1</v>
      </c>
      <c r="J1750" s="1538">
        <v>2</v>
      </c>
      <c r="K1750" s="1525"/>
      <c r="L1750" s="1519">
        <v>13157010702</v>
      </c>
      <c r="M1750" s="1520">
        <v>1</v>
      </c>
      <c r="N1750" s="1520">
        <v>1</v>
      </c>
      <c r="O1750" s="1521">
        <v>2</v>
      </c>
    </row>
    <row r="1751" spans="3:15" ht="13.5">
      <c r="C1751" s="1526" t="s">
        <v>5712</v>
      </c>
      <c r="D1751" s="1523">
        <v>1</v>
      </c>
      <c r="E1751" s="1523">
        <v>1</v>
      </c>
      <c r="F1751" s="1524">
        <v>2</v>
      </c>
      <c r="G1751" s="1537" t="s">
        <v>5712</v>
      </c>
      <c r="H1751" s="1521">
        <v>1</v>
      </c>
      <c r="I1751" s="1521">
        <v>1</v>
      </c>
      <c r="J1751" s="1538">
        <v>2</v>
      </c>
      <c r="K1751" s="1525"/>
      <c r="L1751" s="1519">
        <v>13157010703</v>
      </c>
      <c r="M1751" s="1520">
        <v>1</v>
      </c>
      <c r="N1751" s="1520">
        <v>1</v>
      </c>
      <c r="O1751" s="1521">
        <v>2</v>
      </c>
    </row>
    <row r="1752" spans="3:15" ht="13.5">
      <c r="C1752" s="1526" t="s">
        <v>5713</v>
      </c>
      <c r="D1752" s="1523">
        <v>0</v>
      </c>
      <c r="E1752" s="1523">
        <v>0</v>
      </c>
      <c r="F1752" s="1524">
        <v>0</v>
      </c>
      <c r="G1752" s="1537" t="s">
        <v>5713</v>
      </c>
      <c r="H1752" s="1521">
        <v>0</v>
      </c>
      <c r="I1752" s="1521">
        <v>0</v>
      </c>
      <c r="J1752" s="1538">
        <v>0</v>
      </c>
      <c r="K1752" s="1525"/>
      <c r="L1752" s="1519">
        <v>13159010100</v>
      </c>
      <c r="M1752" s="1520">
        <v>0</v>
      </c>
      <c r="N1752" s="1520">
        <v>0</v>
      </c>
      <c r="O1752" s="1521">
        <v>0</v>
      </c>
    </row>
    <row r="1753" spans="3:15" ht="13.5">
      <c r="C1753" s="1526" t="s">
        <v>5714</v>
      </c>
      <c r="D1753" s="1523">
        <v>1</v>
      </c>
      <c r="E1753" s="1523">
        <v>1</v>
      </c>
      <c r="F1753" s="1524">
        <v>2</v>
      </c>
      <c r="G1753" s="1537" t="s">
        <v>5714</v>
      </c>
      <c r="H1753" s="1521">
        <v>0</v>
      </c>
      <c r="I1753" s="1521">
        <v>0</v>
      </c>
      <c r="J1753" s="1538">
        <v>0</v>
      </c>
      <c r="K1753" s="1525"/>
      <c r="L1753" s="1519">
        <v>13159010200</v>
      </c>
      <c r="M1753" s="1520">
        <v>1</v>
      </c>
      <c r="N1753" s="1520">
        <v>1</v>
      </c>
      <c r="O1753" s="1521">
        <v>2</v>
      </c>
    </row>
    <row r="1754" spans="3:15" ht="13.5">
      <c r="C1754" s="1526" t="s">
        <v>5715</v>
      </c>
      <c r="D1754" s="1523">
        <v>0</v>
      </c>
      <c r="E1754" s="1523">
        <v>0</v>
      </c>
      <c r="F1754" s="1524">
        <v>0</v>
      </c>
      <c r="G1754" s="1537" t="s">
        <v>5715</v>
      </c>
      <c r="H1754" s="1521">
        <v>0</v>
      </c>
      <c r="I1754" s="1521">
        <v>0</v>
      </c>
      <c r="J1754" s="1538">
        <v>0</v>
      </c>
      <c r="K1754" s="1525"/>
      <c r="L1754" s="1519">
        <v>13159010500</v>
      </c>
      <c r="M1754" s="1520">
        <v>0</v>
      </c>
      <c r="N1754" s="1520">
        <v>0</v>
      </c>
      <c r="O1754" s="1521">
        <v>0</v>
      </c>
    </row>
    <row r="1755" spans="3:15" ht="13.5">
      <c r="C1755" s="1526" t="s">
        <v>5716</v>
      </c>
      <c r="D1755" s="1523">
        <v>0</v>
      </c>
      <c r="E1755" s="1523">
        <v>0</v>
      </c>
      <c r="F1755" s="1524">
        <v>0</v>
      </c>
      <c r="G1755" s="1537" t="s">
        <v>5716</v>
      </c>
      <c r="H1755" s="1521">
        <v>0</v>
      </c>
      <c r="I1755" s="1521">
        <v>0</v>
      </c>
      <c r="J1755" s="1538">
        <v>0</v>
      </c>
      <c r="K1755" s="1525"/>
      <c r="L1755" s="1519">
        <v>13161960100</v>
      </c>
      <c r="M1755" s="1520">
        <v>0</v>
      </c>
      <c r="N1755" s="1520">
        <v>0</v>
      </c>
      <c r="O1755" s="1521">
        <v>0</v>
      </c>
    </row>
    <row r="1756" spans="3:15" ht="13.5">
      <c r="C1756" s="1526" t="s">
        <v>5717</v>
      </c>
      <c r="D1756" s="1523">
        <v>0</v>
      </c>
      <c r="E1756" s="1523">
        <v>0</v>
      </c>
      <c r="F1756" s="1524">
        <v>0</v>
      </c>
      <c r="G1756" s="1537" t="s">
        <v>5717</v>
      </c>
      <c r="H1756" s="1521">
        <v>0</v>
      </c>
      <c r="I1756" s="1521">
        <v>0</v>
      </c>
      <c r="J1756" s="1538">
        <v>0</v>
      </c>
      <c r="K1756" s="1525"/>
      <c r="L1756" s="1519">
        <v>13161960200</v>
      </c>
      <c r="M1756" s="1520">
        <v>0</v>
      </c>
      <c r="N1756" s="1520">
        <v>0</v>
      </c>
      <c r="O1756" s="1521">
        <v>0</v>
      </c>
    </row>
    <row r="1757" spans="3:15" ht="13.5">
      <c r="C1757" s="1526" t="s">
        <v>5718</v>
      </c>
      <c r="D1757" s="1523">
        <v>0</v>
      </c>
      <c r="E1757" s="1523">
        <v>0</v>
      </c>
      <c r="F1757" s="1524">
        <v>0</v>
      </c>
      <c r="G1757" s="1537" t="s">
        <v>5718</v>
      </c>
      <c r="H1757" s="1521">
        <v>0</v>
      </c>
      <c r="I1757" s="1521">
        <v>0</v>
      </c>
      <c r="J1757" s="1538">
        <v>0</v>
      </c>
      <c r="K1757" s="1525"/>
      <c r="L1757" s="1519">
        <v>13161960300</v>
      </c>
      <c r="M1757" s="1520">
        <v>0</v>
      </c>
      <c r="N1757" s="1520">
        <v>0</v>
      </c>
      <c r="O1757" s="1521">
        <v>0</v>
      </c>
    </row>
    <row r="1758" spans="3:15" ht="13.5">
      <c r="C1758" s="1526" t="s">
        <v>5719</v>
      </c>
      <c r="D1758" s="1523">
        <v>0</v>
      </c>
      <c r="E1758" s="1523">
        <v>0</v>
      </c>
      <c r="F1758" s="1524">
        <v>0</v>
      </c>
      <c r="G1758" s="1537" t="s">
        <v>5719</v>
      </c>
      <c r="H1758" s="1521">
        <v>0</v>
      </c>
      <c r="I1758" s="1521">
        <v>0</v>
      </c>
      <c r="J1758" s="1538">
        <v>0</v>
      </c>
      <c r="K1758" s="1525"/>
      <c r="L1758" s="1519">
        <v>13163960100</v>
      </c>
      <c r="M1758" s="1520">
        <v>0</v>
      </c>
      <c r="N1758" s="1520">
        <v>0</v>
      </c>
      <c r="O1758" s="1521">
        <v>0</v>
      </c>
    </row>
    <row r="1759" spans="3:15" ht="13.5">
      <c r="C1759" s="1526" t="s">
        <v>5720</v>
      </c>
      <c r="D1759" s="1523">
        <v>0</v>
      </c>
      <c r="E1759" s="1523">
        <v>0</v>
      </c>
      <c r="F1759" s="1524">
        <v>0</v>
      </c>
      <c r="G1759" s="1537" t="s">
        <v>5720</v>
      </c>
      <c r="H1759" s="1521">
        <v>0</v>
      </c>
      <c r="I1759" s="1521">
        <v>0</v>
      </c>
      <c r="J1759" s="1538">
        <v>0</v>
      </c>
      <c r="K1759" s="1525"/>
      <c r="L1759" s="1519">
        <v>13163960200</v>
      </c>
      <c r="M1759" s="1520">
        <v>0</v>
      </c>
      <c r="N1759" s="1520">
        <v>0</v>
      </c>
      <c r="O1759" s="1521">
        <v>0</v>
      </c>
    </row>
    <row r="1760" spans="3:15" ht="13.5">
      <c r="C1760" s="1526" t="s">
        <v>5721</v>
      </c>
      <c r="D1760" s="1523">
        <v>0</v>
      </c>
      <c r="E1760" s="1523">
        <v>0</v>
      </c>
      <c r="F1760" s="1524">
        <v>0</v>
      </c>
      <c r="G1760" s="1537" t="s">
        <v>5721</v>
      </c>
      <c r="H1760" s="1521">
        <v>0</v>
      </c>
      <c r="I1760" s="1521">
        <v>0</v>
      </c>
      <c r="J1760" s="1538">
        <v>0</v>
      </c>
      <c r="K1760" s="1525"/>
      <c r="L1760" s="1519">
        <v>13163960300</v>
      </c>
      <c r="M1760" s="1520">
        <v>0</v>
      </c>
      <c r="N1760" s="1520">
        <v>0</v>
      </c>
      <c r="O1760" s="1521">
        <v>0</v>
      </c>
    </row>
    <row r="1761" spans="3:15" ht="13.5">
      <c r="C1761" s="1526" t="s">
        <v>5722</v>
      </c>
      <c r="D1761" s="1523">
        <v>0</v>
      </c>
      <c r="E1761" s="1523">
        <v>0</v>
      </c>
      <c r="F1761" s="1524">
        <v>0</v>
      </c>
      <c r="G1761" s="1537" t="s">
        <v>5722</v>
      </c>
      <c r="H1761" s="1521">
        <v>0</v>
      </c>
      <c r="I1761" s="1521" t="s">
        <v>4099</v>
      </c>
      <c r="J1761" s="1538">
        <v>0</v>
      </c>
      <c r="K1761" s="1525"/>
      <c r="L1761" s="1519">
        <v>13163960400</v>
      </c>
      <c r="M1761" s="1520">
        <v>0</v>
      </c>
      <c r="N1761" s="1520">
        <v>0</v>
      </c>
      <c r="O1761" s="1521">
        <v>0</v>
      </c>
    </row>
    <row r="1762" spans="3:15" ht="13.5">
      <c r="C1762" s="1526" t="s">
        <v>5723</v>
      </c>
      <c r="D1762" s="1523">
        <v>0</v>
      </c>
      <c r="E1762" s="1523">
        <v>0</v>
      </c>
      <c r="F1762" s="1524">
        <v>0</v>
      </c>
      <c r="G1762" s="1537" t="s">
        <v>5723</v>
      </c>
      <c r="H1762" s="1521">
        <v>0</v>
      </c>
      <c r="I1762" s="1521">
        <v>0</v>
      </c>
      <c r="J1762" s="1538">
        <v>0</v>
      </c>
      <c r="K1762" s="1525"/>
      <c r="L1762" s="1519">
        <v>13165960100</v>
      </c>
      <c r="M1762" s="1520">
        <v>0</v>
      </c>
      <c r="N1762" s="1520">
        <v>0</v>
      </c>
      <c r="O1762" s="1521">
        <v>0</v>
      </c>
    </row>
    <row r="1763" spans="3:15" ht="13.5">
      <c r="C1763" s="1526" t="s">
        <v>5724</v>
      </c>
      <c r="D1763" s="1523">
        <v>0</v>
      </c>
      <c r="E1763" s="1523">
        <v>0</v>
      </c>
      <c r="F1763" s="1524">
        <v>0</v>
      </c>
      <c r="G1763" s="1537" t="s">
        <v>5724</v>
      </c>
      <c r="H1763" s="1521">
        <v>0</v>
      </c>
      <c r="I1763" s="1521">
        <v>0</v>
      </c>
      <c r="J1763" s="1538">
        <v>0</v>
      </c>
      <c r="K1763" s="1525"/>
      <c r="L1763" s="1519">
        <v>13165960200</v>
      </c>
      <c r="M1763" s="1520">
        <v>0</v>
      </c>
      <c r="N1763" s="1520">
        <v>0</v>
      </c>
      <c r="O1763" s="1521">
        <v>0</v>
      </c>
    </row>
    <row r="1764" spans="3:15" ht="13.5">
      <c r="C1764" s="1526" t="s">
        <v>5725</v>
      </c>
      <c r="D1764" s="1523">
        <v>0</v>
      </c>
      <c r="E1764" s="1523">
        <v>0</v>
      </c>
      <c r="F1764" s="1524">
        <v>0</v>
      </c>
      <c r="G1764" s="1537" t="s">
        <v>5725</v>
      </c>
      <c r="H1764" s="1521">
        <v>0</v>
      </c>
      <c r="I1764" s="1521">
        <v>1</v>
      </c>
      <c r="J1764" s="1538">
        <v>0</v>
      </c>
      <c r="K1764" s="1525"/>
      <c r="L1764" s="1519">
        <v>13167960100</v>
      </c>
      <c r="M1764" s="1520">
        <v>0</v>
      </c>
      <c r="N1764" s="1520">
        <v>1</v>
      </c>
      <c r="O1764" s="1521">
        <v>0</v>
      </c>
    </row>
    <row r="1765" spans="3:15" ht="13.5">
      <c r="C1765" s="1526" t="s">
        <v>5726</v>
      </c>
      <c r="D1765" s="1523">
        <v>0</v>
      </c>
      <c r="E1765" s="1523">
        <v>0</v>
      </c>
      <c r="F1765" s="1524">
        <v>0</v>
      </c>
      <c r="G1765" s="1537" t="s">
        <v>5726</v>
      </c>
      <c r="H1765" s="1521">
        <v>0</v>
      </c>
      <c r="I1765" s="1521">
        <v>0</v>
      </c>
      <c r="J1765" s="1538">
        <v>0</v>
      </c>
      <c r="K1765" s="1525"/>
      <c r="L1765" s="1519">
        <v>13167960200</v>
      </c>
      <c r="M1765" s="1520">
        <v>0</v>
      </c>
      <c r="N1765" s="1520">
        <v>0</v>
      </c>
      <c r="O1765" s="1521">
        <v>0</v>
      </c>
    </row>
    <row r="1766" spans="3:15" ht="13.5">
      <c r="C1766" s="1526" t="s">
        <v>5727</v>
      </c>
      <c r="D1766" s="1523">
        <v>0</v>
      </c>
      <c r="E1766" s="1523">
        <v>0</v>
      </c>
      <c r="F1766" s="1524">
        <v>0</v>
      </c>
      <c r="G1766" s="1537" t="s">
        <v>5727</v>
      </c>
      <c r="H1766" s="1521">
        <v>1</v>
      </c>
      <c r="I1766" s="1521">
        <v>1</v>
      </c>
      <c r="J1766" s="1538">
        <v>2</v>
      </c>
      <c r="K1766" s="1525"/>
      <c r="L1766" s="1519">
        <v>13167960300</v>
      </c>
      <c r="M1766" s="1520">
        <v>1</v>
      </c>
      <c r="N1766" s="1520">
        <v>1</v>
      </c>
      <c r="O1766" s="1521">
        <v>2</v>
      </c>
    </row>
    <row r="1767" spans="3:15" ht="13.5">
      <c r="C1767" s="1526" t="s">
        <v>5728</v>
      </c>
      <c r="D1767" s="1523">
        <v>1</v>
      </c>
      <c r="E1767" s="1523">
        <v>1</v>
      </c>
      <c r="F1767" s="1524">
        <v>2</v>
      </c>
      <c r="G1767" s="1537" t="s">
        <v>5728</v>
      </c>
      <c r="H1767" s="1521">
        <v>1</v>
      </c>
      <c r="I1767" s="1521">
        <v>1</v>
      </c>
      <c r="J1767" s="1538">
        <v>2</v>
      </c>
      <c r="K1767" s="1525"/>
      <c r="L1767" s="1519">
        <v>13169030101</v>
      </c>
      <c r="M1767" s="1520">
        <v>1</v>
      </c>
      <c r="N1767" s="1520">
        <v>1</v>
      </c>
      <c r="O1767" s="1521">
        <v>2</v>
      </c>
    </row>
    <row r="1768" spans="3:15" ht="13.5">
      <c r="C1768" s="1526" t="s">
        <v>5729</v>
      </c>
      <c r="D1768" s="1523">
        <v>1</v>
      </c>
      <c r="E1768" s="1523">
        <v>1</v>
      </c>
      <c r="F1768" s="1524">
        <v>2</v>
      </c>
      <c r="G1768" s="1537" t="s">
        <v>5729</v>
      </c>
      <c r="H1768" s="1521">
        <v>1</v>
      </c>
      <c r="I1768" s="1521">
        <v>0</v>
      </c>
      <c r="J1768" s="1538">
        <v>1</v>
      </c>
      <c r="K1768" s="1525"/>
      <c r="L1768" s="1519">
        <v>13169030103</v>
      </c>
      <c r="M1768" s="1520">
        <v>1</v>
      </c>
      <c r="N1768" s="1520">
        <v>1</v>
      </c>
      <c r="O1768" s="1521">
        <v>2</v>
      </c>
    </row>
    <row r="1769" spans="3:15" ht="13.5">
      <c r="C1769" s="1526" t="s">
        <v>5730</v>
      </c>
      <c r="D1769" s="1523">
        <v>0</v>
      </c>
      <c r="E1769" s="1523">
        <v>0</v>
      </c>
      <c r="F1769" s="1524">
        <v>0</v>
      </c>
      <c r="G1769" s="1537" t="s">
        <v>5730</v>
      </c>
      <c r="H1769" s="1521">
        <v>0</v>
      </c>
      <c r="I1769" s="1521">
        <v>0</v>
      </c>
      <c r="J1769" s="1538">
        <v>0</v>
      </c>
      <c r="K1769" s="1525"/>
      <c r="L1769" s="1519">
        <v>13169030104</v>
      </c>
      <c r="M1769" s="1520">
        <v>0</v>
      </c>
      <c r="N1769" s="1520">
        <v>0</v>
      </c>
      <c r="O1769" s="1521">
        <v>0</v>
      </c>
    </row>
    <row r="1770" spans="3:15" ht="13.5">
      <c r="C1770" s="1526" t="s">
        <v>5731</v>
      </c>
      <c r="D1770" s="1523">
        <v>0</v>
      </c>
      <c r="E1770" s="1523">
        <v>0</v>
      </c>
      <c r="F1770" s="1524">
        <v>0</v>
      </c>
      <c r="G1770" s="1537" t="s">
        <v>5731</v>
      </c>
      <c r="H1770" s="1521">
        <v>0</v>
      </c>
      <c r="I1770" s="1521">
        <v>0</v>
      </c>
      <c r="J1770" s="1538">
        <v>0</v>
      </c>
      <c r="K1770" s="1525"/>
      <c r="L1770" s="1519">
        <v>13169030200</v>
      </c>
      <c r="M1770" s="1520">
        <v>0</v>
      </c>
      <c r="N1770" s="1520">
        <v>0</v>
      </c>
      <c r="O1770" s="1521">
        <v>0</v>
      </c>
    </row>
    <row r="1771" spans="3:15" ht="13.5">
      <c r="C1771" s="1526" t="s">
        <v>5732</v>
      </c>
      <c r="D1771" s="1523">
        <v>1</v>
      </c>
      <c r="E1771" s="1523">
        <v>1</v>
      </c>
      <c r="F1771" s="1524">
        <v>2</v>
      </c>
      <c r="G1771" s="1537" t="s">
        <v>5732</v>
      </c>
      <c r="H1771" s="1521">
        <v>1</v>
      </c>
      <c r="I1771" s="1521">
        <v>1</v>
      </c>
      <c r="J1771" s="1538">
        <v>2</v>
      </c>
      <c r="K1771" s="1525"/>
      <c r="L1771" s="1519">
        <v>13169030301</v>
      </c>
      <c r="M1771" s="1520">
        <v>1</v>
      </c>
      <c r="N1771" s="1520">
        <v>1</v>
      </c>
      <c r="O1771" s="1521">
        <v>2</v>
      </c>
    </row>
    <row r="1772" spans="3:15" ht="13.5">
      <c r="C1772" s="1526" t="s">
        <v>5733</v>
      </c>
      <c r="D1772" s="1523">
        <v>0</v>
      </c>
      <c r="E1772" s="1523">
        <v>1</v>
      </c>
      <c r="F1772" s="1524">
        <v>1</v>
      </c>
      <c r="G1772" s="1537" t="s">
        <v>5733</v>
      </c>
      <c r="H1772" s="1521">
        <v>0</v>
      </c>
      <c r="I1772" s="1521">
        <v>0</v>
      </c>
      <c r="J1772" s="1538">
        <v>0</v>
      </c>
      <c r="K1772" s="1525"/>
      <c r="L1772" s="1519">
        <v>13169030302</v>
      </c>
      <c r="M1772" s="1520">
        <v>0</v>
      </c>
      <c r="N1772" s="1520">
        <v>1</v>
      </c>
      <c r="O1772" s="1521">
        <v>1</v>
      </c>
    </row>
    <row r="1773" spans="3:15" ht="13.5">
      <c r="C1773" s="1526" t="s">
        <v>5734</v>
      </c>
      <c r="D1773" s="1523">
        <v>0</v>
      </c>
      <c r="E1773" s="1523">
        <v>0</v>
      </c>
      <c r="F1773" s="1524">
        <v>0</v>
      </c>
      <c r="G1773" s="1537" t="s">
        <v>5734</v>
      </c>
      <c r="H1773" s="1521">
        <v>0</v>
      </c>
      <c r="I1773" s="1521">
        <v>0</v>
      </c>
      <c r="J1773" s="1538">
        <v>0</v>
      </c>
      <c r="K1773" s="1525"/>
      <c r="L1773" s="1519">
        <v>13171970100</v>
      </c>
      <c r="M1773" s="1520">
        <v>0</v>
      </c>
      <c r="N1773" s="1520">
        <v>0</v>
      </c>
      <c r="O1773" s="1521">
        <v>0</v>
      </c>
    </row>
    <row r="1774" spans="3:15" ht="13.5">
      <c r="C1774" s="1526" t="s">
        <v>5735</v>
      </c>
      <c r="D1774" s="1523">
        <v>0</v>
      </c>
      <c r="E1774" s="1523">
        <v>0</v>
      </c>
      <c r="F1774" s="1524">
        <v>0</v>
      </c>
      <c r="G1774" s="1537" t="s">
        <v>5735</v>
      </c>
      <c r="H1774" s="1521">
        <v>0</v>
      </c>
      <c r="I1774" s="1521">
        <v>0</v>
      </c>
      <c r="J1774" s="1538">
        <v>0</v>
      </c>
      <c r="K1774" s="1525"/>
      <c r="L1774" s="1519">
        <v>13171970200</v>
      </c>
      <c r="M1774" s="1520">
        <v>0</v>
      </c>
      <c r="N1774" s="1520">
        <v>0</v>
      </c>
      <c r="O1774" s="1521">
        <v>0</v>
      </c>
    </row>
    <row r="1775" spans="3:15" ht="13.5">
      <c r="C1775" s="1526" t="s">
        <v>5736</v>
      </c>
      <c r="D1775" s="1523">
        <v>0</v>
      </c>
      <c r="E1775" s="1523">
        <v>0</v>
      </c>
      <c r="F1775" s="1524">
        <v>0</v>
      </c>
      <c r="G1775" s="1537" t="s">
        <v>5736</v>
      </c>
      <c r="H1775" s="1521">
        <v>0</v>
      </c>
      <c r="I1775" s="1521">
        <v>0</v>
      </c>
      <c r="J1775" s="1538">
        <v>0</v>
      </c>
      <c r="K1775" s="1525"/>
      <c r="L1775" s="1519">
        <v>13171970300</v>
      </c>
      <c r="M1775" s="1520">
        <v>0</v>
      </c>
      <c r="N1775" s="1520">
        <v>0</v>
      </c>
      <c r="O1775" s="1521">
        <v>0</v>
      </c>
    </row>
    <row r="1776" spans="3:15" ht="13.5">
      <c r="C1776" s="1526" t="s">
        <v>5737</v>
      </c>
      <c r="D1776" s="1523">
        <v>0</v>
      </c>
      <c r="E1776" s="1523">
        <v>0</v>
      </c>
      <c r="F1776" s="1524">
        <v>0</v>
      </c>
      <c r="G1776" s="1537" t="s">
        <v>5737</v>
      </c>
      <c r="H1776" s="1521">
        <v>0</v>
      </c>
      <c r="I1776" s="1521">
        <v>0</v>
      </c>
      <c r="J1776" s="1538">
        <v>0</v>
      </c>
      <c r="K1776" s="1525"/>
      <c r="L1776" s="1519">
        <v>13173950100</v>
      </c>
      <c r="M1776" s="1520">
        <v>0</v>
      </c>
      <c r="N1776" s="1520">
        <v>0</v>
      </c>
      <c r="O1776" s="1521">
        <v>0</v>
      </c>
    </row>
    <row r="1777" spans="3:15" ht="13.5">
      <c r="C1777" s="1526" t="s">
        <v>5738</v>
      </c>
      <c r="D1777" s="1523">
        <v>0</v>
      </c>
      <c r="E1777" s="1523">
        <v>0</v>
      </c>
      <c r="F1777" s="1524">
        <v>0</v>
      </c>
      <c r="G1777" s="1537" t="s">
        <v>5738</v>
      </c>
      <c r="H1777" s="1521">
        <v>0</v>
      </c>
      <c r="I1777" s="1521">
        <v>0</v>
      </c>
      <c r="J1777" s="1538">
        <v>0</v>
      </c>
      <c r="K1777" s="1525"/>
      <c r="L1777" s="1519">
        <v>13173950200</v>
      </c>
      <c r="M1777" s="1520">
        <v>0</v>
      </c>
      <c r="N1777" s="1520">
        <v>0</v>
      </c>
      <c r="O1777" s="1521">
        <v>0</v>
      </c>
    </row>
    <row r="1778" spans="3:15" ht="13.5">
      <c r="C1778" s="1526" t="s">
        <v>5739</v>
      </c>
      <c r="D1778" s="1523">
        <v>0</v>
      </c>
      <c r="E1778" s="1523">
        <v>0</v>
      </c>
      <c r="F1778" s="1524">
        <v>0</v>
      </c>
      <c r="G1778" s="1537" t="s">
        <v>5739</v>
      </c>
      <c r="H1778" s="1521">
        <v>0</v>
      </c>
      <c r="I1778" s="1521">
        <v>0</v>
      </c>
      <c r="J1778" s="1538">
        <v>0</v>
      </c>
      <c r="K1778" s="1525"/>
      <c r="L1778" s="1519">
        <v>13175950100</v>
      </c>
      <c r="M1778" s="1520">
        <v>0</v>
      </c>
      <c r="N1778" s="1520">
        <v>0</v>
      </c>
      <c r="O1778" s="1521">
        <v>0</v>
      </c>
    </row>
    <row r="1779" spans="3:15" ht="13.5">
      <c r="C1779" s="1526" t="s">
        <v>5740</v>
      </c>
      <c r="D1779" s="1523">
        <v>0</v>
      </c>
      <c r="E1779" s="1523">
        <v>1</v>
      </c>
      <c r="F1779" s="1524">
        <v>1</v>
      </c>
      <c r="G1779" s="1537" t="s">
        <v>5740</v>
      </c>
      <c r="H1779" s="1521">
        <v>1</v>
      </c>
      <c r="I1779" s="1521">
        <v>1</v>
      </c>
      <c r="J1779" s="1538">
        <v>2</v>
      </c>
      <c r="K1779" s="1525"/>
      <c r="L1779" s="1519">
        <v>13175950201</v>
      </c>
      <c r="M1779" s="1520">
        <v>1</v>
      </c>
      <c r="N1779" s="1520">
        <v>1</v>
      </c>
      <c r="O1779" s="1521">
        <v>2</v>
      </c>
    </row>
    <row r="1780" spans="3:15" ht="13.5">
      <c r="C1780" s="1526" t="s">
        <v>5741</v>
      </c>
      <c r="D1780" s="1523">
        <v>1</v>
      </c>
      <c r="E1780" s="1523">
        <v>1</v>
      </c>
      <c r="F1780" s="1524">
        <v>2</v>
      </c>
      <c r="G1780" s="1537" t="s">
        <v>5741</v>
      </c>
      <c r="H1780" s="1521">
        <v>1</v>
      </c>
      <c r="I1780" s="1521">
        <v>1</v>
      </c>
      <c r="J1780" s="1538">
        <v>2</v>
      </c>
      <c r="K1780" s="1525"/>
      <c r="L1780" s="1519">
        <v>13175950202</v>
      </c>
      <c r="M1780" s="1520">
        <v>1</v>
      </c>
      <c r="N1780" s="1520">
        <v>1</v>
      </c>
      <c r="O1780" s="1521">
        <v>2</v>
      </c>
    </row>
    <row r="1781" spans="3:15" ht="13.5">
      <c r="C1781" s="1526" t="s">
        <v>5742</v>
      </c>
      <c r="D1781" s="1523">
        <v>0</v>
      </c>
      <c r="E1781" s="1523">
        <v>0</v>
      </c>
      <c r="F1781" s="1524">
        <v>0</v>
      </c>
      <c r="G1781" s="1537" t="s">
        <v>5742</v>
      </c>
      <c r="H1781" s="1521">
        <v>0</v>
      </c>
      <c r="I1781" s="1521">
        <v>0</v>
      </c>
      <c r="J1781" s="1538">
        <v>0</v>
      </c>
      <c r="K1781" s="1525"/>
      <c r="L1781" s="1519">
        <v>13175950300</v>
      </c>
      <c r="M1781" s="1520">
        <v>0</v>
      </c>
      <c r="N1781" s="1520">
        <v>0</v>
      </c>
      <c r="O1781" s="1521">
        <v>0</v>
      </c>
    </row>
    <row r="1782" spans="3:15" ht="13.5">
      <c r="C1782" s="1526" t="s">
        <v>5743</v>
      </c>
      <c r="D1782" s="1523">
        <v>0</v>
      </c>
      <c r="E1782" s="1523">
        <v>0</v>
      </c>
      <c r="F1782" s="1524">
        <v>0</v>
      </c>
      <c r="G1782" s="1537" t="s">
        <v>5743</v>
      </c>
      <c r="H1782" s="1521">
        <v>0</v>
      </c>
      <c r="I1782" s="1521">
        <v>0</v>
      </c>
      <c r="J1782" s="1538">
        <v>0</v>
      </c>
      <c r="K1782" s="1525"/>
      <c r="L1782" s="1519">
        <v>13175950400</v>
      </c>
      <c r="M1782" s="1520">
        <v>0</v>
      </c>
      <c r="N1782" s="1520">
        <v>0</v>
      </c>
      <c r="O1782" s="1521">
        <v>0</v>
      </c>
    </row>
    <row r="1783" spans="3:15" ht="13.5">
      <c r="C1783" s="1526" t="s">
        <v>5744</v>
      </c>
      <c r="D1783" s="1523">
        <v>0</v>
      </c>
      <c r="E1783" s="1523">
        <v>0</v>
      </c>
      <c r="F1783" s="1524">
        <v>0</v>
      </c>
      <c r="G1783" s="1537" t="s">
        <v>5744</v>
      </c>
      <c r="H1783" s="1521">
        <v>0</v>
      </c>
      <c r="I1783" s="1521">
        <v>0</v>
      </c>
      <c r="J1783" s="1538">
        <v>0</v>
      </c>
      <c r="K1783" s="1525"/>
      <c r="L1783" s="1519">
        <v>13175950500</v>
      </c>
      <c r="M1783" s="1520">
        <v>0</v>
      </c>
      <c r="N1783" s="1520">
        <v>0</v>
      </c>
      <c r="O1783" s="1521">
        <v>0</v>
      </c>
    </row>
    <row r="1784" spans="3:15" ht="13.5">
      <c r="C1784" s="1526" t="s">
        <v>5745</v>
      </c>
      <c r="D1784" s="1523">
        <v>1</v>
      </c>
      <c r="E1784" s="1523">
        <v>0</v>
      </c>
      <c r="F1784" s="1524">
        <v>1</v>
      </c>
      <c r="G1784" s="1537" t="s">
        <v>5745</v>
      </c>
      <c r="H1784" s="1521">
        <v>0</v>
      </c>
      <c r="I1784" s="1521">
        <v>1</v>
      </c>
      <c r="J1784" s="1538">
        <v>1</v>
      </c>
      <c r="K1784" s="1525"/>
      <c r="L1784" s="1519">
        <v>13175950600</v>
      </c>
      <c r="M1784" s="1520">
        <v>1</v>
      </c>
      <c r="N1784" s="1520">
        <v>1</v>
      </c>
      <c r="O1784" s="1521">
        <v>1</v>
      </c>
    </row>
    <row r="1785" spans="3:15" ht="13.5">
      <c r="C1785" s="1526" t="s">
        <v>5746</v>
      </c>
      <c r="D1785" s="1523">
        <v>0</v>
      </c>
      <c r="E1785" s="1523">
        <v>0</v>
      </c>
      <c r="F1785" s="1524">
        <v>0</v>
      </c>
      <c r="G1785" s="1537" t="s">
        <v>5746</v>
      </c>
      <c r="H1785" s="1521">
        <v>0</v>
      </c>
      <c r="I1785" s="1521">
        <v>1</v>
      </c>
      <c r="J1785" s="1538">
        <v>1</v>
      </c>
      <c r="K1785" s="1525"/>
      <c r="L1785" s="1519">
        <v>13175950700</v>
      </c>
      <c r="M1785" s="1520">
        <v>0</v>
      </c>
      <c r="N1785" s="1520">
        <v>1</v>
      </c>
      <c r="O1785" s="1521">
        <v>1</v>
      </c>
    </row>
    <row r="1786" spans="3:15" ht="13.5">
      <c r="C1786" s="1526" t="s">
        <v>5747</v>
      </c>
      <c r="D1786" s="1523">
        <v>0</v>
      </c>
      <c r="E1786" s="1523">
        <v>0</v>
      </c>
      <c r="F1786" s="1524">
        <v>0</v>
      </c>
      <c r="G1786" s="1537" t="s">
        <v>5747</v>
      </c>
      <c r="H1786" s="1521">
        <v>0</v>
      </c>
      <c r="I1786" s="1521">
        <v>0</v>
      </c>
      <c r="J1786" s="1538">
        <v>0</v>
      </c>
      <c r="K1786" s="1525"/>
      <c r="L1786" s="1519">
        <v>13175950800</v>
      </c>
      <c r="M1786" s="1520">
        <v>0</v>
      </c>
      <c r="N1786" s="1520">
        <v>0</v>
      </c>
      <c r="O1786" s="1521">
        <v>0</v>
      </c>
    </row>
    <row r="1787" spans="3:15" ht="13.5">
      <c r="C1787" s="1526" t="s">
        <v>5748</v>
      </c>
      <c r="D1787" s="1523">
        <v>0</v>
      </c>
      <c r="E1787" s="1523">
        <v>0</v>
      </c>
      <c r="F1787" s="1524">
        <v>0</v>
      </c>
      <c r="G1787" s="1537" t="s">
        <v>5748</v>
      </c>
      <c r="H1787" s="1521">
        <v>0</v>
      </c>
      <c r="I1787" s="1521">
        <v>0</v>
      </c>
      <c r="J1787" s="1538">
        <v>0</v>
      </c>
      <c r="K1787" s="1525"/>
      <c r="L1787" s="1519">
        <v>13175950900</v>
      </c>
      <c r="M1787" s="1520">
        <v>0</v>
      </c>
      <c r="N1787" s="1520">
        <v>0</v>
      </c>
      <c r="O1787" s="1521">
        <v>0</v>
      </c>
    </row>
    <row r="1788" spans="3:15" ht="13.5">
      <c r="C1788" s="1526" t="s">
        <v>5749</v>
      </c>
      <c r="D1788" s="1523">
        <v>0</v>
      </c>
      <c r="E1788" s="1523">
        <v>0</v>
      </c>
      <c r="F1788" s="1524">
        <v>0</v>
      </c>
      <c r="G1788" s="1537" t="s">
        <v>5749</v>
      </c>
      <c r="H1788" s="1521">
        <v>0</v>
      </c>
      <c r="I1788" s="1521">
        <v>0</v>
      </c>
      <c r="J1788" s="1538">
        <v>0</v>
      </c>
      <c r="K1788" s="1525"/>
      <c r="L1788" s="1519">
        <v>13175951000</v>
      </c>
      <c r="M1788" s="1520">
        <v>0</v>
      </c>
      <c r="N1788" s="1520">
        <v>0</v>
      </c>
      <c r="O1788" s="1521">
        <v>0</v>
      </c>
    </row>
    <row r="1789" spans="3:15" ht="13.5">
      <c r="C1789" s="1526" t="s">
        <v>5750</v>
      </c>
      <c r="D1789" s="1523">
        <v>0</v>
      </c>
      <c r="E1789" s="1523">
        <v>0</v>
      </c>
      <c r="F1789" s="1524">
        <v>0</v>
      </c>
      <c r="G1789" s="1537" t="s">
        <v>5750</v>
      </c>
      <c r="H1789" s="1521">
        <v>0</v>
      </c>
      <c r="I1789" s="1521">
        <v>0</v>
      </c>
      <c r="J1789" s="1538">
        <v>0</v>
      </c>
      <c r="K1789" s="1525"/>
      <c r="L1789" s="1519">
        <v>13175951100</v>
      </c>
      <c r="M1789" s="1520">
        <v>0</v>
      </c>
      <c r="N1789" s="1520">
        <v>0</v>
      </c>
      <c r="O1789" s="1521">
        <v>0</v>
      </c>
    </row>
    <row r="1790" spans="3:15" ht="13.5">
      <c r="C1790" s="1526" t="s">
        <v>5751</v>
      </c>
      <c r="D1790" s="1523">
        <v>0</v>
      </c>
      <c r="E1790" s="1523">
        <v>0</v>
      </c>
      <c r="F1790" s="1524">
        <v>0</v>
      </c>
      <c r="G1790" s="1537" t="s">
        <v>5751</v>
      </c>
      <c r="H1790" s="1521">
        <v>0</v>
      </c>
      <c r="I1790" s="1521" t="s">
        <v>4099</v>
      </c>
      <c r="J1790" s="1538">
        <v>0</v>
      </c>
      <c r="K1790" s="1525"/>
      <c r="L1790" s="1519">
        <v>13175951400</v>
      </c>
      <c r="M1790" s="1520">
        <v>0</v>
      </c>
      <c r="N1790" s="1520">
        <v>0</v>
      </c>
      <c r="O1790" s="1521">
        <v>0</v>
      </c>
    </row>
    <row r="1791" spans="3:15" ht="13.5">
      <c r="C1791" s="1526" t="s">
        <v>5752</v>
      </c>
      <c r="D1791" s="1523">
        <v>1</v>
      </c>
      <c r="E1791" s="1523">
        <v>1</v>
      </c>
      <c r="F1791" s="1524">
        <v>2</v>
      </c>
      <c r="G1791" s="1537" t="s">
        <v>5752</v>
      </c>
      <c r="H1791" s="1521">
        <v>0</v>
      </c>
      <c r="I1791" s="1521">
        <v>1</v>
      </c>
      <c r="J1791" s="1538">
        <v>1</v>
      </c>
      <c r="K1791" s="1525"/>
      <c r="L1791" s="1519">
        <v>13177020100</v>
      </c>
      <c r="M1791" s="1520">
        <v>1</v>
      </c>
      <c r="N1791" s="1520">
        <v>1</v>
      </c>
      <c r="O1791" s="1521">
        <v>2</v>
      </c>
    </row>
    <row r="1792" spans="3:15" ht="13.5">
      <c r="C1792" s="1526" t="s">
        <v>5753</v>
      </c>
      <c r="D1792" s="1523">
        <v>0</v>
      </c>
      <c r="E1792" s="1523">
        <v>0</v>
      </c>
      <c r="F1792" s="1524">
        <v>0</v>
      </c>
      <c r="G1792" s="1537" t="s">
        <v>5753</v>
      </c>
      <c r="H1792" s="1521">
        <v>0</v>
      </c>
      <c r="I1792" s="1521" t="s">
        <v>4099</v>
      </c>
      <c r="J1792" s="1538">
        <v>0</v>
      </c>
      <c r="K1792" s="1525"/>
      <c r="L1792" s="1519">
        <v>13177020200</v>
      </c>
      <c r="M1792" s="1520">
        <v>0</v>
      </c>
      <c r="N1792" s="1520">
        <v>0</v>
      </c>
      <c r="O1792" s="1521">
        <v>0</v>
      </c>
    </row>
    <row r="1793" spans="3:15" ht="13.5">
      <c r="C1793" s="1526" t="s">
        <v>5754</v>
      </c>
      <c r="D1793" s="1523">
        <v>0</v>
      </c>
      <c r="E1793" s="1523">
        <v>1</v>
      </c>
      <c r="F1793" s="1524">
        <v>1</v>
      </c>
      <c r="G1793" s="1537" t="s">
        <v>5754</v>
      </c>
      <c r="H1793" s="1521">
        <v>0</v>
      </c>
      <c r="I1793" s="1521">
        <v>0</v>
      </c>
      <c r="J1793" s="1538">
        <v>0</v>
      </c>
      <c r="K1793" s="1525"/>
      <c r="L1793" s="1519">
        <v>13177020300</v>
      </c>
      <c r="M1793" s="1520">
        <v>0</v>
      </c>
      <c r="N1793" s="1520">
        <v>1</v>
      </c>
      <c r="O1793" s="1521">
        <v>1</v>
      </c>
    </row>
    <row r="1794" spans="3:15" ht="13.5">
      <c r="C1794" s="1526" t="s">
        <v>5755</v>
      </c>
      <c r="D1794" s="1523">
        <v>1</v>
      </c>
      <c r="E1794" s="1523">
        <v>1</v>
      </c>
      <c r="F1794" s="1524">
        <v>2</v>
      </c>
      <c r="G1794" s="1537" t="s">
        <v>5755</v>
      </c>
      <c r="H1794" s="1521">
        <v>1</v>
      </c>
      <c r="I1794" s="1521">
        <v>0</v>
      </c>
      <c r="J1794" s="1538">
        <v>1</v>
      </c>
      <c r="K1794" s="1525"/>
      <c r="L1794" s="1519">
        <v>13177020402</v>
      </c>
      <c r="M1794" s="1520">
        <v>1</v>
      </c>
      <c r="N1794" s="1520">
        <v>1</v>
      </c>
      <c r="O1794" s="1521">
        <v>2</v>
      </c>
    </row>
    <row r="1795" spans="3:15" ht="13.5">
      <c r="C1795" s="1526" t="s">
        <v>5756</v>
      </c>
      <c r="D1795" s="1523">
        <v>1</v>
      </c>
      <c r="E1795" s="1523">
        <v>1</v>
      </c>
      <c r="F1795" s="1524">
        <v>2</v>
      </c>
      <c r="G1795" s="1537" t="s">
        <v>5756</v>
      </c>
      <c r="H1795" s="1521">
        <v>1</v>
      </c>
      <c r="I1795" s="1521">
        <v>1</v>
      </c>
      <c r="J1795" s="1538">
        <v>2</v>
      </c>
      <c r="K1795" s="1525"/>
      <c r="L1795" s="1519">
        <v>13177020403</v>
      </c>
      <c r="M1795" s="1520">
        <v>1</v>
      </c>
      <c r="N1795" s="1520">
        <v>1</v>
      </c>
      <c r="O1795" s="1521">
        <v>2</v>
      </c>
    </row>
    <row r="1796" spans="3:15" ht="13.5">
      <c r="C1796" s="1526" t="s">
        <v>5757</v>
      </c>
      <c r="D1796" s="1523">
        <v>0</v>
      </c>
      <c r="E1796" s="1523">
        <v>1</v>
      </c>
      <c r="F1796" s="1524">
        <v>1</v>
      </c>
      <c r="G1796" s="1537" t="s">
        <v>5757</v>
      </c>
      <c r="H1796" s="1521">
        <v>0</v>
      </c>
      <c r="I1796" s="1521" t="s">
        <v>4099</v>
      </c>
      <c r="J1796" s="1538">
        <v>0</v>
      </c>
      <c r="K1796" s="1525"/>
      <c r="L1796" s="1519">
        <v>13179010101</v>
      </c>
      <c r="M1796" s="1520">
        <v>0</v>
      </c>
      <c r="N1796" s="1520">
        <v>1</v>
      </c>
      <c r="O1796" s="1521">
        <v>1</v>
      </c>
    </row>
    <row r="1797" spans="3:15" ht="13.5">
      <c r="C1797" s="1526" t="s">
        <v>5758</v>
      </c>
      <c r="D1797" s="1523">
        <v>1</v>
      </c>
      <c r="E1797" s="1523">
        <v>1</v>
      </c>
      <c r="F1797" s="1524">
        <v>2</v>
      </c>
      <c r="G1797" s="1537" t="s">
        <v>5758</v>
      </c>
      <c r="H1797" s="1521">
        <v>1</v>
      </c>
      <c r="I1797" s="1521" t="s">
        <v>4099</v>
      </c>
      <c r="J1797" s="1538">
        <v>1</v>
      </c>
      <c r="K1797" s="1525"/>
      <c r="L1797" s="1519">
        <v>13179010102</v>
      </c>
      <c r="M1797" s="1520">
        <v>1</v>
      </c>
      <c r="N1797" s="1520">
        <v>1</v>
      </c>
      <c r="O1797" s="1521">
        <v>2</v>
      </c>
    </row>
    <row r="1798" spans="3:15" ht="13.5">
      <c r="C1798" s="1526" t="s">
        <v>5759</v>
      </c>
      <c r="D1798" s="1523">
        <v>0</v>
      </c>
      <c r="E1798" s="1523">
        <v>1</v>
      </c>
      <c r="F1798" s="1524">
        <v>1</v>
      </c>
      <c r="G1798" s="1537" t="s">
        <v>5759</v>
      </c>
      <c r="H1798" s="1521">
        <v>0</v>
      </c>
      <c r="I1798" s="1521" t="s">
        <v>4099</v>
      </c>
      <c r="J1798" s="1538">
        <v>0</v>
      </c>
      <c r="K1798" s="1525"/>
      <c r="L1798" s="1519">
        <v>13179010103</v>
      </c>
      <c r="M1798" s="1520">
        <v>0</v>
      </c>
      <c r="N1798" s="1520">
        <v>1</v>
      </c>
      <c r="O1798" s="1521">
        <v>1</v>
      </c>
    </row>
    <row r="1799" spans="3:15" ht="13.5">
      <c r="C1799" s="1526" t="s">
        <v>5760</v>
      </c>
      <c r="D1799" s="1523">
        <v>0</v>
      </c>
      <c r="E1799" s="1523">
        <v>1</v>
      </c>
      <c r="F1799" s="1524">
        <v>1</v>
      </c>
      <c r="G1799" s="1537" t="s">
        <v>5760</v>
      </c>
      <c r="H1799" s="1521">
        <v>0</v>
      </c>
      <c r="I1799" s="1521">
        <v>1</v>
      </c>
      <c r="J1799" s="1538">
        <v>1</v>
      </c>
      <c r="K1799" s="1525"/>
      <c r="L1799" s="1519">
        <v>13179010202</v>
      </c>
      <c r="M1799" s="1520">
        <v>0</v>
      </c>
      <c r="N1799" s="1520">
        <v>1</v>
      </c>
      <c r="O1799" s="1521">
        <v>1</v>
      </c>
    </row>
    <row r="1800" spans="3:15" ht="13.5">
      <c r="C1800" s="1526" t="s">
        <v>5761</v>
      </c>
      <c r="D1800" s="1523">
        <v>0</v>
      </c>
      <c r="E1800" s="1523">
        <v>0</v>
      </c>
      <c r="F1800" s="1524">
        <v>0</v>
      </c>
      <c r="G1800" s="1537" t="s">
        <v>5761</v>
      </c>
      <c r="H1800" s="1521">
        <v>0</v>
      </c>
      <c r="I1800" s="1521">
        <v>0</v>
      </c>
      <c r="J1800" s="1538">
        <v>0</v>
      </c>
      <c r="K1800" s="1525"/>
      <c r="L1800" s="1519">
        <v>13179010204</v>
      </c>
      <c r="M1800" s="1520">
        <v>0</v>
      </c>
      <c r="N1800" s="1520">
        <v>0</v>
      </c>
      <c r="O1800" s="1521">
        <v>0</v>
      </c>
    </row>
    <row r="1801" spans="3:15" ht="13.5">
      <c r="C1801" s="1526" t="s">
        <v>5762</v>
      </c>
      <c r="D1801" s="1523">
        <v>0</v>
      </c>
      <c r="E1801" s="1523">
        <v>1</v>
      </c>
      <c r="F1801" s="1524">
        <v>1</v>
      </c>
      <c r="G1801" s="1537" t="s">
        <v>5762</v>
      </c>
      <c r="H1801" s="1521">
        <v>0</v>
      </c>
      <c r="I1801" s="1521">
        <v>0</v>
      </c>
      <c r="J1801" s="1538">
        <v>0</v>
      </c>
      <c r="K1801" s="1525"/>
      <c r="L1801" s="1519">
        <v>13179010205</v>
      </c>
      <c r="M1801" s="1520">
        <v>0</v>
      </c>
      <c r="N1801" s="1520">
        <v>1</v>
      </c>
      <c r="O1801" s="1521">
        <v>1</v>
      </c>
    </row>
    <row r="1802" spans="3:15" ht="13.5">
      <c r="C1802" s="1526" t="s">
        <v>5763</v>
      </c>
      <c r="D1802" s="1523">
        <v>0</v>
      </c>
      <c r="E1802" s="1523">
        <v>1</v>
      </c>
      <c r="F1802" s="1524">
        <v>1</v>
      </c>
      <c r="G1802" s="1537" t="s">
        <v>5763</v>
      </c>
      <c r="H1802" s="1521">
        <v>0</v>
      </c>
      <c r="I1802" s="1521">
        <v>1</v>
      </c>
      <c r="J1802" s="1538">
        <v>1</v>
      </c>
      <c r="K1802" s="1525"/>
      <c r="L1802" s="1519">
        <v>13179010206</v>
      </c>
      <c r="M1802" s="1520">
        <v>0</v>
      </c>
      <c r="N1802" s="1520">
        <v>1</v>
      </c>
      <c r="O1802" s="1521">
        <v>1</v>
      </c>
    </row>
    <row r="1803" spans="3:15" ht="13.5">
      <c r="C1803" s="1526" t="s">
        <v>5764</v>
      </c>
      <c r="D1803" s="1523">
        <v>0</v>
      </c>
      <c r="E1803" s="1523">
        <v>0</v>
      </c>
      <c r="F1803" s="1524">
        <v>0</v>
      </c>
      <c r="G1803" s="1537" t="s">
        <v>5764</v>
      </c>
      <c r="H1803" s="1521">
        <v>0</v>
      </c>
      <c r="I1803" s="1521">
        <v>0</v>
      </c>
      <c r="J1803" s="1538">
        <v>0</v>
      </c>
      <c r="K1803" s="1525"/>
      <c r="L1803" s="1519">
        <v>13179010207</v>
      </c>
      <c r="M1803" s="1520">
        <v>0</v>
      </c>
      <c r="N1803" s="1520">
        <v>0</v>
      </c>
      <c r="O1803" s="1521">
        <v>0</v>
      </c>
    </row>
    <row r="1804" spans="3:15" ht="13.5">
      <c r="C1804" s="1526" t="s">
        <v>5765</v>
      </c>
      <c r="D1804" s="1523">
        <v>0</v>
      </c>
      <c r="E1804" s="1523">
        <v>1</v>
      </c>
      <c r="F1804" s="1524">
        <v>1</v>
      </c>
      <c r="G1804" s="1537" t="s">
        <v>5765</v>
      </c>
      <c r="H1804" s="1521">
        <v>0</v>
      </c>
      <c r="I1804" s="1521" t="s">
        <v>4099</v>
      </c>
      <c r="J1804" s="1538">
        <v>0</v>
      </c>
      <c r="K1804" s="1525"/>
      <c r="L1804" s="1519">
        <v>13179010208</v>
      </c>
      <c r="M1804" s="1520">
        <v>0</v>
      </c>
      <c r="N1804" s="1520">
        <v>1</v>
      </c>
      <c r="O1804" s="1521">
        <v>1</v>
      </c>
    </row>
    <row r="1805" spans="3:15" ht="13.5">
      <c r="C1805" s="1526" t="s">
        <v>5766</v>
      </c>
      <c r="D1805" s="1523">
        <v>0</v>
      </c>
      <c r="E1805" s="1523">
        <v>1</v>
      </c>
      <c r="F1805" s="1524">
        <v>1</v>
      </c>
      <c r="G1805" s="1537" t="s">
        <v>5766</v>
      </c>
      <c r="H1805" s="1521">
        <v>0</v>
      </c>
      <c r="I1805" s="1521">
        <v>1</v>
      </c>
      <c r="J1805" s="1538">
        <v>1</v>
      </c>
      <c r="K1805" s="1525"/>
      <c r="L1805" s="1519">
        <v>13179010300</v>
      </c>
      <c r="M1805" s="1520">
        <v>0</v>
      </c>
      <c r="N1805" s="1520">
        <v>1</v>
      </c>
      <c r="O1805" s="1521">
        <v>1</v>
      </c>
    </row>
    <row r="1806" spans="3:15" ht="13.5">
      <c r="C1806" s="1526" t="s">
        <v>5767</v>
      </c>
      <c r="D1806" s="1523">
        <v>0</v>
      </c>
      <c r="E1806" s="1523">
        <v>0</v>
      </c>
      <c r="F1806" s="1524">
        <v>0</v>
      </c>
      <c r="G1806" s="1537" t="s">
        <v>5767</v>
      </c>
      <c r="H1806" s="1521">
        <v>0</v>
      </c>
      <c r="I1806" s="1521">
        <v>0</v>
      </c>
      <c r="J1806" s="1538">
        <v>0</v>
      </c>
      <c r="K1806" s="1525"/>
      <c r="L1806" s="1519">
        <v>13179010400</v>
      </c>
      <c r="M1806" s="1520">
        <v>0</v>
      </c>
      <c r="N1806" s="1520">
        <v>0</v>
      </c>
      <c r="O1806" s="1521">
        <v>0</v>
      </c>
    </row>
    <row r="1807" spans="3:15" ht="13.5">
      <c r="C1807" s="1526" t="s">
        <v>5768</v>
      </c>
      <c r="D1807" s="1523">
        <v>1</v>
      </c>
      <c r="E1807" s="1523">
        <v>1</v>
      </c>
      <c r="F1807" s="1524">
        <v>2</v>
      </c>
      <c r="G1807" s="1537" t="s">
        <v>5768</v>
      </c>
      <c r="H1807" s="1521">
        <v>0</v>
      </c>
      <c r="I1807" s="1521">
        <v>0</v>
      </c>
      <c r="J1807" s="1538">
        <v>0</v>
      </c>
      <c r="K1807" s="1525"/>
      <c r="L1807" s="1519">
        <v>13179010501</v>
      </c>
      <c r="M1807" s="1520">
        <v>1</v>
      </c>
      <c r="N1807" s="1520">
        <v>1</v>
      </c>
      <c r="O1807" s="1521">
        <v>2</v>
      </c>
    </row>
    <row r="1808" spans="3:15" ht="13.5">
      <c r="C1808" s="1526" t="s">
        <v>5769</v>
      </c>
      <c r="D1808" s="1523">
        <v>0</v>
      </c>
      <c r="E1808" s="1523">
        <v>0</v>
      </c>
      <c r="F1808" s="1524">
        <v>0</v>
      </c>
      <c r="G1808" s="1537" t="s">
        <v>5769</v>
      </c>
      <c r="H1808" s="1521">
        <v>0</v>
      </c>
      <c r="I1808" s="1521">
        <v>0</v>
      </c>
      <c r="J1808" s="1538">
        <v>0</v>
      </c>
      <c r="K1808" s="1525"/>
      <c r="L1808" s="1519">
        <v>13179010502</v>
      </c>
      <c r="M1808" s="1520">
        <v>0</v>
      </c>
      <c r="N1808" s="1520">
        <v>0</v>
      </c>
      <c r="O1808" s="1521">
        <v>0</v>
      </c>
    </row>
    <row r="1809" spans="3:15" ht="13.5">
      <c r="C1809" s="1526" t="s">
        <v>5770</v>
      </c>
      <c r="D1809" s="1523">
        <v>0</v>
      </c>
      <c r="E1809" s="1523">
        <v>0</v>
      </c>
      <c r="F1809" s="1524">
        <v>0</v>
      </c>
      <c r="G1809" s="1537" t="s">
        <v>5770</v>
      </c>
      <c r="H1809" s="1521">
        <v>0</v>
      </c>
      <c r="I1809" s="1521">
        <v>0</v>
      </c>
      <c r="J1809" s="1538">
        <v>0</v>
      </c>
      <c r="K1809" s="1525"/>
      <c r="L1809" s="1519">
        <v>13179010600</v>
      </c>
      <c r="M1809" s="1520">
        <v>0</v>
      </c>
      <c r="N1809" s="1520">
        <v>0</v>
      </c>
      <c r="O1809" s="1521">
        <v>0</v>
      </c>
    </row>
    <row r="1810" spans="3:15" ht="13.5">
      <c r="C1810" s="1526" t="s">
        <v>5771</v>
      </c>
      <c r="D1810" s="1523" t="s">
        <v>4099</v>
      </c>
      <c r="E1810" s="1523" t="s">
        <v>4099</v>
      </c>
      <c r="F1810" s="1524">
        <v>0</v>
      </c>
      <c r="G1810" s="1537" t="s">
        <v>5771</v>
      </c>
      <c r="H1810" s="1521" t="s">
        <v>4099</v>
      </c>
      <c r="I1810" s="1521" t="s">
        <v>4099</v>
      </c>
      <c r="J1810" s="1538">
        <v>0</v>
      </c>
      <c r="K1810" s="1525"/>
      <c r="L1810" s="1519">
        <v>13179990000</v>
      </c>
      <c r="M1810" s="1520">
        <v>0</v>
      </c>
      <c r="N1810" s="1520">
        <v>0</v>
      </c>
      <c r="O1810" s="1521">
        <v>0</v>
      </c>
    </row>
    <row r="1811" spans="3:15" ht="13.5">
      <c r="C1811" s="1526" t="s">
        <v>5772</v>
      </c>
      <c r="D1811" s="1523">
        <v>0</v>
      </c>
      <c r="E1811" s="1523">
        <v>0</v>
      </c>
      <c r="F1811" s="1524">
        <v>0</v>
      </c>
      <c r="G1811" s="1537" t="s">
        <v>5772</v>
      </c>
      <c r="H1811" s="1521">
        <v>0</v>
      </c>
      <c r="I1811" s="1521">
        <v>1</v>
      </c>
      <c r="J1811" s="1538">
        <v>1</v>
      </c>
      <c r="K1811" s="1525"/>
      <c r="L1811" s="1519">
        <v>13181970100</v>
      </c>
      <c r="M1811" s="1520">
        <v>0</v>
      </c>
      <c r="N1811" s="1520">
        <v>1</v>
      </c>
      <c r="O1811" s="1521">
        <v>1</v>
      </c>
    </row>
    <row r="1812" spans="3:15" ht="13.5">
      <c r="C1812" s="1526" t="s">
        <v>5773</v>
      </c>
      <c r="D1812" s="1523">
        <v>0</v>
      </c>
      <c r="E1812" s="1523">
        <v>0</v>
      </c>
      <c r="F1812" s="1524">
        <v>0</v>
      </c>
      <c r="G1812" s="1537" t="s">
        <v>5773</v>
      </c>
      <c r="H1812" s="1521">
        <v>0</v>
      </c>
      <c r="I1812" s="1521">
        <v>0</v>
      </c>
      <c r="J1812" s="1538">
        <v>0</v>
      </c>
      <c r="K1812" s="1525"/>
      <c r="L1812" s="1519">
        <v>13181970200</v>
      </c>
      <c r="M1812" s="1520">
        <v>0</v>
      </c>
      <c r="N1812" s="1520">
        <v>0</v>
      </c>
      <c r="O1812" s="1521">
        <v>0</v>
      </c>
    </row>
    <row r="1813" spans="3:15" ht="13.5">
      <c r="C1813" s="1526" t="s">
        <v>5774</v>
      </c>
      <c r="D1813" s="1523">
        <v>0</v>
      </c>
      <c r="E1813" s="1523">
        <v>0</v>
      </c>
      <c r="F1813" s="1524">
        <v>0</v>
      </c>
      <c r="G1813" s="1537" t="s">
        <v>5774</v>
      </c>
      <c r="H1813" s="1521">
        <v>0</v>
      </c>
      <c r="I1813" s="1521">
        <v>0</v>
      </c>
      <c r="J1813" s="1538">
        <v>0</v>
      </c>
      <c r="K1813" s="1525"/>
      <c r="L1813" s="1519">
        <v>13183970100</v>
      </c>
      <c r="M1813" s="1520">
        <v>0</v>
      </c>
      <c r="N1813" s="1520">
        <v>0</v>
      </c>
      <c r="O1813" s="1521">
        <v>0</v>
      </c>
    </row>
    <row r="1814" spans="3:15" ht="13.5">
      <c r="C1814" s="1526" t="s">
        <v>5775</v>
      </c>
      <c r="D1814" s="1523">
        <v>0</v>
      </c>
      <c r="E1814" s="1523">
        <v>0</v>
      </c>
      <c r="F1814" s="1524">
        <v>0</v>
      </c>
      <c r="G1814" s="1537" t="s">
        <v>5775</v>
      </c>
      <c r="H1814" s="1521">
        <v>0</v>
      </c>
      <c r="I1814" s="1521">
        <v>1</v>
      </c>
      <c r="J1814" s="1538">
        <v>1</v>
      </c>
      <c r="K1814" s="1525"/>
      <c r="L1814" s="1519">
        <v>13183970200</v>
      </c>
      <c r="M1814" s="1520">
        <v>0</v>
      </c>
      <c r="N1814" s="1520">
        <v>1</v>
      </c>
      <c r="O1814" s="1521">
        <v>1</v>
      </c>
    </row>
    <row r="1815" spans="3:15" ht="13.5">
      <c r="C1815" s="1526" t="s">
        <v>5776</v>
      </c>
      <c r="D1815" s="1523" t="s">
        <v>4099</v>
      </c>
      <c r="E1815" s="1523" t="s">
        <v>4099</v>
      </c>
      <c r="F1815" s="1524">
        <v>0</v>
      </c>
      <c r="G1815" s="1537" t="s">
        <v>5776</v>
      </c>
      <c r="H1815" s="1521" t="s">
        <v>4099</v>
      </c>
      <c r="I1815" s="1521" t="s">
        <v>4099</v>
      </c>
      <c r="J1815" s="1538">
        <v>0</v>
      </c>
      <c r="K1815" s="1525"/>
      <c r="L1815" s="1519">
        <v>13183980000</v>
      </c>
      <c r="M1815" s="1520">
        <v>0</v>
      </c>
      <c r="N1815" s="1520">
        <v>0</v>
      </c>
      <c r="O1815" s="1521">
        <v>0</v>
      </c>
    </row>
    <row r="1816" spans="3:15" ht="13.5">
      <c r="C1816" s="1526" t="s">
        <v>5777</v>
      </c>
      <c r="D1816" s="1523">
        <v>0</v>
      </c>
      <c r="E1816" s="1523">
        <v>1</v>
      </c>
      <c r="F1816" s="1524">
        <v>1</v>
      </c>
      <c r="G1816" s="1537" t="s">
        <v>5777</v>
      </c>
      <c r="H1816" s="1521">
        <v>0</v>
      </c>
      <c r="I1816" s="1521">
        <v>0</v>
      </c>
      <c r="J1816" s="1538">
        <v>0</v>
      </c>
      <c r="K1816" s="1525"/>
      <c r="L1816" s="1519">
        <v>13185010101</v>
      </c>
      <c r="M1816" s="1520">
        <v>0</v>
      </c>
      <c r="N1816" s="1520">
        <v>1</v>
      </c>
      <c r="O1816" s="1521">
        <v>1</v>
      </c>
    </row>
    <row r="1817" spans="3:15" ht="13.5">
      <c r="C1817" s="1526" t="s">
        <v>5778</v>
      </c>
      <c r="D1817" s="1523">
        <v>0</v>
      </c>
      <c r="E1817" s="1523">
        <v>1</v>
      </c>
      <c r="F1817" s="1524">
        <v>1</v>
      </c>
      <c r="G1817" s="1537" t="s">
        <v>5778</v>
      </c>
      <c r="H1817" s="1521">
        <v>0</v>
      </c>
      <c r="I1817" s="1521">
        <v>1</v>
      </c>
      <c r="J1817" s="1538">
        <v>1</v>
      </c>
      <c r="K1817" s="1525"/>
      <c r="L1817" s="1519">
        <v>13185010102</v>
      </c>
      <c r="M1817" s="1520">
        <v>0</v>
      </c>
      <c r="N1817" s="1520">
        <v>1</v>
      </c>
      <c r="O1817" s="1521">
        <v>1</v>
      </c>
    </row>
    <row r="1818" spans="3:15" ht="13.5">
      <c r="C1818" s="1526" t="s">
        <v>5779</v>
      </c>
      <c r="D1818" s="1523">
        <v>1</v>
      </c>
      <c r="E1818" s="1523">
        <v>1</v>
      </c>
      <c r="F1818" s="1524">
        <v>2</v>
      </c>
      <c r="G1818" s="1537" t="s">
        <v>5779</v>
      </c>
      <c r="H1818" s="1521">
        <v>1</v>
      </c>
      <c r="I1818" s="1521">
        <v>1</v>
      </c>
      <c r="J1818" s="1538">
        <v>2</v>
      </c>
      <c r="K1818" s="1525"/>
      <c r="L1818" s="1519">
        <v>13185010103</v>
      </c>
      <c r="M1818" s="1520">
        <v>1</v>
      </c>
      <c r="N1818" s="1520">
        <v>1</v>
      </c>
      <c r="O1818" s="1521">
        <v>2</v>
      </c>
    </row>
    <row r="1819" spans="3:15" ht="13.5">
      <c r="C1819" s="1526" t="s">
        <v>5780</v>
      </c>
      <c r="D1819" s="1523">
        <v>0</v>
      </c>
      <c r="E1819" s="1523">
        <v>1</v>
      </c>
      <c r="F1819" s="1524">
        <v>1</v>
      </c>
      <c r="G1819" s="1537" t="s">
        <v>5780</v>
      </c>
      <c r="H1819" s="1521">
        <v>0</v>
      </c>
      <c r="I1819" s="1521">
        <v>1</v>
      </c>
      <c r="J1819" s="1538">
        <v>1</v>
      </c>
      <c r="K1819" s="1525"/>
      <c r="L1819" s="1519">
        <v>13185010201</v>
      </c>
      <c r="M1819" s="1520">
        <v>0</v>
      </c>
      <c r="N1819" s="1520">
        <v>1</v>
      </c>
      <c r="O1819" s="1521">
        <v>1</v>
      </c>
    </row>
    <row r="1820" spans="3:15" ht="13.5">
      <c r="C1820" s="1526" t="s">
        <v>5781</v>
      </c>
      <c r="D1820" s="1523">
        <v>1</v>
      </c>
      <c r="E1820" s="1523">
        <v>1</v>
      </c>
      <c r="F1820" s="1524">
        <v>2</v>
      </c>
      <c r="G1820" s="1537" t="s">
        <v>5781</v>
      </c>
      <c r="H1820" s="1521">
        <v>1</v>
      </c>
      <c r="I1820" s="1521">
        <v>1</v>
      </c>
      <c r="J1820" s="1538">
        <v>2</v>
      </c>
      <c r="K1820" s="1525"/>
      <c r="L1820" s="1519">
        <v>13185010202</v>
      </c>
      <c r="M1820" s="1520">
        <v>1</v>
      </c>
      <c r="N1820" s="1520">
        <v>1</v>
      </c>
      <c r="O1820" s="1521">
        <v>2</v>
      </c>
    </row>
    <row r="1821" spans="3:15" ht="13.5">
      <c r="C1821" s="1526" t="s">
        <v>5782</v>
      </c>
      <c r="D1821" s="1523">
        <v>1</v>
      </c>
      <c r="E1821" s="1523">
        <v>1</v>
      </c>
      <c r="F1821" s="1524">
        <v>2</v>
      </c>
      <c r="G1821" s="1537" t="s">
        <v>5782</v>
      </c>
      <c r="H1821" s="1521">
        <v>1</v>
      </c>
      <c r="I1821" s="1521">
        <v>1</v>
      </c>
      <c r="J1821" s="1538">
        <v>2</v>
      </c>
      <c r="K1821" s="1525"/>
      <c r="L1821" s="1519">
        <v>13185010301</v>
      </c>
      <c r="M1821" s="1520">
        <v>1</v>
      </c>
      <c r="N1821" s="1520">
        <v>1</v>
      </c>
      <c r="O1821" s="1521">
        <v>2</v>
      </c>
    </row>
    <row r="1822" spans="3:15" ht="13.5">
      <c r="C1822" s="1526" t="s">
        <v>5783</v>
      </c>
      <c r="D1822" s="1523">
        <v>1</v>
      </c>
      <c r="E1822" s="1523">
        <v>1</v>
      </c>
      <c r="F1822" s="1524">
        <v>2</v>
      </c>
      <c r="G1822" s="1537" t="s">
        <v>5783</v>
      </c>
      <c r="H1822" s="1521">
        <v>1</v>
      </c>
      <c r="I1822" s="1521">
        <v>1</v>
      </c>
      <c r="J1822" s="1538">
        <v>2</v>
      </c>
      <c r="K1822" s="1525"/>
      <c r="L1822" s="1519">
        <v>13185010302</v>
      </c>
      <c r="M1822" s="1520">
        <v>1</v>
      </c>
      <c r="N1822" s="1520">
        <v>1</v>
      </c>
      <c r="O1822" s="1521">
        <v>2</v>
      </c>
    </row>
    <row r="1823" spans="3:15" ht="13.5">
      <c r="C1823" s="1526" t="s">
        <v>5784</v>
      </c>
      <c r="D1823" s="1523">
        <v>1</v>
      </c>
      <c r="E1823" s="1523">
        <v>1</v>
      </c>
      <c r="F1823" s="1524">
        <v>2</v>
      </c>
      <c r="G1823" s="1537" t="s">
        <v>5784</v>
      </c>
      <c r="H1823" s="1521">
        <v>1</v>
      </c>
      <c r="I1823" s="1521">
        <v>1</v>
      </c>
      <c r="J1823" s="1538">
        <v>2</v>
      </c>
      <c r="K1823" s="1525"/>
      <c r="L1823" s="1519">
        <v>13185010401</v>
      </c>
      <c r="M1823" s="1520">
        <v>1</v>
      </c>
      <c r="N1823" s="1520">
        <v>1</v>
      </c>
      <c r="O1823" s="1521">
        <v>2</v>
      </c>
    </row>
    <row r="1824" spans="3:15" ht="13.5">
      <c r="C1824" s="1526" t="s">
        <v>5785</v>
      </c>
      <c r="D1824" s="1523">
        <v>0</v>
      </c>
      <c r="E1824" s="1523">
        <v>0</v>
      </c>
      <c r="F1824" s="1524">
        <v>0</v>
      </c>
      <c r="G1824" s="1537" t="s">
        <v>5785</v>
      </c>
      <c r="H1824" s="1521">
        <v>0</v>
      </c>
      <c r="I1824" s="1521">
        <v>0</v>
      </c>
      <c r="J1824" s="1538">
        <v>0</v>
      </c>
      <c r="K1824" s="1525"/>
      <c r="L1824" s="1519">
        <v>13185010402</v>
      </c>
      <c r="M1824" s="1520">
        <v>0</v>
      </c>
      <c r="N1824" s="1520">
        <v>0</v>
      </c>
      <c r="O1824" s="1521">
        <v>0</v>
      </c>
    </row>
    <row r="1825" spans="3:15" ht="13.5">
      <c r="C1825" s="1526" t="s">
        <v>5786</v>
      </c>
      <c r="D1825" s="1523">
        <v>0</v>
      </c>
      <c r="E1825" s="1523">
        <v>0</v>
      </c>
      <c r="F1825" s="1524">
        <v>0</v>
      </c>
      <c r="G1825" s="1537" t="s">
        <v>5786</v>
      </c>
      <c r="H1825" s="1521">
        <v>0</v>
      </c>
      <c r="I1825" s="1521">
        <v>0</v>
      </c>
      <c r="J1825" s="1538">
        <v>0</v>
      </c>
      <c r="K1825" s="1525"/>
      <c r="L1825" s="1519">
        <v>13185010500</v>
      </c>
      <c r="M1825" s="1520">
        <v>0</v>
      </c>
      <c r="N1825" s="1520">
        <v>0</v>
      </c>
      <c r="O1825" s="1521">
        <v>0</v>
      </c>
    </row>
    <row r="1826" spans="3:15" ht="13.5">
      <c r="C1826" s="1526" t="s">
        <v>5787</v>
      </c>
      <c r="D1826" s="1523">
        <v>0</v>
      </c>
      <c r="E1826" s="1523">
        <v>0</v>
      </c>
      <c r="F1826" s="1524">
        <v>0</v>
      </c>
      <c r="G1826" s="1537" t="s">
        <v>5787</v>
      </c>
      <c r="H1826" s="1521">
        <v>0</v>
      </c>
      <c r="I1826" s="1521">
        <v>1</v>
      </c>
      <c r="J1826" s="1538">
        <v>1</v>
      </c>
      <c r="K1826" s="1525"/>
      <c r="L1826" s="1519">
        <v>13185010601</v>
      </c>
      <c r="M1826" s="1520">
        <v>0</v>
      </c>
      <c r="N1826" s="1520">
        <v>1</v>
      </c>
      <c r="O1826" s="1521">
        <v>1</v>
      </c>
    </row>
    <row r="1827" spans="3:15" ht="13.5">
      <c r="C1827" s="1526" t="s">
        <v>5788</v>
      </c>
      <c r="D1827" s="1523">
        <v>1</v>
      </c>
      <c r="E1827" s="1523">
        <v>1</v>
      </c>
      <c r="F1827" s="1524">
        <v>2</v>
      </c>
      <c r="G1827" s="1537" t="s">
        <v>5788</v>
      </c>
      <c r="H1827" s="1521">
        <v>1</v>
      </c>
      <c r="I1827" s="1521">
        <v>1</v>
      </c>
      <c r="J1827" s="1538">
        <v>2</v>
      </c>
      <c r="K1827" s="1525"/>
      <c r="L1827" s="1519">
        <v>13185010604</v>
      </c>
      <c r="M1827" s="1520">
        <v>1</v>
      </c>
      <c r="N1827" s="1520">
        <v>1</v>
      </c>
      <c r="O1827" s="1521">
        <v>2</v>
      </c>
    </row>
    <row r="1828" spans="3:15" ht="13.5">
      <c r="C1828" s="1526" t="s">
        <v>5789</v>
      </c>
      <c r="D1828" s="1523">
        <v>0</v>
      </c>
      <c r="E1828" s="1523">
        <v>0</v>
      </c>
      <c r="F1828" s="1524">
        <v>0</v>
      </c>
      <c r="G1828" s="1537" t="s">
        <v>5789</v>
      </c>
      <c r="H1828" s="1521">
        <v>0</v>
      </c>
      <c r="I1828" s="1521">
        <v>0</v>
      </c>
      <c r="J1828" s="1538">
        <v>0</v>
      </c>
      <c r="K1828" s="1525"/>
      <c r="L1828" s="1519">
        <v>13185010700</v>
      </c>
      <c r="M1828" s="1520">
        <v>0</v>
      </c>
      <c r="N1828" s="1520">
        <v>0</v>
      </c>
      <c r="O1828" s="1521">
        <v>0</v>
      </c>
    </row>
    <row r="1829" spans="3:15" ht="13.5">
      <c r="C1829" s="1526" t="s">
        <v>5790</v>
      </c>
      <c r="D1829" s="1523">
        <v>0</v>
      </c>
      <c r="E1829" s="1523">
        <v>0</v>
      </c>
      <c r="F1829" s="1524">
        <v>0</v>
      </c>
      <c r="G1829" s="1537" t="s">
        <v>5790</v>
      </c>
      <c r="H1829" s="1521">
        <v>0</v>
      </c>
      <c r="I1829" s="1521">
        <v>0</v>
      </c>
      <c r="J1829" s="1538">
        <v>0</v>
      </c>
      <c r="K1829" s="1525"/>
      <c r="L1829" s="1519">
        <v>13185010800</v>
      </c>
      <c r="M1829" s="1520">
        <v>0</v>
      </c>
      <c r="N1829" s="1520">
        <v>0</v>
      </c>
      <c r="O1829" s="1521">
        <v>0</v>
      </c>
    </row>
    <row r="1830" spans="3:15" ht="13.5">
      <c r="C1830" s="1526" t="s">
        <v>5791</v>
      </c>
      <c r="D1830" s="1523">
        <v>0</v>
      </c>
      <c r="E1830" s="1523">
        <v>0</v>
      </c>
      <c r="F1830" s="1524">
        <v>0</v>
      </c>
      <c r="G1830" s="1537" t="s">
        <v>5791</v>
      </c>
      <c r="H1830" s="1521">
        <v>0</v>
      </c>
      <c r="I1830" s="1521">
        <v>0</v>
      </c>
      <c r="J1830" s="1538">
        <v>0</v>
      </c>
      <c r="K1830" s="1525"/>
      <c r="L1830" s="1519">
        <v>13185010900</v>
      </c>
      <c r="M1830" s="1520">
        <v>0</v>
      </c>
      <c r="N1830" s="1520">
        <v>0</v>
      </c>
      <c r="O1830" s="1521">
        <v>0</v>
      </c>
    </row>
    <row r="1831" spans="3:15" ht="13.5">
      <c r="C1831" s="1526" t="s">
        <v>5792</v>
      </c>
      <c r="D1831" s="1523">
        <v>0</v>
      </c>
      <c r="E1831" s="1523">
        <v>0</v>
      </c>
      <c r="F1831" s="1524">
        <v>0</v>
      </c>
      <c r="G1831" s="1537" t="s">
        <v>5792</v>
      </c>
      <c r="H1831" s="1521">
        <v>0</v>
      </c>
      <c r="I1831" s="1521">
        <v>0</v>
      </c>
      <c r="J1831" s="1538">
        <v>0</v>
      </c>
      <c r="K1831" s="1525"/>
      <c r="L1831" s="1519">
        <v>13185011000</v>
      </c>
      <c r="M1831" s="1520">
        <v>0</v>
      </c>
      <c r="N1831" s="1520">
        <v>0</v>
      </c>
      <c r="O1831" s="1521">
        <v>0</v>
      </c>
    </row>
    <row r="1832" spans="3:15" ht="13.5">
      <c r="C1832" s="1526" t="s">
        <v>5793</v>
      </c>
      <c r="D1832" s="1523">
        <v>0</v>
      </c>
      <c r="E1832" s="1523">
        <v>0</v>
      </c>
      <c r="F1832" s="1524">
        <v>0</v>
      </c>
      <c r="G1832" s="1537" t="s">
        <v>5793</v>
      </c>
      <c r="H1832" s="1521">
        <v>0</v>
      </c>
      <c r="I1832" s="1521">
        <v>1</v>
      </c>
      <c r="J1832" s="1538">
        <v>1</v>
      </c>
      <c r="K1832" s="1525"/>
      <c r="L1832" s="1519">
        <v>13185011100</v>
      </c>
      <c r="M1832" s="1520">
        <v>0</v>
      </c>
      <c r="N1832" s="1520">
        <v>1</v>
      </c>
      <c r="O1832" s="1521">
        <v>1</v>
      </c>
    </row>
    <row r="1833" spans="3:15" ht="13.5">
      <c r="C1833" s="1526" t="s">
        <v>5794</v>
      </c>
      <c r="D1833" s="1523">
        <v>0</v>
      </c>
      <c r="E1833" s="1523">
        <v>0</v>
      </c>
      <c r="F1833" s="1524">
        <v>0</v>
      </c>
      <c r="G1833" s="1537" t="s">
        <v>5794</v>
      </c>
      <c r="H1833" s="1521">
        <v>0</v>
      </c>
      <c r="I1833" s="1521">
        <v>0</v>
      </c>
      <c r="J1833" s="1538">
        <v>0</v>
      </c>
      <c r="K1833" s="1525"/>
      <c r="L1833" s="1519">
        <v>13185011200</v>
      </c>
      <c r="M1833" s="1520">
        <v>0</v>
      </c>
      <c r="N1833" s="1520">
        <v>0</v>
      </c>
      <c r="O1833" s="1521">
        <v>0</v>
      </c>
    </row>
    <row r="1834" spans="3:15" ht="13.5">
      <c r="C1834" s="1526" t="s">
        <v>5795</v>
      </c>
      <c r="D1834" s="1523">
        <v>0</v>
      </c>
      <c r="E1834" s="1523">
        <v>0</v>
      </c>
      <c r="F1834" s="1524">
        <v>0</v>
      </c>
      <c r="G1834" s="1537" t="s">
        <v>5795</v>
      </c>
      <c r="H1834" s="1521">
        <v>0</v>
      </c>
      <c r="I1834" s="1521">
        <v>0</v>
      </c>
      <c r="J1834" s="1538">
        <v>0</v>
      </c>
      <c r="K1834" s="1525"/>
      <c r="L1834" s="1519">
        <v>13185011301</v>
      </c>
      <c r="M1834" s="1520">
        <v>0</v>
      </c>
      <c r="N1834" s="1520">
        <v>0</v>
      </c>
      <c r="O1834" s="1521">
        <v>0</v>
      </c>
    </row>
    <row r="1835" spans="3:15" ht="13.5">
      <c r="C1835" s="1526" t="s">
        <v>5796</v>
      </c>
      <c r="D1835" s="1523">
        <v>0</v>
      </c>
      <c r="E1835" s="1523">
        <v>0</v>
      </c>
      <c r="F1835" s="1524">
        <v>0</v>
      </c>
      <c r="G1835" s="1537" t="s">
        <v>5796</v>
      </c>
      <c r="H1835" s="1521">
        <v>0</v>
      </c>
      <c r="I1835" s="1521">
        <v>0</v>
      </c>
      <c r="J1835" s="1538">
        <v>0</v>
      </c>
      <c r="K1835" s="1525"/>
      <c r="L1835" s="1519">
        <v>13185011302</v>
      </c>
      <c r="M1835" s="1520">
        <v>0</v>
      </c>
      <c r="N1835" s="1520">
        <v>0</v>
      </c>
      <c r="O1835" s="1521">
        <v>0</v>
      </c>
    </row>
    <row r="1836" spans="3:15" ht="13.5">
      <c r="C1836" s="1526" t="s">
        <v>5797</v>
      </c>
      <c r="D1836" s="1523">
        <v>0</v>
      </c>
      <c r="E1836" s="1523">
        <v>0</v>
      </c>
      <c r="F1836" s="1524">
        <v>0</v>
      </c>
      <c r="G1836" s="1537" t="s">
        <v>5797</v>
      </c>
      <c r="H1836" s="1521">
        <v>0</v>
      </c>
      <c r="I1836" s="1521">
        <v>1</v>
      </c>
      <c r="J1836" s="1538">
        <v>1</v>
      </c>
      <c r="K1836" s="1525"/>
      <c r="L1836" s="1519">
        <v>13185011401</v>
      </c>
      <c r="M1836" s="1520">
        <v>0</v>
      </c>
      <c r="N1836" s="1520">
        <v>1</v>
      </c>
      <c r="O1836" s="1521">
        <v>1</v>
      </c>
    </row>
    <row r="1837" spans="3:15" ht="13.5">
      <c r="C1837" s="1526" t="s">
        <v>5798</v>
      </c>
      <c r="D1837" s="1523">
        <v>0</v>
      </c>
      <c r="E1837" s="1523">
        <v>0</v>
      </c>
      <c r="F1837" s="1524">
        <v>0</v>
      </c>
      <c r="G1837" s="1537" t="s">
        <v>5798</v>
      </c>
      <c r="H1837" s="1521">
        <v>0</v>
      </c>
      <c r="I1837" s="1521">
        <v>0</v>
      </c>
      <c r="J1837" s="1538">
        <v>0</v>
      </c>
      <c r="K1837" s="1525"/>
      <c r="L1837" s="1519">
        <v>13185011402</v>
      </c>
      <c r="M1837" s="1520">
        <v>0</v>
      </c>
      <c r="N1837" s="1520">
        <v>0</v>
      </c>
      <c r="O1837" s="1521">
        <v>0</v>
      </c>
    </row>
    <row r="1838" spans="3:15" ht="13.5">
      <c r="C1838" s="1526" t="s">
        <v>5799</v>
      </c>
      <c r="D1838" s="1523">
        <v>0</v>
      </c>
      <c r="E1838" s="1523">
        <v>0</v>
      </c>
      <c r="F1838" s="1524">
        <v>0</v>
      </c>
      <c r="G1838" s="1537" t="s">
        <v>5799</v>
      </c>
      <c r="H1838" s="1521">
        <v>0</v>
      </c>
      <c r="I1838" s="1521">
        <v>0</v>
      </c>
      <c r="J1838" s="1538">
        <v>0</v>
      </c>
      <c r="K1838" s="1525"/>
      <c r="L1838" s="1519">
        <v>13185011403</v>
      </c>
      <c r="M1838" s="1520">
        <v>0</v>
      </c>
      <c r="N1838" s="1520">
        <v>0</v>
      </c>
      <c r="O1838" s="1521">
        <v>0</v>
      </c>
    </row>
    <row r="1839" spans="3:15" ht="13.5">
      <c r="C1839" s="1526" t="s">
        <v>5800</v>
      </c>
      <c r="D1839" s="1523">
        <v>0</v>
      </c>
      <c r="E1839" s="1523">
        <v>0</v>
      </c>
      <c r="F1839" s="1524">
        <v>0</v>
      </c>
      <c r="G1839" s="1537" t="s">
        <v>5800</v>
      </c>
      <c r="H1839" s="1521">
        <v>0</v>
      </c>
      <c r="I1839" s="1521">
        <v>0</v>
      </c>
      <c r="J1839" s="1538">
        <v>0</v>
      </c>
      <c r="K1839" s="1525"/>
      <c r="L1839" s="1519">
        <v>13185011500</v>
      </c>
      <c r="M1839" s="1520">
        <v>0</v>
      </c>
      <c r="N1839" s="1520">
        <v>0</v>
      </c>
      <c r="O1839" s="1521">
        <v>0</v>
      </c>
    </row>
    <row r="1840" spans="3:15" ht="13.5">
      <c r="C1840" s="1526" t="s">
        <v>5801</v>
      </c>
      <c r="D1840" s="1523">
        <v>0</v>
      </c>
      <c r="E1840" s="1523">
        <v>1</v>
      </c>
      <c r="F1840" s="1524">
        <v>1</v>
      </c>
      <c r="G1840" s="1537" t="s">
        <v>5801</v>
      </c>
      <c r="H1840" s="1521">
        <v>0</v>
      </c>
      <c r="I1840" s="1521">
        <v>0</v>
      </c>
      <c r="J1840" s="1538">
        <v>0</v>
      </c>
      <c r="K1840" s="1525"/>
      <c r="L1840" s="1519">
        <v>13185011600</v>
      </c>
      <c r="M1840" s="1520">
        <v>0</v>
      </c>
      <c r="N1840" s="1520">
        <v>1</v>
      </c>
      <c r="O1840" s="1521">
        <v>1</v>
      </c>
    </row>
    <row r="1841" spans="3:15" ht="13.5">
      <c r="C1841" s="1526" t="s">
        <v>5802</v>
      </c>
      <c r="D1841" s="1523">
        <v>0</v>
      </c>
      <c r="E1841" s="1523">
        <v>0</v>
      </c>
      <c r="F1841" s="1524">
        <v>0</v>
      </c>
      <c r="G1841" s="1537" t="s">
        <v>5802</v>
      </c>
      <c r="H1841" s="1521">
        <v>1</v>
      </c>
      <c r="I1841" s="1521">
        <v>0</v>
      </c>
      <c r="J1841" s="1538">
        <v>1</v>
      </c>
      <c r="K1841" s="1525"/>
      <c r="L1841" s="1519">
        <v>13187960101</v>
      </c>
      <c r="M1841" s="1520">
        <v>1</v>
      </c>
      <c r="N1841" s="1520">
        <v>0</v>
      </c>
      <c r="O1841" s="1521">
        <v>1</v>
      </c>
    </row>
    <row r="1842" spans="3:15" ht="13.5">
      <c r="C1842" s="1526" t="s">
        <v>5803</v>
      </c>
      <c r="D1842" s="1523">
        <v>1</v>
      </c>
      <c r="E1842" s="1523">
        <v>1</v>
      </c>
      <c r="F1842" s="1524">
        <v>2</v>
      </c>
      <c r="G1842" s="1537" t="s">
        <v>5803</v>
      </c>
      <c r="H1842" s="1521">
        <v>1</v>
      </c>
      <c r="I1842" s="1521">
        <v>1</v>
      </c>
      <c r="J1842" s="1538">
        <v>2</v>
      </c>
      <c r="K1842" s="1525"/>
      <c r="L1842" s="1519">
        <v>13187960102</v>
      </c>
      <c r="M1842" s="1520">
        <v>1</v>
      </c>
      <c r="N1842" s="1520">
        <v>1</v>
      </c>
      <c r="O1842" s="1521">
        <v>2</v>
      </c>
    </row>
    <row r="1843" spans="3:15" ht="13.5">
      <c r="C1843" s="1526" t="s">
        <v>5804</v>
      </c>
      <c r="D1843" s="1523">
        <v>0</v>
      </c>
      <c r="E1843" s="1523">
        <v>1</v>
      </c>
      <c r="F1843" s="1524">
        <v>1</v>
      </c>
      <c r="G1843" s="1537" t="s">
        <v>5804</v>
      </c>
      <c r="H1843" s="1521">
        <v>0</v>
      </c>
      <c r="I1843" s="1521">
        <v>1</v>
      </c>
      <c r="J1843" s="1538">
        <v>1</v>
      </c>
      <c r="K1843" s="1525"/>
      <c r="L1843" s="1519">
        <v>13187960201</v>
      </c>
      <c r="M1843" s="1520">
        <v>0</v>
      </c>
      <c r="N1843" s="1520">
        <v>1</v>
      </c>
      <c r="O1843" s="1521">
        <v>1</v>
      </c>
    </row>
    <row r="1844" spans="3:15" ht="13.5">
      <c r="C1844" s="1526" t="s">
        <v>5805</v>
      </c>
      <c r="D1844" s="1523">
        <v>0</v>
      </c>
      <c r="E1844" s="1523">
        <v>0</v>
      </c>
      <c r="F1844" s="1524">
        <v>0</v>
      </c>
      <c r="G1844" s="1537" t="s">
        <v>5805</v>
      </c>
      <c r="H1844" s="1521">
        <v>0</v>
      </c>
      <c r="I1844" s="1521">
        <v>0</v>
      </c>
      <c r="J1844" s="1538">
        <v>0</v>
      </c>
      <c r="K1844" s="1525"/>
      <c r="L1844" s="1519">
        <v>13187960202</v>
      </c>
      <c r="M1844" s="1520">
        <v>0</v>
      </c>
      <c r="N1844" s="1520">
        <v>0</v>
      </c>
      <c r="O1844" s="1521">
        <v>0</v>
      </c>
    </row>
    <row r="1845" spans="3:15" ht="13.5">
      <c r="C1845" s="1526" t="s">
        <v>5806</v>
      </c>
      <c r="D1845" s="1523">
        <v>1</v>
      </c>
      <c r="E1845" s="1523">
        <v>1</v>
      </c>
      <c r="F1845" s="1524">
        <v>2</v>
      </c>
      <c r="G1845" s="1537" t="s">
        <v>5806</v>
      </c>
      <c r="H1845" s="1521">
        <v>1</v>
      </c>
      <c r="I1845" s="1521">
        <v>0</v>
      </c>
      <c r="J1845" s="1538">
        <v>1</v>
      </c>
      <c r="K1845" s="1525"/>
      <c r="L1845" s="1519">
        <v>13189950100</v>
      </c>
      <c r="M1845" s="1520">
        <v>1</v>
      </c>
      <c r="N1845" s="1520">
        <v>1</v>
      </c>
      <c r="O1845" s="1521">
        <v>2</v>
      </c>
    </row>
    <row r="1846" spans="3:15" ht="13.5">
      <c r="C1846" s="1526" t="s">
        <v>5807</v>
      </c>
      <c r="D1846" s="1523">
        <v>0</v>
      </c>
      <c r="E1846" s="1523">
        <v>0</v>
      </c>
      <c r="F1846" s="1524">
        <v>0</v>
      </c>
      <c r="G1846" s="1537" t="s">
        <v>5807</v>
      </c>
      <c r="H1846" s="1521">
        <v>0</v>
      </c>
      <c r="I1846" s="1521">
        <v>0</v>
      </c>
      <c r="J1846" s="1538">
        <v>0</v>
      </c>
      <c r="K1846" s="1525"/>
      <c r="L1846" s="1519">
        <v>13189950200</v>
      </c>
      <c r="M1846" s="1520">
        <v>0</v>
      </c>
      <c r="N1846" s="1520">
        <v>0</v>
      </c>
      <c r="O1846" s="1521">
        <v>0</v>
      </c>
    </row>
    <row r="1847" spans="3:15" ht="13.5">
      <c r="C1847" s="1526" t="s">
        <v>5808</v>
      </c>
      <c r="D1847" s="1523">
        <v>0</v>
      </c>
      <c r="E1847" s="1523">
        <v>0</v>
      </c>
      <c r="F1847" s="1524">
        <v>0</v>
      </c>
      <c r="G1847" s="1537" t="s">
        <v>5808</v>
      </c>
      <c r="H1847" s="1521">
        <v>0</v>
      </c>
      <c r="I1847" s="1521">
        <v>0</v>
      </c>
      <c r="J1847" s="1538">
        <v>0</v>
      </c>
      <c r="K1847" s="1525"/>
      <c r="L1847" s="1519">
        <v>13189950300</v>
      </c>
      <c r="M1847" s="1520">
        <v>0</v>
      </c>
      <c r="N1847" s="1520">
        <v>0</v>
      </c>
      <c r="O1847" s="1521">
        <v>0</v>
      </c>
    </row>
    <row r="1848" spans="3:15" ht="13.5">
      <c r="C1848" s="1526" t="s">
        <v>5809</v>
      </c>
      <c r="D1848" s="1523">
        <v>0</v>
      </c>
      <c r="E1848" s="1523">
        <v>0</v>
      </c>
      <c r="F1848" s="1524">
        <v>0</v>
      </c>
      <c r="G1848" s="1537" t="s">
        <v>5809</v>
      </c>
      <c r="H1848" s="1521">
        <v>0</v>
      </c>
      <c r="I1848" s="1521">
        <v>0</v>
      </c>
      <c r="J1848" s="1538">
        <v>0</v>
      </c>
      <c r="K1848" s="1525"/>
      <c r="L1848" s="1519">
        <v>13189950400</v>
      </c>
      <c r="M1848" s="1520">
        <v>0</v>
      </c>
      <c r="N1848" s="1520">
        <v>0</v>
      </c>
      <c r="O1848" s="1521">
        <v>0</v>
      </c>
    </row>
    <row r="1849" spans="3:15" ht="13.5">
      <c r="C1849" s="1526" t="s">
        <v>5810</v>
      </c>
      <c r="D1849" s="1523">
        <v>0</v>
      </c>
      <c r="E1849" s="1523">
        <v>0</v>
      </c>
      <c r="F1849" s="1524">
        <v>0</v>
      </c>
      <c r="G1849" s="1537" t="s">
        <v>5810</v>
      </c>
      <c r="H1849" s="1521">
        <v>0</v>
      </c>
      <c r="I1849" s="1521">
        <v>0</v>
      </c>
      <c r="J1849" s="1538">
        <v>0</v>
      </c>
      <c r="K1849" s="1525"/>
      <c r="L1849" s="1519">
        <v>13189950500</v>
      </c>
      <c r="M1849" s="1520">
        <v>0</v>
      </c>
      <c r="N1849" s="1520">
        <v>0</v>
      </c>
      <c r="O1849" s="1521">
        <v>0</v>
      </c>
    </row>
    <row r="1850" spans="3:15" ht="13.5">
      <c r="C1850" s="1526" t="s">
        <v>5811</v>
      </c>
      <c r="D1850" s="1523">
        <v>0</v>
      </c>
      <c r="E1850" s="1523">
        <v>0</v>
      </c>
      <c r="F1850" s="1524">
        <v>0</v>
      </c>
      <c r="G1850" s="1537" t="s">
        <v>5811</v>
      </c>
      <c r="H1850" s="1521">
        <v>0</v>
      </c>
      <c r="I1850" s="1521">
        <v>1</v>
      </c>
      <c r="J1850" s="1538">
        <v>1</v>
      </c>
      <c r="K1850" s="1525"/>
      <c r="L1850" s="1519">
        <v>13191110100</v>
      </c>
      <c r="M1850" s="1520">
        <v>0</v>
      </c>
      <c r="N1850" s="1520">
        <v>1</v>
      </c>
      <c r="O1850" s="1521">
        <v>1</v>
      </c>
    </row>
    <row r="1851" spans="3:15" ht="13.5">
      <c r="C1851" s="1526" t="s">
        <v>5812</v>
      </c>
      <c r="D1851" s="1523">
        <v>0</v>
      </c>
      <c r="E1851" s="1523">
        <v>0</v>
      </c>
      <c r="F1851" s="1524">
        <v>0</v>
      </c>
      <c r="G1851" s="1537" t="s">
        <v>5812</v>
      </c>
      <c r="H1851" s="1521">
        <v>0</v>
      </c>
      <c r="I1851" s="1521">
        <v>0</v>
      </c>
      <c r="J1851" s="1538">
        <v>0</v>
      </c>
      <c r="K1851" s="1525"/>
      <c r="L1851" s="1519">
        <v>13191110200</v>
      </c>
      <c r="M1851" s="1520">
        <v>0</v>
      </c>
      <c r="N1851" s="1520">
        <v>0</v>
      </c>
      <c r="O1851" s="1521">
        <v>0</v>
      </c>
    </row>
    <row r="1852" spans="3:15" ht="13.5">
      <c r="C1852" s="1526" t="s">
        <v>5813</v>
      </c>
      <c r="D1852" s="1523">
        <v>0</v>
      </c>
      <c r="E1852" s="1523">
        <v>0</v>
      </c>
      <c r="F1852" s="1524">
        <v>0</v>
      </c>
      <c r="G1852" s="1537" t="s">
        <v>5813</v>
      </c>
      <c r="H1852" s="1521">
        <v>0</v>
      </c>
      <c r="I1852" s="1521">
        <v>0</v>
      </c>
      <c r="J1852" s="1538">
        <v>0</v>
      </c>
      <c r="K1852" s="1525"/>
      <c r="L1852" s="1519">
        <v>13191110300</v>
      </c>
      <c r="M1852" s="1520">
        <v>0</v>
      </c>
      <c r="N1852" s="1520">
        <v>0</v>
      </c>
      <c r="O1852" s="1521">
        <v>0</v>
      </c>
    </row>
    <row r="1853" spans="3:15" ht="13.5">
      <c r="C1853" s="1526" t="s">
        <v>5814</v>
      </c>
      <c r="D1853" s="1523" t="s">
        <v>4099</v>
      </c>
      <c r="E1853" s="1523" t="s">
        <v>4099</v>
      </c>
      <c r="F1853" s="1524">
        <v>0</v>
      </c>
      <c r="G1853" s="1537" t="s">
        <v>5814</v>
      </c>
      <c r="H1853" s="1521" t="s">
        <v>4099</v>
      </c>
      <c r="I1853" s="1521" t="s">
        <v>4099</v>
      </c>
      <c r="J1853" s="1538">
        <v>0</v>
      </c>
      <c r="K1853" s="1525"/>
      <c r="L1853" s="1519">
        <v>13191980000</v>
      </c>
      <c r="M1853" s="1520">
        <v>0</v>
      </c>
      <c r="N1853" s="1520">
        <v>0</v>
      </c>
      <c r="O1853" s="1521">
        <v>0</v>
      </c>
    </row>
    <row r="1854" spans="3:15" ht="13.5">
      <c r="C1854" s="1526" t="s">
        <v>5815</v>
      </c>
      <c r="D1854" s="1523" t="s">
        <v>4099</v>
      </c>
      <c r="E1854" s="1523" t="s">
        <v>4099</v>
      </c>
      <c r="F1854" s="1524">
        <v>0</v>
      </c>
      <c r="G1854" s="1537" t="s">
        <v>5815</v>
      </c>
      <c r="H1854" s="1521" t="s">
        <v>4099</v>
      </c>
      <c r="I1854" s="1521" t="s">
        <v>4099</v>
      </c>
      <c r="J1854" s="1538">
        <v>0</v>
      </c>
      <c r="K1854" s="1525"/>
      <c r="L1854" s="1519">
        <v>13191990000</v>
      </c>
      <c r="M1854" s="1520">
        <v>0</v>
      </c>
      <c r="N1854" s="1520">
        <v>0</v>
      </c>
      <c r="O1854" s="1521">
        <v>0</v>
      </c>
    </row>
    <row r="1855" spans="3:15" ht="13.5">
      <c r="C1855" s="1526" t="s">
        <v>5816</v>
      </c>
      <c r="D1855" s="1523">
        <v>0</v>
      </c>
      <c r="E1855" s="1523">
        <v>0</v>
      </c>
      <c r="F1855" s="1524">
        <v>0</v>
      </c>
      <c r="G1855" s="1537" t="s">
        <v>5816</v>
      </c>
      <c r="H1855" s="1521">
        <v>0</v>
      </c>
      <c r="I1855" s="1521" t="s">
        <v>4099</v>
      </c>
      <c r="J1855" s="1538">
        <v>0</v>
      </c>
      <c r="K1855" s="1525"/>
      <c r="L1855" s="1519">
        <v>13193000100</v>
      </c>
      <c r="M1855" s="1520">
        <v>0</v>
      </c>
      <c r="N1855" s="1520">
        <v>0</v>
      </c>
      <c r="O1855" s="1521">
        <v>0</v>
      </c>
    </row>
    <row r="1856" spans="3:15" ht="13.5">
      <c r="C1856" s="1526" t="s">
        <v>5817</v>
      </c>
      <c r="D1856" s="1523">
        <v>0</v>
      </c>
      <c r="E1856" s="1523">
        <v>0</v>
      </c>
      <c r="F1856" s="1524">
        <v>0</v>
      </c>
      <c r="G1856" s="1537" t="s">
        <v>5817</v>
      </c>
      <c r="H1856" s="1521">
        <v>0</v>
      </c>
      <c r="I1856" s="1521">
        <v>0</v>
      </c>
      <c r="J1856" s="1538">
        <v>0</v>
      </c>
      <c r="K1856" s="1525"/>
      <c r="L1856" s="1519">
        <v>13193000200</v>
      </c>
      <c r="M1856" s="1520">
        <v>0</v>
      </c>
      <c r="N1856" s="1520">
        <v>0</v>
      </c>
      <c r="O1856" s="1521">
        <v>0</v>
      </c>
    </row>
    <row r="1857" spans="3:15" ht="13.5">
      <c r="C1857" s="1526" t="s">
        <v>5818</v>
      </c>
      <c r="D1857" s="1523">
        <v>0</v>
      </c>
      <c r="E1857" s="1523">
        <v>0</v>
      </c>
      <c r="F1857" s="1524">
        <v>0</v>
      </c>
      <c r="G1857" s="1537" t="s">
        <v>5818</v>
      </c>
      <c r="H1857" s="1521">
        <v>0</v>
      </c>
      <c r="I1857" s="1521">
        <v>1</v>
      </c>
      <c r="J1857" s="1538">
        <v>1</v>
      </c>
      <c r="K1857" s="1525"/>
      <c r="L1857" s="1519">
        <v>13193000300</v>
      </c>
      <c r="M1857" s="1520">
        <v>0</v>
      </c>
      <c r="N1857" s="1520">
        <v>1</v>
      </c>
      <c r="O1857" s="1521">
        <v>1</v>
      </c>
    </row>
    <row r="1858" spans="3:15" ht="13.5">
      <c r="C1858" s="1526" t="s">
        <v>5819</v>
      </c>
      <c r="D1858" s="1523">
        <v>0</v>
      </c>
      <c r="E1858" s="1523">
        <v>0</v>
      </c>
      <c r="F1858" s="1524">
        <v>0</v>
      </c>
      <c r="G1858" s="1537" t="s">
        <v>5819</v>
      </c>
      <c r="H1858" s="1521">
        <v>0</v>
      </c>
      <c r="I1858" s="1521">
        <v>0</v>
      </c>
      <c r="J1858" s="1538">
        <v>0</v>
      </c>
      <c r="K1858" s="1525"/>
      <c r="L1858" s="1519">
        <v>13193000400</v>
      </c>
      <c r="M1858" s="1520">
        <v>0</v>
      </c>
      <c r="N1858" s="1520">
        <v>0</v>
      </c>
      <c r="O1858" s="1521">
        <v>0</v>
      </c>
    </row>
    <row r="1859" spans="3:15" ht="13.5">
      <c r="C1859" s="1526" t="s">
        <v>5820</v>
      </c>
      <c r="D1859" s="1523">
        <v>0</v>
      </c>
      <c r="E1859" s="1523">
        <v>0</v>
      </c>
      <c r="F1859" s="1524">
        <v>0</v>
      </c>
      <c r="G1859" s="1537" t="s">
        <v>5820</v>
      </c>
      <c r="H1859" s="1521">
        <v>0</v>
      </c>
      <c r="I1859" s="1521">
        <v>0</v>
      </c>
      <c r="J1859" s="1538">
        <v>0</v>
      </c>
      <c r="K1859" s="1525"/>
      <c r="L1859" s="1519">
        <v>13195020100</v>
      </c>
      <c r="M1859" s="1520">
        <v>0</v>
      </c>
      <c r="N1859" s="1520">
        <v>0</v>
      </c>
      <c r="O1859" s="1521">
        <v>0</v>
      </c>
    </row>
    <row r="1860" spans="3:15" ht="13.5">
      <c r="C1860" s="1526" t="s">
        <v>5821</v>
      </c>
      <c r="D1860" s="1523">
        <v>0</v>
      </c>
      <c r="E1860" s="1523">
        <v>0</v>
      </c>
      <c r="F1860" s="1524">
        <v>0</v>
      </c>
      <c r="G1860" s="1537" t="s">
        <v>5821</v>
      </c>
      <c r="H1860" s="1521">
        <v>0</v>
      </c>
      <c r="I1860" s="1521">
        <v>0</v>
      </c>
      <c r="J1860" s="1538">
        <v>0</v>
      </c>
      <c r="K1860" s="1525"/>
      <c r="L1860" s="1519">
        <v>13195020200</v>
      </c>
      <c r="M1860" s="1520">
        <v>0</v>
      </c>
      <c r="N1860" s="1520">
        <v>0</v>
      </c>
      <c r="O1860" s="1521">
        <v>0</v>
      </c>
    </row>
    <row r="1861" spans="3:15" ht="13.5">
      <c r="C1861" s="1526" t="s">
        <v>5822</v>
      </c>
      <c r="D1861" s="1523">
        <v>0</v>
      </c>
      <c r="E1861" s="1523">
        <v>0</v>
      </c>
      <c r="F1861" s="1524">
        <v>0</v>
      </c>
      <c r="G1861" s="1537" t="s">
        <v>5822</v>
      </c>
      <c r="H1861" s="1521">
        <v>0</v>
      </c>
      <c r="I1861" s="1521">
        <v>0</v>
      </c>
      <c r="J1861" s="1538">
        <v>0</v>
      </c>
      <c r="K1861" s="1525"/>
      <c r="L1861" s="1519">
        <v>13195020300</v>
      </c>
      <c r="M1861" s="1520">
        <v>0</v>
      </c>
      <c r="N1861" s="1520">
        <v>0</v>
      </c>
      <c r="O1861" s="1521">
        <v>0</v>
      </c>
    </row>
    <row r="1862" spans="3:15" ht="13.5">
      <c r="C1862" s="1526" t="s">
        <v>5823</v>
      </c>
      <c r="D1862" s="1523">
        <v>1</v>
      </c>
      <c r="E1862" s="1523">
        <v>1</v>
      </c>
      <c r="F1862" s="1524">
        <v>2</v>
      </c>
      <c r="G1862" s="1537" t="s">
        <v>5823</v>
      </c>
      <c r="H1862" s="1521">
        <v>0</v>
      </c>
      <c r="I1862" s="1521">
        <v>0</v>
      </c>
      <c r="J1862" s="1538">
        <v>0</v>
      </c>
      <c r="K1862" s="1525"/>
      <c r="L1862" s="1519">
        <v>13195020400</v>
      </c>
      <c r="M1862" s="1520">
        <v>1</v>
      </c>
      <c r="N1862" s="1520">
        <v>1</v>
      </c>
      <c r="O1862" s="1521">
        <v>2</v>
      </c>
    </row>
    <row r="1863" spans="3:15" ht="13.5">
      <c r="C1863" s="1526" t="s">
        <v>5824</v>
      </c>
      <c r="D1863" s="1523">
        <v>0</v>
      </c>
      <c r="E1863" s="1523">
        <v>1</v>
      </c>
      <c r="F1863" s="1524">
        <v>1</v>
      </c>
      <c r="G1863" s="1537" t="s">
        <v>5824</v>
      </c>
      <c r="H1863" s="1521">
        <v>0</v>
      </c>
      <c r="I1863" s="1521">
        <v>0</v>
      </c>
      <c r="J1863" s="1538">
        <v>0</v>
      </c>
      <c r="K1863" s="1525"/>
      <c r="L1863" s="1519">
        <v>13195020500</v>
      </c>
      <c r="M1863" s="1520">
        <v>0</v>
      </c>
      <c r="N1863" s="1520">
        <v>1</v>
      </c>
      <c r="O1863" s="1521">
        <v>1</v>
      </c>
    </row>
    <row r="1864" spans="3:15" ht="13.5">
      <c r="C1864" s="1526" t="s">
        <v>5825</v>
      </c>
      <c r="D1864" s="1523">
        <v>1</v>
      </c>
      <c r="E1864" s="1523">
        <v>0</v>
      </c>
      <c r="F1864" s="1524">
        <v>1</v>
      </c>
      <c r="G1864" s="1537" t="s">
        <v>5825</v>
      </c>
      <c r="H1864" s="1521">
        <v>0</v>
      </c>
      <c r="I1864" s="1521">
        <v>0</v>
      </c>
      <c r="J1864" s="1538">
        <v>0</v>
      </c>
      <c r="K1864" s="1525"/>
      <c r="L1864" s="1519">
        <v>13195020600</v>
      </c>
      <c r="M1864" s="1520">
        <v>1</v>
      </c>
      <c r="N1864" s="1520">
        <v>0</v>
      </c>
      <c r="O1864" s="1521">
        <v>1</v>
      </c>
    </row>
    <row r="1865" spans="3:15" ht="13.5">
      <c r="C1865" s="1526" t="s">
        <v>5826</v>
      </c>
      <c r="D1865" s="1523">
        <v>0</v>
      </c>
      <c r="E1865" s="1523">
        <v>0</v>
      </c>
      <c r="F1865" s="1524">
        <v>0</v>
      </c>
      <c r="G1865" s="1537" t="s">
        <v>5826</v>
      </c>
      <c r="H1865" s="1521">
        <v>0</v>
      </c>
      <c r="I1865" s="1521">
        <v>0</v>
      </c>
      <c r="J1865" s="1538">
        <v>0</v>
      </c>
      <c r="K1865" s="1525"/>
      <c r="L1865" s="1519">
        <v>13197920100</v>
      </c>
      <c r="M1865" s="1520">
        <v>0</v>
      </c>
      <c r="N1865" s="1520">
        <v>0</v>
      </c>
      <c r="O1865" s="1521">
        <v>0</v>
      </c>
    </row>
    <row r="1866" spans="3:15" ht="13.5">
      <c r="C1866" s="1526" t="s">
        <v>5827</v>
      </c>
      <c r="D1866" s="1523">
        <v>0</v>
      </c>
      <c r="E1866" s="1523">
        <v>0</v>
      </c>
      <c r="F1866" s="1524">
        <v>0</v>
      </c>
      <c r="G1866" s="1537" t="s">
        <v>5827</v>
      </c>
      <c r="H1866" s="1521">
        <v>0</v>
      </c>
      <c r="I1866" s="1521">
        <v>0</v>
      </c>
      <c r="J1866" s="1538">
        <v>0</v>
      </c>
      <c r="K1866" s="1525"/>
      <c r="L1866" s="1519">
        <v>13197920200</v>
      </c>
      <c r="M1866" s="1520">
        <v>0</v>
      </c>
      <c r="N1866" s="1520">
        <v>0</v>
      </c>
      <c r="O1866" s="1521">
        <v>0</v>
      </c>
    </row>
    <row r="1867" spans="3:15" ht="13.5">
      <c r="C1867" s="1526" t="s">
        <v>5828</v>
      </c>
      <c r="D1867" s="1523">
        <v>0</v>
      </c>
      <c r="E1867" s="1523">
        <v>0</v>
      </c>
      <c r="F1867" s="1524">
        <v>0</v>
      </c>
      <c r="G1867" s="1537" t="s">
        <v>5828</v>
      </c>
      <c r="H1867" s="1521">
        <v>0</v>
      </c>
      <c r="I1867" s="1521">
        <v>0</v>
      </c>
      <c r="J1867" s="1538">
        <v>0</v>
      </c>
      <c r="K1867" s="1525"/>
      <c r="L1867" s="1519">
        <v>13199970500</v>
      </c>
      <c r="M1867" s="1520">
        <v>0</v>
      </c>
      <c r="N1867" s="1520">
        <v>0</v>
      </c>
      <c r="O1867" s="1521">
        <v>0</v>
      </c>
    </row>
    <row r="1868" spans="3:15" ht="13.5">
      <c r="C1868" s="1526" t="s">
        <v>5829</v>
      </c>
      <c r="D1868" s="1523">
        <v>0</v>
      </c>
      <c r="E1868" s="1523">
        <v>0</v>
      </c>
      <c r="F1868" s="1524">
        <v>0</v>
      </c>
      <c r="G1868" s="1537" t="s">
        <v>5829</v>
      </c>
      <c r="H1868" s="1521">
        <v>0</v>
      </c>
      <c r="I1868" s="1521">
        <v>0</v>
      </c>
      <c r="J1868" s="1538">
        <v>0</v>
      </c>
      <c r="K1868" s="1525"/>
      <c r="L1868" s="1519">
        <v>13199970600</v>
      </c>
      <c r="M1868" s="1520">
        <v>0</v>
      </c>
      <c r="N1868" s="1520">
        <v>0</v>
      </c>
      <c r="O1868" s="1521">
        <v>0</v>
      </c>
    </row>
    <row r="1869" spans="3:15" ht="13.5">
      <c r="C1869" s="1526" t="s">
        <v>5830</v>
      </c>
      <c r="D1869" s="1523">
        <v>0</v>
      </c>
      <c r="E1869" s="1523">
        <v>0</v>
      </c>
      <c r="F1869" s="1524">
        <v>0</v>
      </c>
      <c r="G1869" s="1537" t="s">
        <v>5830</v>
      </c>
      <c r="H1869" s="1521">
        <v>0</v>
      </c>
      <c r="I1869" s="1521">
        <v>0</v>
      </c>
      <c r="J1869" s="1538">
        <v>0</v>
      </c>
      <c r="K1869" s="1525"/>
      <c r="L1869" s="1519">
        <v>13199970700</v>
      </c>
      <c r="M1869" s="1520">
        <v>0</v>
      </c>
      <c r="N1869" s="1520">
        <v>0</v>
      </c>
      <c r="O1869" s="1521">
        <v>0</v>
      </c>
    </row>
    <row r="1870" spans="3:15" ht="13.5">
      <c r="C1870" s="1526" t="s">
        <v>5831</v>
      </c>
      <c r="D1870" s="1523">
        <v>0</v>
      </c>
      <c r="E1870" s="1523">
        <v>0</v>
      </c>
      <c r="F1870" s="1524">
        <v>0</v>
      </c>
      <c r="G1870" s="1537" t="s">
        <v>5831</v>
      </c>
      <c r="H1870" s="1521">
        <v>0</v>
      </c>
      <c r="I1870" s="1521">
        <v>0</v>
      </c>
      <c r="J1870" s="1538">
        <v>0</v>
      </c>
      <c r="K1870" s="1525"/>
      <c r="L1870" s="1519">
        <v>13199970800</v>
      </c>
      <c r="M1870" s="1520">
        <v>0</v>
      </c>
      <c r="N1870" s="1520">
        <v>0</v>
      </c>
      <c r="O1870" s="1521">
        <v>0</v>
      </c>
    </row>
    <row r="1871" spans="3:15" ht="13.5">
      <c r="C1871" s="1526" t="s">
        <v>5832</v>
      </c>
      <c r="D1871" s="1523">
        <v>0</v>
      </c>
      <c r="E1871" s="1523">
        <v>0</v>
      </c>
      <c r="F1871" s="1524">
        <v>0</v>
      </c>
      <c r="G1871" s="1537" t="s">
        <v>5832</v>
      </c>
      <c r="H1871" s="1521">
        <v>0</v>
      </c>
      <c r="I1871" s="1521">
        <v>0</v>
      </c>
      <c r="J1871" s="1538">
        <v>0</v>
      </c>
      <c r="K1871" s="1525"/>
      <c r="L1871" s="1519">
        <v>13201950100</v>
      </c>
      <c r="M1871" s="1520">
        <v>0</v>
      </c>
      <c r="N1871" s="1520">
        <v>0</v>
      </c>
      <c r="O1871" s="1521">
        <v>0</v>
      </c>
    </row>
    <row r="1872" spans="3:15" ht="13.5">
      <c r="C1872" s="1526" t="s">
        <v>5833</v>
      </c>
      <c r="D1872" s="1523">
        <v>0</v>
      </c>
      <c r="E1872" s="1523">
        <v>0</v>
      </c>
      <c r="F1872" s="1524">
        <v>0</v>
      </c>
      <c r="G1872" s="1537" t="s">
        <v>5833</v>
      </c>
      <c r="H1872" s="1521">
        <v>0</v>
      </c>
      <c r="I1872" s="1521">
        <v>0</v>
      </c>
      <c r="J1872" s="1538">
        <v>0</v>
      </c>
      <c r="K1872" s="1525"/>
      <c r="L1872" s="1519">
        <v>13201950200</v>
      </c>
      <c r="M1872" s="1520">
        <v>0</v>
      </c>
      <c r="N1872" s="1520">
        <v>0</v>
      </c>
      <c r="O1872" s="1521">
        <v>0</v>
      </c>
    </row>
    <row r="1873" spans="3:15" ht="13.5">
      <c r="C1873" s="1526" t="s">
        <v>5834</v>
      </c>
      <c r="D1873" s="1523">
        <v>1</v>
      </c>
      <c r="E1873" s="1523">
        <v>0</v>
      </c>
      <c r="F1873" s="1524">
        <v>1</v>
      </c>
      <c r="G1873" s="1537" t="s">
        <v>5834</v>
      </c>
      <c r="H1873" s="1521">
        <v>1</v>
      </c>
      <c r="I1873" s="1521">
        <v>1</v>
      </c>
      <c r="J1873" s="1538">
        <v>2</v>
      </c>
      <c r="K1873" s="1525"/>
      <c r="L1873" s="1519">
        <v>13201950300</v>
      </c>
      <c r="M1873" s="1520">
        <v>1</v>
      </c>
      <c r="N1873" s="1520">
        <v>1</v>
      </c>
      <c r="O1873" s="1521">
        <v>2</v>
      </c>
    </row>
    <row r="1874" spans="3:15" ht="13.5">
      <c r="C1874" s="1526" t="s">
        <v>5835</v>
      </c>
      <c r="D1874" s="1523">
        <v>0</v>
      </c>
      <c r="E1874" s="1523">
        <v>0</v>
      </c>
      <c r="F1874" s="1524">
        <v>0</v>
      </c>
      <c r="G1874" s="1537" t="s">
        <v>5835</v>
      </c>
      <c r="H1874" s="1521">
        <v>0</v>
      </c>
      <c r="I1874" s="1521">
        <v>0</v>
      </c>
      <c r="J1874" s="1538">
        <v>0</v>
      </c>
      <c r="K1874" s="1525"/>
      <c r="L1874" s="1519">
        <v>13205090100</v>
      </c>
      <c r="M1874" s="1520">
        <v>0</v>
      </c>
      <c r="N1874" s="1520">
        <v>0</v>
      </c>
      <c r="O1874" s="1521">
        <v>0</v>
      </c>
    </row>
    <row r="1875" spans="3:15" ht="13.5">
      <c r="C1875" s="1526" t="s">
        <v>5836</v>
      </c>
      <c r="D1875" s="1523">
        <v>0</v>
      </c>
      <c r="E1875" s="1523">
        <v>0</v>
      </c>
      <c r="F1875" s="1524">
        <v>0</v>
      </c>
      <c r="G1875" s="1537" t="s">
        <v>5836</v>
      </c>
      <c r="H1875" s="1521">
        <v>0</v>
      </c>
      <c r="I1875" s="1521">
        <v>0</v>
      </c>
      <c r="J1875" s="1538">
        <v>0</v>
      </c>
      <c r="K1875" s="1525"/>
      <c r="L1875" s="1519">
        <v>13205090200</v>
      </c>
      <c r="M1875" s="1520">
        <v>0</v>
      </c>
      <c r="N1875" s="1520">
        <v>0</v>
      </c>
      <c r="O1875" s="1521">
        <v>0</v>
      </c>
    </row>
    <row r="1876" spans="3:15" ht="13.5">
      <c r="C1876" s="1526" t="s">
        <v>5837</v>
      </c>
      <c r="D1876" s="1523">
        <v>0</v>
      </c>
      <c r="E1876" s="1523">
        <v>0</v>
      </c>
      <c r="F1876" s="1524">
        <v>0</v>
      </c>
      <c r="G1876" s="1537" t="s">
        <v>5837</v>
      </c>
      <c r="H1876" s="1521">
        <v>0</v>
      </c>
      <c r="I1876" s="1521">
        <v>0</v>
      </c>
      <c r="J1876" s="1538">
        <v>0</v>
      </c>
      <c r="K1876" s="1525"/>
      <c r="L1876" s="1519">
        <v>13205090300</v>
      </c>
      <c r="M1876" s="1520">
        <v>0</v>
      </c>
      <c r="N1876" s="1520">
        <v>0</v>
      </c>
      <c r="O1876" s="1521">
        <v>0</v>
      </c>
    </row>
    <row r="1877" spans="3:15" ht="13.5">
      <c r="C1877" s="1526" t="s">
        <v>5838</v>
      </c>
      <c r="D1877" s="1523">
        <v>0</v>
      </c>
      <c r="E1877" s="1523">
        <v>0</v>
      </c>
      <c r="F1877" s="1524">
        <v>0</v>
      </c>
      <c r="G1877" s="1537" t="s">
        <v>5838</v>
      </c>
      <c r="H1877" s="1521">
        <v>0</v>
      </c>
      <c r="I1877" s="1521">
        <v>0</v>
      </c>
      <c r="J1877" s="1538">
        <v>0</v>
      </c>
      <c r="K1877" s="1525"/>
      <c r="L1877" s="1519">
        <v>13205090400</v>
      </c>
      <c r="M1877" s="1520">
        <v>0</v>
      </c>
      <c r="N1877" s="1520">
        <v>0</v>
      </c>
      <c r="O1877" s="1521">
        <v>0</v>
      </c>
    </row>
    <row r="1878" spans="3:15" ht="13.5">
      <c r="C1878" s="1526" t="s">
        <v>5839</v>
      </c>
      <c r="D1878" s="1523">
        <v>0</v>
      </c>
      <c r="E1878" s="1523">
        <v>0</v>
      </c>
      <c r="F1878" s="1524">
        <v>0</v>
      </c>
      <c r="G1878" s="1537" t="s">
        <v>5839</v>
      </c>
      <c r="H1878" s="1521">
        <v>0</v>
      </c>
      <c r="I1878" s="1521">
        <v>0</v>
      </c>
      <c r="J1878" s="1538">
        <v>0</v>
      </c>
      <c r="K1878" s="1525"/>
      <c r="L1878" s="1519">
        <v>13205090500</v>
      </c>
      <c r="M1878" s="1520">
        <v>0</v>
      </c>
      <c r="N1878" s="1520">
        <v>0</v>
      </c>
      <c r="O1878" s="1521">
        <v>0</v>
      </c>
    </row>
    <row r="1879" spans="3:15" ht="13.5">
      <c r="C1879" s="1526" t="s">
        <v>5840</v>
      </c>
      <c r="D1879" s="1523">
        <v>0</v>
      </c>
      <c r="E1879" s="1523">
        <v>0</v>
      </c>
      <c r="F1879" s="1524">
        <v>0</v>
      </c>
      <c r="G1879" s="1537" t="s">
        <v>5840</v>
      </c>
      <c r="H1879" s="1521">
        <v>0</v>
      </c>
      <c r="I1879" s="1521">
        <v>0</v>
      </c>
      <c r="J1879" s="1538">
        <v>0</v>
      </c>
      <c r="K1879" s="1525"/>
      <c r="L1879" s="1519">
        <v>13207050101</v>
      </c>
      <c r="M1879" s="1520">
        <v>0</v>
      </c>
      <c r="N1879" s="1520">
        <v>0</v>
      </c>
      <c r="O1879" s="1521">
        <v>0</v>
      </c>
    </row>
    <row r="1880" spans="3:15" ht="13.5">
      <c r="C1880" s="1526" t="s">
        <v>5841</v>
      </c>
      <c r="D1880" s="1523">
        <v>0</v>
      </c>
      <c r="E1880" s="1523">
        <v>0</v>
      </c>
      <c r="F1880" s="1524">
        <v>0</v>
      </c>
      <c r="G1880" s="1537" t="s">
        <v>5841</v>
      </c>
      <c r="H1880" s="1521">
        <v>0</v>
      </c>
      <c r="I1880" s="1521">
        <v>0</v>
      </c>
      <c r="J1880" s="1538">
        <v>0</v>
      </c>
      <c r="K1880" s="1525"/>
      <c r="L1880" s="1519">
        <v>13207050102</v>
      </c>
      <c r="M1880" s="1520">
        <v>0</v>
      </c>
      <c r="N1880" s="1520">
        <v>0</v>
      </c>
      <c r="O1880" s="1521">
        <v>0</v>
      </c>
    </row>
    <row r="1881" spans="3:15" ht="13.5">
      <c r="C1881" s="1526" t="s">
        <v>5842</v>
      </c>
      <c r="D1881" s="1523">
        <v>0</v>
      </c>
      <c r="E1881" s="1523">
        <v>0</v>
      </c>
      <c r="F1881" s="1524">
        <v>0</v>
      </c>
      <c r="G1881" s="1537" t="s">
        <v>5842</v>
      </c>
      <c r="H1881" s="1521">
        <v>0</v>
      </c>
      <c r="I1881" s="1521">
        <v>0</v>
      </c>
      <c r="J1881" s="1538">
        <v>0</v>
      </c>
      <c r="K1881" s="1525"/>
      <c r="L1881" s="1519">
        <v>13207050200</v>
      </c>
      <c r="M1881" s="1520">
        <v>0</v>
      </c>
      <c r="N1881" s="1520">
        <v>0</v>
      </c>
      <c r="O1881" s="1521">
        <v>0</v>
      </c>
    </row>
    <row r="1882" spans="3:15" ht="13.5">
      <c r="C1882" s="1526" t="s">
        <v>5843</v>
      </c>
      <c r="D1882" s="1523">
        <v>0</v>
      </c>
      <c r="E1882" s="1523">
        <v>1</v>
      </c>
      <c r="F1882" s="1524">
        <v>1</v>
      </c>
      <c r="G1882" s="1537" t="s">
        <v>5843</v>
      </c>
      <c r="H1882" s="1521">
        <v>0</v>
      </c>
      <c r="I1882" s="1521">
        <v>1</v>
      </c>
      <c r="J1882" s="1538">
        <v>1</v>
      </c>
      <c r="K1882" s="1525"/>
      <c r="L1882" s="1519">
        <v>13207050301</v>
      </c>
      <c r="M1882" s="1520">
        <v>0</v>
      </c>
      <c r="N1882" s="1520">
        <v>1</v>
      </c>
      <c r="O1882" s="1521">
        <v>1</v>
      </c>
    </row>
    <row r="1883" spans="3:15" ht="13.5">
      <c r="C1883" s="1526" t="s">
        <v>5844</v>
      </c>
      <c r="D1883" s="1523">
        <v>1</v>
      </c>
      <c r="E1883" s="1523">
        <v>1</v>
      </c>
      <c r="F1883" s="1524">
        <v>2</v>
      </c>
      <c r="G1883" s="1537" t="s">
        <v>5844</v>
      </c>
      <c r="H1883" s="1521">
        <v>1</v>
      </c>
      <c r="I1883" s="1521">
        <v>1</v>
      </c>
      <c r="J1883" s="1538">
        <v>2</v>
      </c>
      <c r="K1883" s="1525"/>
      <c r="L1883" s="1519">
        <v>13207050302</v>
      </c>
      <c r="M1883" s="1520">
        <v>1</v>
      </c>
      <c r="N1883" s="1520">
        <v>1</v>
      </c>
      <c r="O1883" s="1521">
        <v>2</v>
      </c>
    </row>
    <row r="1884" spans="3:15" ht="13.5">
      <c r="C1884" s="1526" t="s">
        <v>5845</v>
      </c>
      <c r="D1884" s="1523">
        <v>0</v>
      </c>
      <c r="E1884" s="1523">
        <v>0</v>
      </c>
      <c r="F1884" s="1524">
        <v>0</v>
      </c>
      <c r="G1884" s="1537" t="s">
        <v>5845</v>
      </c>
      <c r="H1884" s="1521">
        <v>0</v>
      </c>
      <c r="I1884" s="1521">
        <v>0</v>
      </c>
      <c r="J1884" s="1538">
        <v>0</v>
      </c>
      <c r="K1884" s="1525"/>
      <c r="L1884" s="1519">
        <v>13209950100</v>
      </c>
      <c r="M1884" s="1520">
        <v>0</v>
      </c>
      <c r="N1884" s="1520">
        <v>0</v>
      </c>
      <c r="O1884" s="1521">
        <v>0</v>
      </c>
    </row>
    <row r="1885" spans="3:15" ht="13.5">
      <c r="C1885" s="1526" t="s">
        <v>5846</v>
      </c>
      <c r="D1885" s="1523">
        <v>0</v>
      </c>
      <c r="E1885" s="1523">
        <v>0</v>
      </c>
      <c r="F1885" s="1524">
        <v>0</v>
      </c>
      <c r="G1885" s="1537" t="s">
        <v>5846</v>
      </c>
      <c r="H1885" s="1521">
        <v>0</v>
      </c>
      <c r="I1885" s="1521">
        <v>1</v>
      </c>
      <c r="J1885" s="1538">
        <v>1</v>
      </c>
      <c r="K1885" s="1525"/>
      <c r="L1885" s="1519">
        <v>13209950200</v>
      </c>
      <c r="M1885" s="1520">
        <v>0</v>
      </c>
      <c r="N1885" s="1520">
        <v>1</v>
      </c>
      <c r="O1885" s="1521">
        <v>1</v>
      </c>
    </row>
    <row r="1886" spans="3:15" ht="13.5">
      <c r="C1886" s="1526" t="s">
        <v>5847</v>
      </c>
      <c r="D1886" s="1523">
        <v>0</v>
      </c>
      <c r="E1886" s="1523">
        <v>0</v>
      </c>
      <c r="F1886" s="1524">
        <v>0</v>
      </c>
      <c r="G1886" s="1537" t="s">
        <v>5847</v>
      </c>
      <c r="H1886" s="1521">
        <v>0</v>
      </c>
      <c r="I1886" s="1521">
        <v>0</v>
      </c>
      <c r="J1886" s="1538">
        <v>0</v>
      </c>
      <c r="K1886" s="1525"/>
      <c r="L1886" s="1519">
        <v>13209950300</v>
      </c>
      <c r="M1886" s="1520">
        <v>0</v>
      </c>
      <c r="N1886" s="1520">
        <v>0</v>
      </c>
      <c r="O1886" s="1521">
        <v>0</v>
      </c>
    </row>
    <row r="1887" spans="3:15" ht="13.5">
      <c r="C1887" s="1526" t="s">
        <v>5848</v>
      </c>
      <c r="D1887" s="1523">
        <v>1</v>
      </c>
      <c r="E1887" s="1523">
        <v>1</v>
      </c>
      <c r="F1887" s="1524">
        <v>2</v>
      </c>
      <c r="G1887" s="1537" t="s">
        <v>5848</v>
      </c>
      <c r="H1887" s="1521">
        <v>1</v>
      </c>
      <c r="I1887" s="1521">
        <v>1</v>
      </c>
      <c r="J1887" s="1538">
        <v>2</v>
      </c>
      <c r="K1887" s="1525"/>
      <c r="L1887" s="1519">
        <v>13211010100</v>
      </c>
      <c r="M1887" s="1520">
        <v>1</v>
      </c>
      <c r="N1887" s="1520">
        <v>1</v>
      </c>
      <c r="O1887" s="1521">
        <v>2</v>
      </c>
    </row>
    <row r="1888" spans="3:15" ht="13.5">
      <c r="C1888" s="1526" t="s">
        <v>5849</v>
      </c>
      <c r="D1888" s="1523">
        <v>0</v>
      </c>
      <c r="E1888" s="1523">
        <v>0</v>
      </c>
      <c r="F1888" s="1524">
        <v>0</v>
      </c>
      <c r="G1888" s="1537" t="s">
        <v>5849</v>
      </c>
      <c r="H1888" s="1521">
        <v>0</v>
      </c>
      <c r="I1888" s="1521">
        <v>0</v>
      </c>
      <c r="J1888" s="1538">
        <v>0</v>
      </c>
      <c r="K1888" s="1525"/>
      <c r="L1888" s="1519">
        <v>13211010200</v>
      </c>
      <c r="M1888" s="1520">
        <v>0</v>
      </c>
      <c r="N1888" s="1520">
        <v>0</v>
      </c>
      <c r="O1888" s="1521">
        <v>0</v>
      </c>
    </row>
    <row r="1889" spans="3:15" ht="13.5">
      <c r="C1889" s="1526" t="s">
        <v>5850</v>
      </c>
      <c r="D1889" s="1523">
        <v>1</v>
      </c>
      <c r="E1889" s="1523">
        <v>1</v>
      </c>
      <c r="F1889" s="1524">
        <v>2</v>
      </c>
      <c r="G1889" s="1537" t="s">
        <v>5850</v>
      </c>
      <c r="H1889" s="1521">
        <v>0</v>
      </c>
      <c r="I1889" s="1521">
        <v>1</v>
      </c>
      <c r="J1889" s="1538">
        <v>1</v>
      </c>
      <c r="K1889" s="1525"/>
      <c r="L1889" s="1519">
        <v>13211010300</v>
      </c>
      <c r="M1889" s="1520">
        <v>1</v>
      </c>
      <c r="N1889" s="1520">
        <v>1</v>
      </c>
      <c r="O1889" s="1521">
        <v>2</v>
      </c>
    </row>
    <row r="1890" spans="3:15" ht="13.5">
      <c r="C1890" s="1526" t="s">
        <v>5851</v>
      </c>
      <c r="D1890" s="1523">
        <v>1</v>
      </c>
      <c r="E1890" s="1523">
        <v>0</v>
      </c>
      <c r="F1890" s="1524">
        <v>1</v>
      </c>
      <c r="G1890" s="1537" t="s">
        <v>5851</v>
      </c>
      <c r="H1890" s="1521">
        <v>1</v>
      </c>
      <c r="I1890" s="1521">
        <v>0</v>
      </c>
      <c r="J1890" s="1538">
        <v>1</v>
      </c>
      <c r="K1890" s="1525"/>
      <c r="L1890" s="1519">
        <v>13211010400</v>
      </c>
      <c r="M1890" s="1520">
        <v>1</v>
      </c>
      <c r="N1890" s="1520">
        <v>0</v>
      </c>
      <c r="O1890" s="1521">
        <v>1</v>
      </c>
    </row>
    <row r="1891" spans="3:15" ht="13.5">
      <c r="C1891" s="1526" t="s">
        <v>5852</v>
      </c>
      <c r="D1891" s="1523">
        <v>1</v>
      </c>
      <c r="E1891" s="1523">
        <v>1</v>
      </c>
      <c r="F1891" s="1524">
        <v>2</v>
      </c>
      <c r="G1891" s="1537" t="s">
        <v>5852</v>
      </c>
      <c r="H1891" s="1521">
        <v>1</v>
      </c>
      <c r="I1891" s="1521">
        <v>0</v>
      </c>
      <c r="J1891" s="1538">
        <v>1</v>
      </c>
      <c r="K1891" s="1525"/>
      <c r="L1891" s="1519">
        <v>13211010500</v>
      </c>
      <c r="M1891" s="1520">
        <v>1</v>
      </c>
      <c r="N1891" s="1520">
        <v>1</v>
      </c>
      <c r="O1891" s="1521">
        <v>2</v>
      </c>
    </row>
    <row r="1892" spans="3:15" ht="13.5">
      <c r="C1892" s="1526" t="s">
        <v>5853</v>
      </c>
      <c r="D1892" s="1523">
        <v>0</v>
      </c>
      <c r="E1892" s="1523">
        <v>0</v>
      </c>
      <c r="F1892" s="1524">
        <v>0</v>
      </c>
      <c r="G1892" s="1537" t="s">
        <v>5853</v>
      </c>
      <c r="H1892" s="1521">
        <v>0</v>
      </c>
      <c r="I1892" s="1521">
        <v>0</v>
      </c>
      <c r="J1892" s="1538">
        <v>0</v>
      </c>
      <c r="K1892" s="1525"/>
      <c r="L1892" s="1519">
        <v>13213010100</v>
      </c>
      <c r="M1892" s="1520">
        <v>0</v>
      </c>
      <c r="N1892" s="1520">
        <v>0</v>
      </c>
      <c r="O1892" s="1521">
        <v>0</v>
      </c>
    </row>
    <row r="1893" spans="3:15" ht="13.5">
      <c r="C1893" s="1526" t="s">
        <v>5854</v>
      </c>
      <c r="D1893" s="1523">
        <v>0</v>
      </c>
      <c r="E1893" s="1523">
        <v>0</v>
      </c>
      <c r="F1893" s="1524">
        <v>0</v>
      </c>
      <c r="G1893" s="1537" t="s">
        <v>5854</v>
      </c>
      <c r="H1893" s="1521">
        <v>0</v>
      </c>
      <c r="I1893" s="1521">
        <v>0</v>
      </c>
      <c r="J1893" s="1538">
        <v>0</v>
      </c>
      <c r="K1893" s="1525"/>
      <c r="L1893" s="1519">
        <v>13213010201</v>
      </c>
      <c r="M1893" s="1520">
        <v>0</v>
      </c>
      <c r="N1893" s="1520">
        <v>0</v>
      </c>
      <c r="O1893" s="1521">
        <v>0</v>
      </c>
    </row>
    <row r="1894" spans="3:15" ht="13.5">
      <c r="C1894" s="1526" t="s">
        <v>5855</v>
      </c>
      <c r="D1894" s="1523">
        <v>0</v>
      </c>
      <c r="E1894" s="1523">
        <v>0</v>
      </c>
      <c r="F1894" s="1524">
        <v>0</v>
      </c>
      <c r="G1894" s="1537" t="s">
        <v>5855</v>
      </c>
      <c r="H1894" s="1521">
        <v>0</v>
      </c>
      <c r="I1894" s="1521">
        <v>0</v>
      </c>
      <c r="J1894" s="1538">
        <v>0</v>
      </c>
      <c r="K1894" s="1525"/>
      <c r="L1894" s="1519">
        <v>13213010202</v>
      </c>
      <c r="M1894" s="1520">
        <v>0</v>
      </c>
      <c r="N1894" s="1520">
        <v>0</v>
      </c>
      <c r="O1894" s="1521">
        <v>0</v>
      </c>
    </row>
    <row r="1895" spans="3:15" ht="13.5">
      <c r="C1895" s="1526" t="s">
        <v>5856</v>
      </c>
      <c r="D1895" s="1523">
        <v>0</v>
      </c>
      <c r="E1895" s="1523">
        <v>0</v>
      </c>
      <c r="F1895" s="1524">
        <v>0</v>
      </c>
      <c r="G1895" s="1537" t="s">
        <v>5856</v>
      </c>
      <c r="H1895" s="1521">
        <v>0</v>
      </c>
      <c r="I1895" s="1521">
        <v>0</v>
      </c>
      <c r="J1895" s="1538">
        <v>0</v>
      </c>
      <c r="K1895" s="1525"/>
      <c r="L1895" s="1519">
        <v>13213010300</v>
      </c>
      <c r="M1895" s="1520">
        <v>0</v>
      </c>
      <c r="N1895" s="1520">
        <v>0</v>
      </c>
      <c r="O1895" s="1521">
        <v>0</v>
      </c>
    </row>
    <row r="1896" spans="3:15" ht="13.5">
      <c r="C1896" s="1526" t="s">
        <v>5857</v>
      </c>
      <c r="D1896" s="1523">
        <v>0</v>
      </c>
      <c r="E1896" s="1523">
        <v>0</v>
      </c>
      <c r="F1896" s="1524">
        <v>0</v>
      </c>
      <c r="G1896" s="1537" t="s">
        <v>5857</v>
      </c>
      <c r="H1896" s="1521">
        <v>0</v>
      </c>
      <c r="I1896" s="1521">
        <v>0</v>
      </c>
      <c r="J1896" s="1538">
        <v>0</v>
      </c>
      <c r="K1896" s="1525"/>
      <c r="L1896" s="1519">
        <v>13213010400</v>
      </c>
      <c r="M1896" s="1520">
        <v>0</v>
      </c>
      <c r="N1896" s="1520">
        <v>0</v>
      </c>
      <c r="O1896" s="1521">
        <v>0</v>
      </c>
    </row>
    <row r="1897" spans="3:15" ht="13.5">
      <c r="C1897" s="1526" t="s">
        <v>5858</v>
      </c>
      <c r="D1897" s="1523">
        <v>0</v>
      </c>
      <c r="E1897" s="1523">
        <v>0</v>
      </c>
      <c r="F1897" s="1524">
        <v>0</v>
      </c>
      <c r="G1897" s="1537" t="s">
        <v>5858</v>
      </c>
      <c r="H1897" s="1521">
        <v>0</v>
      </c>
      <c r="I1897" s="1521">
        <v>0</v>
      </c>
      <c r="J1897" s="1538">
        <v>0</v>
      </c>
      <c r="K1897" s="1525"/>
      <c r="L1897" s="1519">
        <v>13213010500</v>
      </c>
      <c r="M1897" s="1520">
        <v>0</v>
      </c>
      <c r="N1897" s="1520">
        <v>0</v>
      </c>
      <c r="O1897" s="1521">
        <v>0</v>
      </c>
    </row>
    <row r="1898" spans="3:15" ht="13.5">
      <c r="C1898" s="1526" t="s">
        <v>5859</v>
      </c>
      <c r="D1898" s="1523">
        <v>0</v>
      </c>
      <c r="E1898" s="1523">
        <v>0</v>
      </c>
      <c r="F1898" s="1524">
        <v>0</v>
      </c>
      <c r="G1898" s="1537" t="s">
        <v>5859</v>
      </c>
      <c r="H1898" s="1521">
        <v>0</v>
      </c>
      <c r="I1898" s="1521">
        <v>0</v>
      </c>
      <c r="J1898" s="1538">
        <v>0</v>
      </c>
      <c r="K1898" s="1525"/>
      <c r="L1898" s="1519">
        <v>13213010600</v>
      </c>
      <c r="M1898" s="1520">
        <v>0</v>
      </c>
      <c r="N1898" s="1520">
        <v>0</v>
      </c>
      <c r="O1898" s="1521">
        <v>0</v>
      </c>
    </row>
    <row r="1899" spans="3:15" ht="13.5">
      <c r="C1899" s="1526" t="s">
        <v>5860</v>
      </c>
      <c r="D1899" s="1523">
        <v>0</v>
      </c>
      <c r="E1899" s="1523">
        <v>0</v>
      </c>
      <c r="F1899" s="1524">
        <v>0</v>
      </c>
      <c r="G1899" s="1537" t="s">
        <v>5860</v>
      </c>
      <c r="H1899" s="1521">
        <v>0</v>
      </c>
      <c r="I1899" s="1521">
        <v>0</v>
      </c>
      <c r="J1899" s="1538">
        <v>0</v>
      </c>
      <c r="K1899" s="1525"/>
      <c r="L1899" s="1519">
        <v>13213010700</v>
      </c>
      <c r="M1899" s="1520">
        <v>0</v>
      </c>
      <c r="N1899" s="1520">
        <v>0</v>
      </c>
      <c r="O1899" s="1521">
        <v>0</v>
      </c>
    </row>
    <row r="1900" spans="3:15" ht="13.5">
      <c r="C1900" s="1526" t="s">
        <v>5861</v>
      </c>
      <c r="D1900" s="1523">
        <v>0</v>
      </c>
      <c r="E1900" s="1523">
        <v>1</v>
      </c>
      <c r="F1900" s="1524">
        <v>1</v>
      </c>
      <c r="G1900" s="1537" t="s">
        <v>5861</v>
      </c>
      <c r="H1900" s="1521">
        <v>0</v>
      </c>
      <c r="I1900" s="1521">
        <v>1</v>
      </c>
      <c r="J1900" s="1538">
        <v>1</v>
      </c>
      <c r="K1900" s="1525"/>
      <c r="L1900" s="1519">
        <v>13215000200</v>
      </c>
      <c r="M1900" s="1520">
        <v>0</v>
      </c>
      <c r="N1900" s="1520">
        <v>1</v>
      </c>
      <c r="O1900" s="1521">
        <v>1</v>
      </c>
    </row>
    <row r="1901" spans="3:15" ht="13.5">
      <c r="C1901" s="1526" t="s">
        <v>5862</v>
      </c>
      <c r="D1901" s="1523">
        <v>0</v>
      </c>
      <c r="E1901" s="1523">
        <v>0</v>
      </c>
      <c r="F1901" s="1524">
        <v>0</v>
      </c>
      <c r="G1901" s="1537" t="s">
        <v>5862</v>
      </c>
      <c r="H1901" s="1521">
        <v>0</v>
      </c>
      <c r="I1901" s="1521">
        <v>0</v>
      </c>
      <c r="J1901" s="1538">
        <v>0</v>
      </c>
      <c r="K1901" s="1525"/>
      <c r="L1901" s="1519">
        <v>13215000300</v>
      </c>
      <c r="M1901" s="1520">
        <v>0</v>
      </c>
      <c r="N1901" s="1520">
        <v>0</v>
      </c>
      <c r="O1901" s="1521">
        <v>0</v>
      </c>
    </row>
    <row r="1902" spans="3:15" ht="13.5">
      <c r="C1902" s="1526" t="s">
        <v>5863</v>
      </c>
      <c r="D1902" s="1523">
        <v>0</v>
      </c>
      <c r="E1902" s="1523">
        <v>0</v>
      </c>
      <c r="F1902" s="1524">
        <v>0</v>
      </c>
      <c r="G1902" s="1537" t="s">
        <v>5863</v>
      </c>
      <c r="H1902" s="1521">
        <v>0</v>
      </c>
      <c r="I1902" s="1521">
        <v>0</v>
      </c>
      <c r="J1902" s="1538">
        <v>0</v>
      </c>
      <c r="K1902" s="1525"/>
      <c r="L1902" s="1519">
        <v>13215000400</v>
      </c>
      <c r="M1902" s="1520">
        <v>0</v>
      </c>
      <c r="N1902" s="1520">
        <v>0</v>
      </c>
      <c r="O1902" s="1521">
        <v>0</v>
      </c>
    </row>
    <row r="1903" spans="3:15" ht="13.5">
      <c r="C1903" s="1526" t="s">
        <v>5864</v>
      </c>
      <c r="D1903" s="1523">
        <v>0</v>
      </c>
      <c r="E1903" s="1523">
        <v>0</v>
      </c>
      <c r="F1903" s="1524">
        <v>0</v>
      </c>
      <c r="G1903" s="1537" t="s">
        <v>5864</v>
      </c>
      <c r="H1903" s="1521">
        <v>0</v>
      </c>
      <c r="I1903" s="1521">
        <v>0</v>
      </c>
      <c r="J1903" s="1538">
        <v>0</v>
      </c>
      <c r="K1903" s="1525"/>
      <c r="L1903" s="1519">
        <v>13215000800</v>
      </c>
      <c r="M1903" s="1520">
        <v>0</v>
      </c>
      <c r="N1903" s="1520">
        <v>0</v>
      </c>
      <c r="O1903" s="1521">
        <v>0</v>
      </c>
    </row>
    <row r="1904" spans="3:15" ht="13.5">
      <c r="C1904" s="1526" t="s">
        <v>5865</v>
      </c>
      <c r="D1904" s="1523">
        <v>0</v>
      </c>
      <c r="E1904" s="1523">
        <v>0</v>
      </c>
      <c r="F1904" s="1524">
        <v>0</v>
      </c>
      <c r="G1904" s="1537" t="s">
        <v>5865</v>
      </c>
      <c r="H1904" s="1521">
        <v>0</v>
      </c>
      <c r="I1904" s="1521">
        <v>0</v>
      </c>
      <c r="J1904" s="1538">
        <v>0</v>
      </c>
      <c r="K1904" s="1525"/>
      <c r="L1904" s="1519">
        <v>13215000900</v>
      </c>
      <c r="M1904" s="1520">
        <v>0</v>
      </c>
      <c r="N1904" s="1520">
        <v>0</v>
      </c>
      <c r="O1904" s="1521">
        <v>0</v>
      </c>
    </row>
    <row r="1905" spans="3:15" ht="13.5">
      <c r="C1905" s="1526" t="s">
        <v>5866</v>
      </c>
      <c r="D1905" s="1523">
        <v>0</v>
      </c>
      <c r="E1905" s="1523">
        <v>0</v>
      </c>
      <c r="F1905" s="1524">
        <v>0</v>
      </c>
      <c r="G1905" s="1537" t="s">
        <v>5866</v>
      </c>
      <c r="H1905" s="1521">
        <v>0</v>
      </c>
      <c r="I1905" s="1521">
        <v>0</v>
      </c>
      <c r="J1905" s="1538">
        <v>0</v>
      </c>
      <c r="K1905" s="1525"/>
      <c r="L1905" s="1519">
        <v>13215001000</v>
      </c>
      <c r="M1905" s="1520">
        <v>0</v>
      </c>
      <c r="N1905" s="1520">
        <v>0</v>
      </c>
      <c r="O1905" s="1521">
        <v>0</v>
      </c>
    </row>
    <row r="1906" spans="3:15" ht="13.5">
      <c r="C1906" s="1526" t="s">
        <v>5867</v>
      </c>
      <c r="D1906" s="1523">
        <v>1</v>
      </c>
      <c r="E1906" s="1523">
        <v>1</v>
      </c>
      <c r="F1906" s="1524">
        <v>2</v>
      </c>
      <c r="G1906" s="1537" t="s">
        <v>5867</v>
      </c>
      <c r="H1906" s="1521">
        <v>1</v>
      </c>
      <c r="I1906" s="1521">
        <v>1</v>
      </c>
      <c r="J1906" s="1538">
        <v>2</v>
      </c>
      <c r="K1906" s="1525"/>
      <c r="L1906" s="1519">
        <v>13215001100</v>
      </c>
      <c r="M1906" s="1520">
        <v>1</v>
      </c>
      <c r="N1906" s="1520">
        <v>1</v>
      </c>
      <c r="O1906" s="1521">
        <v>2</v>
      </c>
    </row>
    <row r="1907" spans="3:15" ht="13.5">
      <c r="C1907" s="1526" t="s">
        <v>5868</v>
      </c>
      <c r="D1907" s="1523">
        <v>1</v>
      </c>
      <c r="E1907" s="1523">
        <v>1</v>
      </c>
      <c r="F1907" s="1524">
        <v>2</v>
      </c>
      <c r="G1907" s="1537" t="s">
        <v>5868</v>
      </c>
      <c r="H1907" s="1521">
        <v>1</v>
      </c>
      <c r="I1907" s="1521">
        <v>1</v>
      </c>
      <c r="J1907" s="1538">
        <v>2</v>
      </c>
      <c r="K1907" s="1525"/>
      <c r="L1907" s="1519">
        <v>13215001200</v>
      </c>
      <c r="M1907" s="1520">
        <v>1</v>
      </c>
      <c r="N1907" s="1520">
        <v>1</v>
      </c>
      <c r="O1907" s="1521">
        <v>2</v>
      </c>
    </row>
    <row r="1908" spans="3:15" ht="13.5">
      <c r="C1908" s="1526" t="s">
        <v>5869</v>
      </c>
      <c r="D1908" s="1523">
        <v>0</v>
      </c>
      <c r="E1908" s="1523">
        <v>0</v>
      </c>
      <c r="F1908" s="1524">
        <v>0</v>
      </c>
      <c r="G1908" s="1537" t="s">
        <v>5869</v>
      </c>
      <c r="H1908" s="1521">
        <v>0</v>
      </c>
      <c r="I1908" s="1521">
        <v>0</v>
      </c>
      <c r="J1908" s="1538">
        <v>0</v>
      </c>
      <c r="K1908" s="1525"/>
      <c r="L1908" s="1519">
        <v>13215001400</v>
      </c>
      <c r="M1908" s="1520">
        <v>0</v>
      </c>
      <c r="N1908" s="1520">
        <v>0</v>
      </c>
      <c r="O1908" s="1521">
        <v>0</v>
      </c>
    </row>
    <row r="1909" spans="3:15" ht="13.5">
      <c r="C1909" s="1526" t="s">
        <v>5870</v>
      </c>
      <c r="D1909" s="1523">
        <v>0</v>
      </c>
      <c r="E1909" s="1523">
        <v>0</v>
      </c>
      <c r="F1909" s="1524">
        <v>0</v>
      </c>
      <c r="G1909" s="1537" t="s">
        <v>5870</v>
      </c>
      <c r="H1909" s="1521">
        <v>0</v>
      </c>
      <c r="I1909" s="1521" t="s">
        <v>4099</v>
      </c>
      <c r="J1909" s="1538">
        <v>0</v>
      </c>
      <c r="K1909" s="1525"/>
      <c r="L1909" s="1519">
        <v>13215001600</v>
      </c>
      <c r="M1909" s="1520">
        <v>0</v>
      </c>
      <c r="N1909" s="1520">
        <v>0</v>
      </c>
      <c r="O1909" s="1521">
        <v>0</v>
      </c>
    </row>
    <row r="1910" spans="3:15" ht="13.5">
      <c r="C1910" s="1526" t="s">
        <v>5871</v>
      </c>
      <c r="D1910" s="1523">
        <v>0</v>
      </c>
      <c r="E1910" s="1523">
        <v>0</v>
      </c>
      <c r="F1910" s="1524">
        <v>0</v>
      </c>
      <c r="G1910" s="1537" t="s">
        <v>5871</v>
      </c>
      <c r="H1910" s="1521">
        <v>0</v>
      </c>
      <c r="I1910" s="1521">
        <v>0</v>
      </c>
      <c r="J1910" s="1538">
        <v>0</v>
      </c>
      <c r="K1910" s="1525"/>
      <c r="L1910" s="1519">
        <v>13215001800</v>
      </c>
      <c r="M1910" s="1520">
        <v>0</v>
      </c>
      <c r="N1910" s="1520">
        <v>0</v>
      </c>
      <c r="O1910" s="1521">
        <v>0</v>
      </c>
    </row>
    <row r="1911" spans="3:15" ht="13.5">
      <c r="C1911" s="1526" t="s">
        <v>5872</v>
      </c>
      <c r="D1911" s="1523">
        <v>0</v>
      </c>
      <c r="E1911" s="1523">
        <v>0</v>
      </c>
      <c r="F1911" s="1524">
        <v>0</v>
      </c>
      <c r="G1911" s="1537" t="s">
        <v>5872</v>
      </c>
      <c r="H1911" s="1521">
        <v>0</v>
      </c>
      <c r="I1911" s="1521">
        <v>0</v>
      </c>
      <c r="J1911" s="1538">
        <v>0</v>
      </c>
      <c r="K1911" s="1525"/>
      <c r="L1911" s="1519">
        <v>13215002000</v>
      </c>
      <c r="M1911" s="1520">
        <v>0</v>
      </c>
      <c r="N1911" s="1520">
        <v>0</v>
      </c>
      <c r="O1911" s="1521">
        <v>0</v>
      </c>
    </row>
    <row r="1912" spans="3:15" ht="13.5">
      <c r="C1912" s="1526" t="s">
        <v>5873</v>
      </c>
      <c r="D1912" s="1523">
        <v>0</v>
      </c>
      <c r="E1912" s="1523">
        <v>0</v>
      </c>
      <c r="F1912" s="1524">
        <v>0</v>
      </c>
      <c r="G1912" s="1537" t="s">
        <v>5873</v>
      </c>
      <c r="H1912" s="1521">
        <v>0</v>
      </c>
      <c r="I1912" s="1521">
        <v>0</v>
      </c>
      <c r="J1912" s="1538">
        <v>0</v>
      </c>
      <c r="K1912" s="1525"/>
      <c r="L1912" s="1519">
        <v>13215002100</v>
      </c>
      <c r="M1912" s="1520">
        <v>0</v>
      </c>
      <c r="N1912" s="1520">
        <v>0</v>
      </c>
      <c r="O1912" s="1521">
        <v>0</v>
      </c>
    </row>
    <row r="1913" spans="3:15" ht="13.5">
      <c r="C1913" s="1526" t="s">
        <v>5874</v>
      </c>
      <c r="D1913" s="1523">
        <v>0</v>
      </c>
      <c r="E1913" s="1523">
        <v>0</v>
      </c>
      <c r="F1913" s="1524">
        <v>0</v>
      </c>
      <c r="G1913" s="1537" t="s">
        <v>5874</v>
      </c>
      <c r="H1913" s="1521">
        <v>0</v>
      </c>
      <c r="I1913" s="1521">
        <v>0</v>
      </c>
      <c r="J1913" s="1538">
        <v>0</v>
      </c>
      <c r="K1913" s="1525"/>
      <c r="L1913" s="1519">
        <v>13215002200</v>
      </c>
      <c r="M1913" s="1520">
        <v>0</v>
      </c>
      <c r="N1913" s="1520">
        <v>0</v>
      </c>
      <c r="O1913" s="1521">
        <v>0</v>
      </c>
    </row>
    <row r="1914" spans="3:15" ht="13.5">
      <c r="C1914" s="1526" t="s">
        <v>5875</v>
      </c>
      <c r="D1914" s="1523">
        <v>0</v>
      </c>
      <c r="E1914" s="1523">
        <v>0</v>
      </c>
      <c r="F1914" s="1524">
        <v>0</v>
      </c>
      <c r="G1914" s="1537" t="s">
        <v>5875</v>
      </c>
      <c r="H1914" s="1521">
        <v>0</v>
      </c>
      <c r="I1914" s="1521">
        <v>0</v>
      </c>
      <c r="J1914" s="1538">
        <v>0</v>
      </c>
      <c r="K1914" s="1525"/>
      <c r="L1914" s="1519">
        <v>13215002300</v>
      </c>
      <c r="M1914" s="1520">
        <v>0</v>
      </c>
      <c r="N1914" s="1520">
        <v>0</v>
      </c>
      <c r="O1914" s="1521">
        <v>0</v>
      </c>
    </row>
    <row r="1915" spans="3:15" ht="13.5">
      <c r="C1915" s="1526" t="s">
        <v>5876</v>
      </c>
      <c r="D1915" s="1523">
        <v>0</v>
      </c>
      <c r="E1915" s="1523">
        <v>0</v>
      </c>
      <c r="F1915" s="1524">
        <v>0</v>
      </c>
      <c r="G1915" s="1537" t="s">
        <v>5876</v>
      </c>
      <c r="H1915" s="1521">
        <v>0</v>
      </c>
      <c r="I1915" s="1521">
        <v>0</v>
      </c>
      <c r="J1915" s="1538">
        <v>0</v>
      </c>
      <c r="K1915" s="1525"/>
      <c r="L1915" s="1519">
        <v>13215002400</v>
      </c>
      <c r="M1915" s="1520">
        <v>0</v>
      </c>
      <c r="N1915" s="1520">
        <v>0</v>
      </c>
      <c r="O1915" s="1521">
        <v>0</v>
      </c>
    </row>
    <row r="1916" spans="3:15" ht="13.5">
      <c r="C1916" s="1526" t="s">
        <v>5877</v>
      </c>
      <c r="D1916" s="1523">
        <v>0</v>
      </c>
      <c r="E1916" s="1523">
        <v>0</v>
      </c>
      <c r="F1916" s="1524">
        <v>0</v>
      </c>
      <c r="G1916" s="1537" t="s">
        <v>5877</v>
      </c>
      <c r="H1916" s="1521">
        <v>0</v>
      </c>
      <c r="I1916" s="1521">
        <v>0</v>
      </c>
      <c r="J1916" s="1538">
        <v>0</v>
      </c>
      <c r="K1916" s="1525"/>
      <c r="L1916" s="1519">
        <v>13215002500</v>
      </c>
      <c r="M1916" s="1520">
        <v>0</v>
      </c>
      <c r="N1916" s="1520">
        <v>0</v>
      </c>
      <c r="O1916" s="1521">
        <v>0</v>
      </c>
    </row>
    <row r="1917" spans="3:15" ht="13.5">
      <c r="C1917" s="1526" t="s">
        <v>5878</v>
      </c>
      <c r="D1917" s="1523">
        <v>0</v>
      </c>
      <c r="E1917" s="1523">
        <v>0</v>
      </c>
      <c r="F1917" s="1524">
        <v>0</v>
      </c>
      <c r="G1917" s="1537" t="s">
        <v>5878</v>
      </c>
      <c r="H1917" s="1521">
        <v>0</v>
      </c>
      <c r="I1917" s="1521">
        <v>0</v>
      </c>
      <c r="J1917" s="1538">
        <v>0</v>
      </c>
      <c r="K1917" s="1525"/>
      <c r="L1917" s="1519">
        <v>13215002700</v>
      </c>
      <c r="M1917" s="1520">
        <v>0</v>
      </c>
      <c r="N1917" s="1520">
        <v>0</v>
      </c>
      <c r="O1917" s="1521">
        <v>0</v>
      </c>
    </row>
    <row r="1918" spans="3:15" ht="13.5">
      <c r="C1918" s="1526" t="s">
        <v>5879</v>
      </c>
      <c r="D1918" s="1523">
        <v>0</v>
      </c>
      <c r="E1918" s="1523">
        <v>0</v>
      </c>
      <c r="F1918" s="1524">
        <v>0</v>
      </c>
      <c r="G1918" s="1537" t="s">
        <v>5879</v>
      </c>
      <c r="H1918" s="1521">
        <v>0</v>
      </c>
      <c r="I1918" s="1521">
        <v>0</v>
      </c>
      <c r="J1918" s="1538">
        <v>0</v>
      </c>
      <c r="K1918" s="1525"/>
      <c r="L1918" s="1519">
        <v>13215002800</v>
      </c>
      <c r="M1918" s="1520">
        <v>0</v>
      </c>
      <c r="N1918" s="1520">
        <v>0</v>
      </c>
      <c r="O1918" s="1521">
        <v>0</v>
      </c>
    </row>
    <row r="1919" spans="3:15" ht="13.5">
      <c r="C1919" s="1526" t="s">
        <v>5880</v>
      </c>
      <c r="D1919" s="1523">
        <v>0</v>
      </c>
      <c r="E1919" s="1523">
        <v>0</v>
      </c>
      <c r="F1919" s="1524">
        <v>0</v>
      </c>
      <c r="G1919" s="1537" t="s">
        <v>5880</v>
      </c>
      <c r="H1919" s="1521">
        <v>0</v>
      </c>
      <c r="I1919" s="1521">
        <v>0</v>
      </c>
      <c r="J1919" s="1538">
        <v>0</v>
      </c>
      <c r="K1919" s="1525"/>
      <c r="L1919" s="1519">
        <v>13215002901</v>
      </c>
      <c r="M1919" s="1520">
        <v>0</v>
      </c>
      <c r="N1919" s="1520">
        <v>0</v>
      </c>
      <c r="O1919" s="1521">
        <v>0</v>
      </c>
    </row>
    <row r="1920" spans="3:15" ht="13.5">
      <c r="C1920" s="1526" t="s">
        <v>5881</v>
      </c>
      <c r="D1920" s="1523">
        <v>0</v>
      </c>
      <c r="E1920" s="1523">
        <v>0</v>
      </c>
      <c r="F1920" s="1524">
        <v>0</v>
      </c>
      <c r="G1920" s="1537" t="s">
        <v>5881</v>
      </c>
      <c r="H1920" s="1521">
        <v>0</v>
      </c>
      <c r="I1920" s="1521">
        <v>0</v>
      </c>
      <c r="J1920" s="1538">
        <v>0</v>
      </c>
      <c r="K1920" s="1525"/>
      <c r="L1920" s="1519">
        <v>13215002902</v>
      </c>
      <c r="M1920" s="1520">
        <v>0</v>
      </c>
      <c r="N1920" s="1520">
        <v>0</v>
      </c>
      <c r="O1920" s="1521">
        <v>0</v>
      </c>
    </row>
    <row r="1921" spans="3:15" ht="13.5">
      <c r="C1921" s="1526" t="s">
        <v>5882</v>
      </c>
      <c r="D1921" s="1523">
        <v>0</v>
      </c>
      <c r="E1921" s="1523">
        <v>0</v>
      </c>
      <c r="F1921" s="1524">
        <v>0</v>
      </c>
      <c r="G1921" s="1537" t="s">
        <v>5882</v>
      </c>
      <c r="H1921" s="1521">
        <v>0</v>
      </c>
      <c r="I1921" s="1521" t="s">
        <v>4099</v>
      </c>
      <c r="J1921" s="1538">
        <v>0</v>
      </c>
      <c r="K1921" s="1525"/>
      <c r="L1921" s="1519">
        <v>13215003000</v>
      </c>
      <c r="M1921" s="1520">
        <v>0</v>
      </c>
      <c r="N1921" s="1520">
        <v>0</v>
      </c>
      <c r="O1921" s="1521">
        <v>0</v>
      </c>
    </row>
    <row r="1922" spans="3:15" ht="13.5">
      <c r="C1922" s="1526" t="s">
        <v>5883</v>
      </c>
      <c r="D1922" s="1523">
        <v>0</v>
      </c>
      <c r="E1922" s="1523">
        <v>0</v>
      </c>
      <c r="F1922" s="1524">
        <v>0</v>
      </c>
      <c r="G1922" s="1537" t="s">
        <v>5883</v>
      </c>
      <c r="H1922" s="1521">
        <v>0</v>
      </c>
      <c r="I1922" s="1521">
        <v>0</v>
      </c>
      <c r="J1922" s="1538">
        <v>0</v>
      </c>
      <c r="K1922" s="1525"/>
      <c r="L1922" s="1519">
        <v>13215003200</v>
      </c>
      <c r="M1922" s="1520">
        <v>0</v>
      </c>
      <c r="N1922" s="1520">
        <v>0</v>
      </c>
      <c r="O1922" s="1521">
        <v>0</v>
      </c>
    </row>
    <row r="1923" spans="3:15" ht="13.5">
      <c r="C1923" s="1526" t="s">
        <v>5884</v>
      </c>
      <c r="D1923" s="1523">
        <v>0</v>
      </c>
      <c r="E1923" s="1523">
        <v>0</v>
      </c>
      <c r="F1923" s="1524">
        <v>0</v>
      </c>
      <c r="G1923" s="1537" t="s">
        <v>5884</v>
      </c>
      <c r="H1923" s="1521">
        <v>0</v>
      </c>
      <c r="I1923" s="1521">
        <v>0</v>
      </c>
      <c r="J1923" s="1538">
        <v>0</v>
      </c>
      <c r="K1923" s="1525"/>
      <c r="L1923" s="1519">
        <v>13215003301</v>
      </c>
      <c r="M1923" s="1520">
        <v>0</v>
      </c>
      <c r="N1923" s="1520">
        <v>0</v>
      </c>
      <c r="O1923" s="1521">
        <v>0</v>
      </c>
    </row>
    <row r="1924" spans="3:15" ht="13.5">
      <c r="C1924" s="1526" t="s">
        <v>5885</v>
      </c>
      <c r="D1924" s="1523">
        <v>0</v>
      </c>
      <c r="E1924" s="1523">
        <v>0</v>
      </c>
      <c r="F1924" s="1524">
        <v>0</v>
      </c>
      <c r="G1924" s="1537" t="s">
        <v>5885</v>
      </c>
      <c r="H1924" s="1521">
        <v>0</v>
      </c>
      <c r="I1924" s="1521">
        <v>0</v>
      </c>
      <c r="J1924" s="1538">
        <v>0</v>
      </c>
      <c r="K1924" s="1525"/>
      <c r="L1924" s="1519">
        <v>13215003302</v>
      </c>
      <c r="M1924" s="1520">
        <v>0</v>
      </c>
      <c r="N1924" s="1520">
        <v>0</v>
      </c>
      <c r="O1924" s="1521">
        <v>0</v>
      </c>
    </row>
    <row r="1925" spans="3:15" ht="13.5">
      <c r="C1925" s="1526" t="s">
        <v>5886</v>
      </c>
      <c r="D1925" s="1523">
        <v>0</v>
      </c>
      <c r="E1925" s="1523">
        <v>0</v>
      </c>
      <c r="F1925" s="1524">
        <v>0</v>
      </c>
      <c r="G1925" s="1537" t="s">
        <v>5886</v>
      </c>
      <c r="H1925" s="1521">
        <v>0</v>
      </c>
      <c r="I1925" s="1521">
        <v>0</v>
      </c>
      <c r="J1925" s="1538">
        <v>0</v>
      </c>
      <c r="K1925" s="1525"/>
      <c r="L1925" s="1519">
        <v>13215003400</v>
      </c>
      <c r="M1925" s="1520">
        <v>0</v>
      </c>
      <c r="N1925" s="1520">
        <v>0</v>
      </c>
      <c r="O1925" s="1521">
        <v>0</v>
      </c>
    </row>
    <row r="1926" spans="3:15" ht="13.5">
      <c r="C1926" s="1526" t="s">
        <v>5887</v>
      </c>
      <c r="D1926" s="1523">
        <v>1</v>
      </c>
      <c r="E1926" s="1523">
        <v>1</v>
      </c>
      <c r="F1926" s="1524">
        <v>2</v>
      </c>
      <c r="G1926" s="1537" t="s">
        <v>5887</v>
      </c>
      <c r="H1926" s="1521">
        <v>1</v>
      </c>
      <c r="I1926" s="1521">
        <v>1</v>
      </c>
      <c r="J1926" s="1538">
        <v>2</v>
      </c>
      <c r="K1926" s="1525"/>
      <c r="L1926" s="1519">
        <v>13215010104</v>
      </c>
      <c r="M1926" s="1520">
        <v>1</v>
      </c>
      <c r="N1926" s="1520">
        <v>1</v>
      </c>
      <c r="O1926" s="1521">
        <v>2</v>
      </c>
    </row>
    <row r="1927" spans="3:15" ht="13.5">
      <c r="C1927" s="1526" t="s">
        <v>5888</v>
      </c>
      <c r="D1927" s="1523">
        <v>0</v>
      </c>
      <c r="E1927" s="1523">
        <v>1</v>
      </c>
      <c r="F1927" s="1524">
        <v>1</v>
      </c>
      <c r="G1927" s="1537" t="s">
        <v>5888</v>
      </c>
      <c r="H1927" s="1521">
        <v>0</v>
      </c>
      <c r="I1927" s="1521">
        <v>1</v>
      </c>
      <c r="J1927" s="1538">
        <v>1</v>
      </c>
      <c r="K1927" s="1525"/>
      <c r="L1927" s="1519">
        <v>13215010106</v>
      </c>
      <c r="M1927" s="1520">
        <v>0</v>
      </c>
      <c r="N1927" s="1520">
        <v>1</v>
      </c>
      <c r="O1927" s="1521">
        <v>1</v>
      </c>
    </row>
    <row r="1928" spans="3:15" ht="13.5">
      <c r="C1928" s="1526" t="s">
        <v>5889</v>
      </c>
      <c r="D1928" s="1523">
        <v>1</v>
      </c>
      <c r="E1928" s="1523">
        <v>1</v>
      </c>
      <c r="F1928" s="1524">
        <v>2</v>
      </c>
      <c r="G1928" s="1537" t="s">
        <v>5889</v>
      </c>
      <c r="H1928" s="1521">
        <v>1</v>
      </c>
      <c r="I1928" s="1521">
        <v>1</v>
      </c>
      <c r="J1928" s="1538">
        <v>2</v>
      </c>
      <c r="K1928" s="1525"/>
      <c r="L1928" s="1519">
        <v>13215010107</v>
      </c>
      <c r="M1928" s="1520">
        <v>1</v>
      </c>
      <c r="N1928" s="1520">
        <v>1</v>
      </c>
      <c r="O1928" s="1521">
        <v>2</v>
      </c>
    </row>
    <row r="1929" spans="3:15" ht="13.5">
      <c r="C1929" s="1526" t="s">
        <v>5890</v>
      </c>
      <c r="D1929" s="1523">
        <v>1</v>
      </c>
      <c r="E1929" s="1523">
        <v>1</v>
      </c>
      <c r="F1929" s="1524">
        <v>2</v>
      </c>
      <c r="G1929" s="1537" t="s">
        <v>5890</v>
      </c>
      <c r="H1929" s="1521">
        <v>1</v>
      </c>
      <c r="I1929" s="1521">
        <v>1</v>
      </c>
      <c r="J1929" s="1538">
        <v>2</v>
      </c>
      <c r="K1929" s="1525"/>
      <c r="L1929" s="1519">
        <v>13215010201</v>
      </c>
      <c r="M1929" s="1520">
        <v>1</v>
      </c>
      <c r="N1929" s="1520">
        <v>1</v>
      </c>
      <c r="O1929" s="1521">
        <v>2</v>
      </c>
    </row>
    <row r="1930" spans="3:15" ht="13.5">
      <c r="C1930" s="1526" t="s">
        <v>5891</v>
      </c>
      <c r="D1930" s="1523">
        <v>1</v>
      </c>
      <c r="E1930" s="1523">
        <v>1</v>
      </c>
      <c r="F1930" s="1524">
        <v>2</v>
      </c>
      <c r="G1930" s="1537" t="s">
        <v>5891</v>
      </c>
      <c r="H1930" s="1521">
        <v>1</v>
      </c>
      <c r="I1930" s="1521">
        <v>1</v>
      </c>
      <c r="J1930" s="1538">
        <v>2</v>
      </c>
      <c r="K1930" s="1525"/>
      <c r="L1930" s="1519">
        <v>13215010203</v>
      </c>
      <c r="M1930" s="1520">
        <v>1</v>
      </c>
      <c r="N1930" s="1520">
        <v>1</v>
      </c>
      <c r="O1930" s="1521">
        <v>2</v>
      </c>
    </row>
    <row r="1931" spans="3:15" ht="13.5">
      <c r="C1931" s="1526" t="s">
        <v>5892</v>
      </c>
      <c r="D1931" s="1523">
        <v>1</v>
      </c>
      <c r="E1931" s="1523">
        <v>1</v>
      </c>
      <c r="F1931" s="1524">
        <v>2</v>
      </c>
      <c r="G1931" s="1537" t="s">
        <v>5892</v>
      </c>
      <c r="H1931" s="1521">
        <v>1</v>
      </c>
      <c r="I1931" s="1521">
        <v>1</v>
      </c>
      <c r="J1931" s="1538">
        <v>2</v>
      </c>
      <c r="K1931" s="1525"/>
      <c r="L1931" s="1519">
        <v>13215010204</v>
      </c>
      <c r="M1931" s="1520">
        <v>1</v>
      </c>
      <c r="N1931" s="1520">
        <v>1</v>
      </c>
      <c r="O1931" s="1521">
        <v>2</v>
      </c>
    </row>
    <row r="1932" spans="3:15" ht="13.5">
      <c r="C1932" s="1526" t="s">
        <v>5893</v>
      </c>
      <c r="D1932" s="1523">
        <v>1</v>
      </c>
      <c r="E1932" s="1523">
        <v>1</v>
      </c>
      <c r="F1932" s="1524">
        <v>2</v>
      </c>
      <c r="G1932" s="1537" t="s">
        <v>5893</v>
      </c>
      <c r="H1932" s="1521">
        <v>1</v>
      </c>
      <c r="I1932" s="1521">
        <v>1</v>
      </c>
      <c r="J1932" s="1538">
        <v>2</v>
      </c>
      <c r="K1932" s="1525"/>
      <c r="L1932" s="1519">
        <v>13215010205</v>
      </c>
      <c r="M1932" s="1520">
        <v>1</v>
      </c>
      <c r="N1932" s="1520">
        <v>1</v>
      </c>
      <c r="O1932" s="1521">
        <v>2</v>
      </c>
    </row>
    <row r="1933" spans="3:15" ht="13.5">
      <c r="C1933" s="1526" t="s">
        <v>5894</v>
      </c>
      <c r="D1933" s="1523">
        <v>1</v>
      </c>
      <c r="E1933" s="1523">
        <v>1</v>
      </c>
      <c r="F1933" s="1524">
        <v>2</v>
      </c>
      <c r="G1933" s="1537" t="s">
        <v>5894</v>
      </c>
      <c r="H1933" s="1521">
        <v>1</v>
      </c>
      <c r="I1933" s="1521">
        <v>1</v>
      </c>
      <c r="J1933" s="1538">
        <v>2</v>
      </c>
      <c r="K1933" s="1525"/>
      <c r="L1933" s="1519">
        <v>13215010301</v>
      </c>
      <c r="M1933" s="1520">
        <v>1</v>
      </c>
      <c r="N1933" s="1520">
        <v>1</v>
      </c>
      <c r="O1933" s="1521">
        <v>2</v>
      </c>
    </row>
    <row r="1934" spans="3:15" ht="13.5">
      <c r="C1934" s="1526" t="s">
        <v>5895</v>
      </c>
      <c r="D1934" s="1523">
        <v>1</v>
      </c>
      <c r="E1934" s="1523">
        <v>1</v>
      </c>
      <c r="F1934" s="1524">
        <v>2</v>
      </c>
      <c r="G1934" s="1537" t="s">
        <v>5895</v>
      </c>
      <c r="H1934" s="1521">
        <v>1</v>
      </c>
      <c r="I1934" s="1521">
        <v>1</v>
      </c>
      <c r="J1934" s="1538">
        <v>2</v>
      </c>
      <c r="K1934" s="1525"/>
      <c r="L1934" s="1519">
        <v>13215010302</v>
      </c>
      <c r="M1934" s="1520">
        <v>1</v>
      </c>
      <c r="N1934" s="1520">
        <v>1</v>
      </c>
      <c r="O1934" s="1521">
        <v>2</v>
      </c>
    </row>
    <row r="1935" spans="3:15" ht="13.5">
      <c r="C1935" s="1526" t="s">
        <v>5896</v>
      </c>
      <c r="D1935" s="1523">
        <v>1</v>
      </c>
      <c r="E1935" s="1523">
        <v>1</v>
      </c>
      <c r="F1935" s="1524">
        <v>2</v>
      </c>
      <c r="G1935" s="1537" t="s">
        <v>5896</v>
      </c>
      <c r="H1935" s="1521">
        <v>1</v>
      </c>
      <c r="I1935" s="1521">
        <v>1</v>
      </c>
      <c r="J1935" s="1538">
        <v>2</v>
      </c>
      <c r="K1935" s="1525"/>
      <c r="L1935" s="1519">
        <v>13215010401</v>
      </c>
      <c r="M1935" s="1520">
        <v>1</v>
      </c>
      <c r="N1935" s="1520">
        <v>1</v>
      </c>
      <c r="O1935" s="1521">
        <v>2</v>
      </c>
    </row>
    <row r="1936" spans="3:15" ht="13.5">
      <c r="C1936" s="1526" t="s">
        <v>5897</v>
      </c>
      <c r="D1936" s="1523">
        <v>1</v>
      </c>
      <c r="E1936" s="1523">
        <v>0</v>
      </c>
      <c r="F1936" s="1524">
        <v>1</v>
      </c>
      <c r="G1936" s="1537" t="s">
        <v>5897</v>
      </c>
      <c r="H1936" s="1521">
        <v>1</v>
      </c>
      <c r="I1936" s="1521">
        <v>0</v>
      </c>
      <c r="J1936" s="1538">
        <v>0</v>
      </c>
      <c r="K1936" s="1525"/>
      <c r="L1936" s="1519">
        <v>13215010402</v>
      </c>
      <c r="M1936" s="1520">
        <v>1</v>
      </c>
      <c r="N1936" s="1520">
        <v>0</v>
      </c>
      <c r="O1936" s="1521">
        <v>1</v>
      </c>
    </row>
    <row r="1937" spans="3:15" ht="13.5">
      <c r="C1937" s="1526" t="s">
        <v>5898</v>
      </c>
      <c r="D1937" s="1523">
        <v>1</v>
      </c>
      <c r="E1937" s="1523">
        <v>0</v>
      </c>
      <c r="F1937" s="1524">
        <v>1</v>
      </c>
      <c r="G1937" s="1537" t="s">
        <v>5898</v>
      </c>
      <c r="H1937" s="1521">
        <v>0</v>
      </c>
      <c r="I1937" s="1521">
        <v>1</v>
      </c>
      <c r="J1937" s="1538">
        <v>1</v>
      </c>
      <c r="K1937" s="1525"/>
      <c r="L1937" s="1519">
        <v>13215010501</v>
      </c>
      <c r="M1937" s="1520">
        <v>1</v>
      </c>
      <c r="N1937" s="1520">
        <v>1</v>
      </c>
      <c r="O1937" s="1521">
        <v>1</v>
      </c>
    </row>
    <row r="1938" spans="3:15" ht="13.5">
      <c r="C1938" s="1526" t="s">
        <v>5899</v>
      </c>
      <c r="D1938" s="1523">
        <v>0</v>
      </c>
      <c r="E1938" s="1523">
        <v>0</v>
      </c>
      <c r="F1938" s="1524">
        <v>0</v>
      </c>
      <c r="G1938" s="1537" t="s">
        <v>5899</v>
      </c>
      <c r="H1938" s="1521">
        <v>0</v>
      </c>
      <c r="I1938" s="1521">
        <v>0</v>
      </c>
      <c r="J1938" s="1538">
        <v>0</v>
      </c>
      <c r="K1938" s="1525"/>
      <c r="L1938" s="1519">
        <v>13215010502</v>
      </c>
      <c r="M1938" s="1520">
        <v>0</v>
      </c>
      <c r="N1938" s="1520">
        <v>0</v>
      </c>
      <c r="O1938" s="1521">
        <v>0</v>
      </c>
    </row>
    <row r="1939" spans="3:15" ht="13.5">
      <c r="C1939" s="1526" t="s">
        <v>5900</v>
      </c>
      <c r="D1939" s="1523">
        <v>0</v>
      </c>
      <c r="E1939" s="1523">
        <v>0</v>
      </c>
      <c r="F1939" s="1524">
        <v>0</v>
      </c>
      <c r="G1939" s="1537" t="s">
        <v>5900</v>
      </c>
      <c r="H1939" s="1521">
        <v>0</v>
      </c>
      <c r="I1939" s="1521">
        <v>0</v>
      </c>
      <c r="J1939" s="1538">
        <v>0</v>
      </c>
      <c r="K1939" s="1525"/>
      <c r="L1939" s="1519">
        <v>13215010602</v>
      </c>
      <c r="M1939" s="1520">
        <v>0</v>
      </c>
      <c r="N1939" s="1520">
        <v>0</v>
      </c>
      <c r="O1939" s="1521">
        <v>0</v>
      </c>
    </row>
    <row r="1940" spans="3:15" ht="13.5">
      <c r="C1940" s="1526" t="s">
        <v>5901</v>
      </c>
      <c r="D1940" s="1523">
        <v>0</v>
      </c>
      <c r="E1940" s="1523">
        <v>0</v>
      </c>
      <c r="F1940" s="1524">
        <v>0</v>
      </c>
      <c r="G1940" s="1537" t="s">
        <v>5901</v>
      </c>
      <c r="H1940" s="1521">
        <v>0</v>
      </c>
      <c r="I1940" s="1521">
        <v>1</v>
      </c>
      <c r="J1940" s="1538">
        <v>1</v>
      </c>
      <c r="K1940" s="1525"/>
      <c r="L1940" s="1519">
        <v>13215010605</v>
      </c>
      <c r="M1940" s="1520">
        <v>0</v>
      </c>
      <c r="N1940" s="1520">
        <v>1</v>
      </c>
      <c r="O1940" s="1521">
        <v>1</v>
      </c>
    </row>
    <row r="1941" spans="3:15" ht="13.5">
      <c r="C1941" s="1526" t="s">
        <v>5902</v>
      </c>
      <c r="D1941" s="1523" t="s">
        <v>4099</v>
      </c>
      <c r="E1941" s="1523">
        <v>0</v>
      </c>
      <c r="F1941" s="1524">
        <v>0</v>
      </c>
      <c r="G1941" s="1537" t="s">
        <v>5902</v>
      </c>
      <c r="H1941" s="1521" t="s">
        <v>4099</v>
      </c>
      <c r="I1941" s="1521" t="s">
        <v>4099</v>
      </c>
      <c r="J1941" s="1538">
        <v>0</v>
      </c>
      <c r="K1941" s="1525"/>
      <c r="L1941" s="1519">
        <v>13215010606</v>
      </c>
      <c r="M1941" s="1520">
        <v>0</v>
      </c>
      <c r="N1941" s="1520">
        <v>0</v>
      </c>
      <c r="O1941" s="1521">
        <v>0</v>
      </c>
    </row>
    <row r="1942" spans="3:15" ht="13.5">
      <c r="C1942" s="1526" t="s">
        <v>5903</v>
      </c>
      <c r="D1942" s="1523">
        <v>0</v>
      </c>
      <c r="E1942" s="1523">
        <v>0</v>
      </c>
      <c r="F1942" s="1524">
        <v>0</v>
      </c>
      <c r="G1942" s="1537" t="s">
        <v>5903</v>
      </c>
      <c r="H1942" s="1521">
        <v>0</v>
      </c>
      <c r="I1942" s="1521">
        <v>0</v>
      </c>
      <c r="J1942" s="1538">
        <v>0</v>
      </c>
      <c r="K1942" s="1525"/>
      <c r="L1942" s="1519">
        <v>13215010607</v>
      </c>
      <c r="M1942" s="1520">
        <v>0</v>
      </c>
      <c r="N1942" s="1520">
        <v>0</v>
      </c>
      <c r="O1942" s="1521">
        <v>0</v>
      </c>
    </row>
    <row r="1943" spans="3:15" ht="13.5">
      <c r="C1943" s="1526" t="s">
        <v>5904</v>
      </c>
      <c r="D1943" s="1523">
        <v>0</v>
      </c>
      <c r="E1943" s="1523">
        <v>0</v>
      </c>
      <c r="F1943" s="1524">
        <v>0</v>
      </c>
      <c r="G1943" s="1537" t="s">
        <v>5904</v>
      </c>
      <c r="H1943" s="1521">
        <v>0</v>
      </c>
      <c r="I1943" s="1521">
        <v>0</v>
      </c>
      <c r="J1943" s="1538">
        <v>0</v>
      </c>
      <c r="K1943" s="1525"/>
      <c r="L1943" s="1519">
        <v>13215010608</v>
      </c>
      <c r="M1943" s="1520">
        <v>0</v>
      </c>
      <c r="N1943" s="1520">
        <v>0</v>
      </c>
      <c r="O1943" s="1521">
        <v>0</v>
      </c>
    </row>
    <row r="1944" spans="3:15" ht="13.5">
      <c r="C1944" s="1526" t="s">
        <v>5905</v>
      </c>
      <c r="D1944" s="1523">
        <v>0</v>
      </c>
      <c r="E1944" s="1523">
        <v>0</v>
      </c>
      <c r="F1944" s="1524">
        <v>0</v>
      </c>
      <c r="G1944" s="1537" t="s">
        <v>5905</v>
      </c>
      <c r="H1944" s="1521">
        <v>0</v>
      </c>
      <c r="I1944" s="1521">
        <v>0</v>
      </c>
      <c r="J1944" s="1538">
        <v>0</v>
      </c>
      <c r="K1944" s="1525"/>
      <c r="L1944" s="1519">
        <v>13215010701</v>
      </c>
      <c r="M1944" s="1520">
        <v>0</v>
      </c>
      <c r="N1944" s="1520">
        <v>0</v>
      </c>
      <c r="O1944" s="1521">
        <v>0</v>
      </c>
    </row>
    <row r="1945" spans="3:15" ht="13.5">
      <c r="C1945" s="1526" t="s">
        <v>5906</v>
      </c>
      <c r="D1945" s="1523">
        <v>0</v>
      </c>
      <c r="E1945" s="1523">
        <v>0</v>
      </c>
      <c r="F1945" s="1524">
        <v>0</v>
      </c>
      <c r="G1945" s="1537" t="s">
        <v>5906</v>
      </c>
      <c r="H1945" s="1521">
        <v>1</v>
      </c>
      <c r="I1945" s="1521">
        <v>0</v>
      </c>
      <c r="J1945" s="1538">
        <v>0</v>
      </c>
      <c r="K1945" s="1525"/>
      <c r="L1945" s="1519">
        <v>13215010702</v>
      </c>
      <c r="M1945" s="1520">
        <v>1</v>
      </c>
      <c r="N1945" s="1520">
        <v>0</v>
      </c>
      <c r="O1945" s="1521">
        <v>0</v>
      </c>
    </row>
    <row r="1946" spans="3:15" ht="13.5">
      <c r="C1946" s="1526" t="s">
        <v>5907</v>
      </c>
      <c r="D1946" s="1523">
        <v>0</v>
      </c>
      <c r="E1946" s="1523">
        <v>0</v>
      </c>
      <c r="F1946" s="1524">
        <v>0</v>
      </c>
      <c r="G1946" s="1537" t="s">
        <v>5907</v>
      </c>
      <c r="H1946" s="1521">
        <v>0</v>
      </c>
      <c r="I1946" s="1521">
        <v>0</v>
      </c>
      <c r="J1946" s="1538">
        <v>0</v>
      </c>
      <c r="K1946" s="1525"/>
      <c r="L1946" s="1519">
        <v>13215010703</v>
      </c>
      <c r="M1946" s="1520">
        <v>0</v>
      </c>
      <c r="N1946" s="1520">
        <v>0</v>
      </c>
      <c r="O1946" s="1521">
        <v>0</v>
      </c>
    </row>
    <row r="1947" spans="3:15" ht="13.5">
      <c r="C1947" s="1526" t="s">
        <v>5908</v>
      </c>
      <c r="D1947" s="1523">
        <v>0</v>
      </c>
      <c r="E1947" s="1523">
        <v>1</v>
      </c>
      <c r="F1947" s="1524">
        <v>1</v>
      </c>
      <c r="G1947" s="1537" t="s">
        <v>5908</v>
      </c>
      <c r="H1947" s="1521">
        <v>0</v>
      </c>
      <c r="I1947" s="1521" t="s">
        <v>4099</v>
      </c>
      <c r="J1947" s="1538">
        <v>0</v>
      </c>
      <c r="K1947" s="1525"/>
      <c r="L1947" s="1519">
        <v>13215010801</v>
      </c>
      <c r="M1947" s="1520">
        <v>0</v>
      </c>
      <c r="N1947" s="1520">
        <v>1</v>
      </c>
      <c r="O1947" s="1521">
        <v>1</v>
      </c>
    </row>
    <row r="1948" spans="3:15" ht="13.5">
      <c r="C1948" s="1526" t="s">
        <v>5909</v>
      </c>
      <c r="D1948" s="1523">
        <v>0</v>
      </c>
      <c r="E1948" s="1523">
        <v>1</v>
      </c>
      <c r="F1948" s="1524">
        <v>1</v>
      </c>
      <c r="G1948" s="1537" t="s">
        <v>5909</v>
      </c>
      <c r="H1948" s="1521">
        <v>1</v>
      </c>
      <c r="I1948" s="1521" t="s">
        <v>4099</v>
      </c>
      <c r="J1948" s="1538">
        <v>1</v>
      </c>
      <c r="K1948" s="1525"/>
      <c r="L1948" s="1519">
        <v>13215010802</v>
      </c>
      <c r="M1948" s="1520">
        <v>1</v>
      </c>
      <c r="N1948" s="1520">
        <v>1</v>
      </c>
      <c r="O1948" s="1521">
        <v>1</v>
      </c>
    </row>
    <row r="1949" spans="3:15" ht="13.5">
      <c r="C1949" s="1526" t="s">
        <v>5910</v>
      </c>
      <c r="D1949" s="1523">
        <v>0</v>
      </c>
      <c r="E1949" s="1523">
        <v>0</v>
      </c>
      <c r="F1949" s="1524">
        <v>0</v>
      </c>
      <c r="G1949" s="1537" t="s">
        <v>5910</v>
      </c>
      <c r="H1949" s="1521">
        <v>0</v>
      </c>
      <c r="I1949" s="1521">
        <v>0</v>
      </c>
      <c r="J1949" s="1538">
        <v>0</v>
      </c>
      <c r="K1949" s="1525"/>
      <c r="L1949" s="1519">
        <v>13215011100</v>
      </c>
      <c r="M1949" s="1520">
        <v>0</v>
      </c>
      <c r="N1949" s="1520">
        <v>0</v>
      </c>
      <c r="O1949" s="1521">
        <v>0</v>
      </c>
    </row>
    <row r="1950" spans="3:15" ht="13.5">
      <c r="C1950" s="1526" t="s">
        <v>5911</v>
      </c>
      <c r="D1950" s="1523">
        <v>0</v>
      </c>
      <c r="E1950" s="1523">
        <v>0</v>
      </c>
      <c r="F1950" s="1524">
        <v>0</v>
      </c>
      <c r="G1950" s="1537" t="s">
        <v>5911</v>
      </c>
      <c r="H1950" s="1521">
        <v>0</v>
      </c>
      <c r="I1950" s="1521">
        <v>0</v>
      </c>
      <c r="J1950" s="1538">
        <v>0</v>
      </c>
      <c r="K1950" s="1525"/>
      <c r="L1950" s="1519">
        <v>13215011200</v>
      </c>
      <c r="M1950" s="1520">
        <v>0</v>
      </c>
      <c r="N1950" s="1520">
        <v>0</v>
      </c>
      <c r="O1950" s="1521">
        <v>0</v>
      </c>
    </row>
    <row r="1951" spans="3:15" ht="13.5">
      <c r="C1951" s="1526" t="s">
        <v>5912</v>
      </c>
      <c r="D1951" s="1523">
        <v>0</v>
      </c>
      <c r="E1951" s="1523">
        <v>0</v>
      </c>
      <c r="F1951" s="1524">
        <v>0</v>
      </c>
      <c r="G1951" s="1537" t="s">
        <v>5912</v>
      </c>
      <c r="H1951" s="1521">
        <v>0</v>
      </c>
      <c r="I1951" s="1521">
        <v>0</v>
      </c>
      <c r="J1951" s="1538">
        <v>0</v>
      </c>
      <c r="K1951" s="1525"/>
      <c r="L1951" s="1519">
        <v>13215011400</v>
      </c>
      <c r="M1951" s="1520">
        <v>0</v>
      </c>
      <c r="N1951" s="1520">
        <v>0</v>
      </c>
      <c r="O1951" s="1521">
        <v>0</v>
      </c>
    </row>
    <row r="1952" spans="3:15" ht="13.5">
      <c r="C1952" s="1526" t="s">
        <v>5913</v>
      </c>
      <c r="D1952" s="1523">
        <v>0</v>
      </c>
      <c r="E1952" s="1523">
        <v>0</v>
      </c>
      <c r="F1952" s="1524">
        <v>0</v>
      </c>
      <c r="G1952" s="1537" t="s">
        <v>5913</v>
      </c>
      <c r="H1952" s="1521">
        <v>0</v>
      </c>
      <c r="I1952" s="1521">
        <v>0</v>
      </c>
      <c r="J1952" s="1538">
        <v>0</v>
      </c>
      <c r="K1952" s="1525"/>
      <c r="L1952" s="1519">
        <v>13215011500</v>
      </c>
      <c r="M1952" s="1520">
        <v>0</v>
      </c>
      <c r="N1952" s="1520">
        <v>0</v>
      </c>
      <c r="O1952" s="1521">
        <v>0</v>
      </c>
    </row>
    <row r="1953" spans="3:15" ht="13.5">
      <c r="C1953" s="1526" t="s">
        <v>5914</v>
      </c>
      <c r="D1953" s="1523">
        <v>0</v>
      </c>
      <c r="E1953" s="1523">
        <v>1</v>
      </c>
      <c r="F1953" s="1524">
        <v>1</v>
      </c>
      <c r="G1953" s="1537" t="s">
        <v>5914</v>
      </c>
      <c r="H1953" s="1521">
        <v>0</v>
      </c>
      <c r="I1953" s="1521">
        <v>1</v>
      </c>
      <c r="J1953" s="1538">
        <v>1</v>
      </c>
      <c r="K1953" s="1525"/>
      <c r="L1953" s="1519">
        <v>13217100100</v>
      </c>
      <c r="M1953" s="1520">
        <v>0</v>
      </c>
      <c r="N1953" s="1520">
        <v>1</v>
      </c>
      <c r="O1953" s="1521">
        <v>1</v>
      </c>
    </row>
    <row r="1954" spans="3:15" ht="13.5">
      <c r="C1954" s="1526" t="s">
        <v>5915</v>
      </c>
      <c r="D1954" s="1523">
        <v>1</v>
      </c>
      <c r="E1954" s="1523">
        <v>1</v>
      </c>
      <c r="F1954" s="1524">
        <v>2</v>
      </c>
      <c r="G1954" s="1537" t="s">
        <v>5915</v>
      </c>
      <c r="H1954" s="1521">
        <v>1</v>
      </c>
      <c r="I1954" s="1521">
        <v>1</v>
      </c>
      <c r="J1954" s="1538">
        <v>2</v>
      </c>
      <c r="K1954" s="1525"/>
      <c r="L1954" s="1519">
        <v>13217100201</v>
      </c>
      <c r="M1954" s="1520">
        <v>1</v>
      </c>
      <c r="N1954" s="1520">
        <v>1</v>
      </c>
      <c r="O1954" s="1521">
        <v>2</v>
      </c>
    </row>
    <row r="1955" spans="3:15" ht="13.5">
      <c r="C1955" s="1526" t="s">
        <v>5916</v>
      </c>
      <c r="D1955" s="1523">
        <v>1</v>
      </c>
      <c r="E1955" s="1523">
        <v>1</v>
      </c>
      <c r="F1955" s="1524">
        <v>2</v>
      </c>
      <c r="G1955" s="1537" t="s">
        <v>5916</v>
      </c>
      <c r="H1955" s="1521">
        <v>1</v>
      </c>
      <c r="I1955" s="1521">
        <v>1</v>
      </c>
      <c r="J1955" s="1538">
        <v>2</v>
      </c>
      <c r="K1955" s="1525"/>
      <c r="L1955" s="1519">
        <v>13217100202</v>
      </c>
      <c r="M1955" s="1520">
        <v>1</v>
      </c>
      <c r="N1955" s="1520">
        <v>1</v>
      </c>
      <c r="O1955" s="1521">
        <v>2</v>
      </c>
    </row>
    <row r="1956" spans="3:15" ht="13.5">
      <c r="C1956" s="1526" t="s">
        <v>5917</v>
      </c>
      <c r="D1956" s="1523">
        <v>0</v>
      </c>
      <c r="E1956" s="1523">
        <v>0</v>
      </c>
      <c r="F1956" s="1524">
        <v>0</v>
      </c>
      <c r="G1956" s="1537" t="s">
        <v>5917</v>
      </c>
      <c r="H1956" s="1521">
        <v>0</v>
      </c>
      <c r="I1956" s="1521">
        <v>1</v>
      </c>
      <c r="J1956" s="1538">
        <v>1</v>
      </c>
      <c r="K1956" s="1525"/>
      <c r="L1956" s="1519">
        <v>13217100300</v>
      </c>
      <c r="M1956" s="1520">
        <v>0</v>
      </c>
      <c r="N1956" s="1520">
        <v>1</v>
      </c>
      <c r="O1956" s="1521">
        <v>1</v>
      </c>
    </row>
    <row r="1957" spans="3:15" ht="13.5">
      <c r="C1957" s="1526" t="s">
        <v>5918</v>
      </c>
      <c r="D1957" s="1523">
        <v>0</v>
      </c>
      <c r="E1957" s="1523">
        <v>0</v>
      </c>
      <c r="F1957" s="1524">
        <v>0</v>
      </c>
      <c r="G1957" s="1537" t="s">
        <v>5918</v>
      </c>
      <c r="H1957" s="1521">
        <v>0</v>
      </c>
      <c r="I1957" s="1521">
        <v>0</v>
      </c>
      <c r="J1957" s="1538">
        <v>0</v>
      </c>
      <c r="K1957" s="1525"/>
      <c r="L1957" s="1519">
        <v>13217100400</v>
      </c>
      <c r="M1957" s="1520">
        <v>0</v>
      </c>
      <c r="N1957" s="1520">
        <v>0</v>
      </c>
      <c r="O1957" s="1521">
        <v>0</v>
      </c>
    </row>
    <row r="1958" spans="3:15" ht="13.5">
      <c r="C1958" s="1526" t="s">
        <v>5919</v>
      </c>
      <c r="D1958" s="1523">
        <v>0</v>
      </c>
      <c r="E1958" s="1523">
        <v>0</v>
      </c>
      <c r="F1958" s="1524">
        <v>0</v>
      </c>
      <c r="G1958" s="1537" t="s">
        <v>5919</v>
      </c>
      <c r="H1958" s="1521">
        <v>0</v>
      </c>
      <c r="I1958" s="1521">
        <v>1</v>
      </c>
      <c r="J1958" s="1538">
        <v>1</v>
      </c>
      <c r="K1958" s="1525"/>
      <c r="L1958" s="1519">
        <v>13217100501</v>
      </c>
      <c r="M1958" s="1520">
        <v>0</v>
      </c>
      <c r="N1958" s="1520">
        <v>1</v>
      </c>
      <c r="O1958" s="1521">
        <v>1</v>
      </c>
    </row>
    <row r="1959" spans="3:15" ht="13.5">
      <c r="C1959" s="1526" t="s">
        <v>5920</v>
      </c>
      <c r="D1959" s="1523">
        <v>0</v>
      </c>
      <c r="E1959" s="1523">
        <v>0</v>
      </c>
      <c r="F1959" s="1524">
        <v>0</v>
      </c>
      <c r="G1959" s="1537" t="s">
        <v>5920</v>
      </c>
      <c r="H1959" s="1521">
        <v>0</v>
      </c>
      <c r="I1959" s="1521">
        <v>0</v>
      </c>
      <c r="J1959" s="1538">
        <v>0</v>
      </c>
      <c r="K1959" s="1525"/>
      <c r="L1959" s="1519">
        <v>13217100502</v>
      </c>
      <c r="M1959" s="1520">
        <v>0</v>
      </c>
      <c r="N1959" s="1520">
        <v>0</v>
      </c>
      <c r="O1959" s="1521">
        <v>0</v>
      </c>
    </row>
    <row r="1960" spans="3:15" ht="13.5">
      <c r="C1960" s="1526" t="s">
        <v>5921</v>
      </c>
      <c r="D1960" s="1523">
        <v>0</v>
      </c>
      <c r="E1960" s="1523">
        <v>0</v>
      </c>
      <c r="F1960" s="1524">
        <v>0</v>
      </c>
      <c r="G1960" s="1537" t="s">
        <v>5921</v>
      </c>
      <c r="H1960" s="1521">
        <v>0</v>
      </c>
      <c r="I1960" s="1521">
        <v>0</v>
      </c>
      <c r="J1960" s="1538">
        <v>0</v>
      </c>
      <c r="K1960" s="1525"/>
      <c r="L1960" s="1519">
        <v>13217100600</v>
      </c>
      <c r="M1960" s="1520">
        <v>0</v>
      </c>
      <c r="N1960" s="1520">
        <v>0</v>
      </c>
      <c r="O1960" s="1521">
        <v>0</v>
      </c>
    </row>
    <row r="1961" spans="3:15" ht="13.5">
      <c r="C1961" s="1526" t="s">
        <v>5922</v>
      </c>
      <c r="D1961" s="1523">
        <v>0</v>
      </c>
      <c r="E1961" s="1523">
        <v>0</v>
      </c>
      <c r="F1961" s="1524">
        <v>0</v>
      </c>
      <c r="G1961" s="1537" t="s">
        <v>5922</v>
      </c>
      <c r="H1961" s="1521">
        <v>0</v>
      </c>
      <c r="I1961" s="1521">
        <v>0</v>
      </c>
      <c r="J1961" s="1538">
        <v>0</v>
      </c>
      <c r="K1961" s="1525"/>
      <c r="L1961" s="1519">
        <v>13217100700</v>
      </c>
      <c r="M1961" s="1520">
        <v>0</v>
      </c>
      <c r="N1961" s="1520">
        <v>0</v>
      </c>
      <c r="O1961" s="1521">
        <v>0</v>
      </c>
    </row>
    <row r="1962" spans="3:15" ht="13.5">
      <c r="C1962" s="1526" t="s">
        <v>5923</v>
      </c>
      <c r="D1962" s="1523">
        <v>0</v>
      </c>
      <c r="E1962" s="1523">
        <v>1</v>
      </c>
      <c r="F1962" s="1524">
        <v>1</v>
      </c>
      <c r="G1962" s="1537" t="s">
        <v>5923</v>
      </c>
      <c r="H1962" s="1521">
        <v>0</v>
      </c>
      <c r="I1962" s="1521">
        <v>0</v>
      </c>
      <c r="J1962" s="1538">
        <v>0</v>
      </c>
      <c r="K1962" s="1525"/>
      <c r="L1962" s="1519">
        <v>13217100800</v>
      </c>
      <c r="M1962" s="1520">
        <v>0</v>
      </c>
      <c r="N1962" s="1520">
        <v>1</v>
      </c>
      <c r="O1962" s="1521">
        <v>1</v>
      </c>
    </row>
    <row r="1963" spans="3:15" ht="13.5">
      <c r="C1963" s="1526" t="s">
        <v>5924</v>
      </c>
      <c r="D1963" s="1523">
        <v>0</v>
      </c>
      <c r="E1963" s="1523">
        <v>1</v>
      </c>
      <c r="F1963" s="1524">
        <v>1</v>
      </c>
      <c r="G1963" s="1537" t="s">
        <v>5924</v>
      </c>
      <c r="H1963" s="1521">
        <v>0</v>
      </c>
      <c r="I1963" s="1521">
        <v>1</v>
      </c>
      <c r="J1963" s="1538">
        <v>1</v>
      </c>
      <c r="K1963" s="1525"/>
      <c r="L1963" s="1519">
        <v>13217100901</v>
      </c>
      <c r="M1963" s="1520">
        <v>0</v>
      </c>
      <c r="N1963" s="1520">
        <v>1</v>
      </c>
      <c r="O1963" s="1521">
        <v>1</v>
      </c>
    </row>
    <row r="1964" spans="3:15" ht="13.5">
      <c r="C1964" s="1526" t="s">
        <v>5925</v>
      </c>
      <c r="D1964" s="1523">
        <v>0</v>
      </c>
      <c r="E1964" s="1523">
        <v>0</v>
      </c>
      <c r="F1964" s="1524">
        <v>0</v>
      </c>
      <c r="G1964" s="1537" t="s">
        <v>5925</v>
      </c>
      <c r="H1964" s="1521">
        <v>0</v>
      </c>
      <c r="I1964" s="1521">
        <v>0</v>
      </c>
      <c r="J1964" s="1538">
        <v>0</v>
      </c>
      <c r="K1964" s="1525"/>
      <c r="L1964" s="1519">
        <v>13217100902</v>
      </c>
      <c r="M1964" s="1520">
        <v>0</v>
      </c>
      <c r="N1964" s="1520">
        <v>0</v>
      </c>
      <c r="O1964" s="1521">
        <v>0</v>
      </c>
    </row>
    <row r="1965" spans="3:15" ht="13.5">
      <c r="C1965" s="1526" t="s">
        <v>5926</v>
      </c>
      <c r="D1965" s="1523">
        <v>0</v>
      </c>
      <c r="E1965" s="1523">
        <v>0</v>
      </c>
      <c r="F1965" s="1524">
        <v>0</v>
      </c>
      <c r="G1965" s="1537" t="s">
        <v>5926</v>
      </c>
      <c r="H1965" s="1521">
        <v>0</v>
      </c>
      <c r="I1965" s="1521">
        <v>0</v>
      </c>
      <c r="J1965" s="1538">
        <v>0</v>
      </c>
      <c r="K1965" s="1525"/>
      <c r="L1965" s="1519">
        <v>13217100903</v>
      </c>
      <c r="M1965" s="1520">
        <v>0</v>
      </c>
      <c r="N1965" s="1520">
        <v>0</v>
      </c>
      <c r="O1965" s="1521">
        <v>0</v>
      </c>
    </row>
    <row r="1966" spans="3:15" ht="13.5">
      <c r="C1966" s="1526" t="s">
        <v>5927</v>
      </c>
      <c r="D1966" s="1523">
        <v>1</v>
      </c>
      <c r="E1966" s="1523">
        <v>1</v>
      </c>
      <c r="F1966" s="1524">
        <v>2</v>
      </c>
      <c r="G1966" s="1537" t="s">
        <v>5927</v>
      </c>
      <c r="H1966" s="1521">
        <v>1</v>
      </c>
      <c r="I1966" s="1521">
        <v>1</v>
      </c>
      <c r="J1966" s="1538">
        <v>2</v>
      </c>
      <c r="K1966" s="1525"/>
      <c r="L1966" s="1519">
        <v>13219030100</v>
      </c>
      <c r="M1966" s="1520">
        <v>1</v>
      </c>
      <c r="N1966" s="1520">
        <v>1</v>
      </c>
      <c r="O1966" s="1521">
        <v>2</v>
      </c>
    </row>
    <row r="1967" spans="3:15" ht="13.5">
      <c r="C1967" s="1526" t="s">
        <v>5928</v>
      </c>
      <c r="D1967" s="1523">
        <v>1</v>
      </c>
      <c r="E1967" s="1523">
        <v>1</v>
      </c>
      <c r="F1967" s="1524">
        <v>2</v>
      </c>
      <c r="G1967" s="1537" t="s">
        <v>5928</v>
      </c>
      <c r="H1967" s="1521">
        <v>1</v>
      </c>
      <c r="I1967" s="1521">
        <v>1</v>
      </c>
      <c r="J1967" s="1538">
        <v>2</v>
      </c>
      <c r="K1967" s="1525"/>
      <c r="L1967" s="1519">
        <v>13219030200</v>
      </c>
      <c r="M1967" s="1520">
        <v>1</v>
      </c>
      <c r="N1967" s="1520">
        <v>1</v>
      </c>
      <c r="O1967" s="1521">
        <v>2</v>
      </c>
    </row>
    <row r="1968" spans="3:15" ht="13.5">
      <c r="C1968" s="1526" t="s">
        <v>5929</v>
      </c>
      <c r="D1968" s="1523">
        <v>1</v>
      </c>
      <c r="E1968" s="1523">
        <v>1</v>
      </c>
      <c r="F1968" s="1524">
        <v>2</v>
      </c>
      <c r="G1968" s="1537" t="s">
        <v>5929</v>
      </c>
      <c r="H1968" s="1521">
        <v>1</v>
      </c>
      <c r="I1968" s="1521">
        <v>1</v>
      </c>
      <c r="J1968" s="1538">
        <v>2</v>
      </c>
      <c r="K1968" s="1525"/>
      <c r="L1968" s="1519">
        <v>13219030300</v>
      </c>
      <c r="M1968" s="1520">
        <v>1</v>
      </c>
      <c r="N1968" s="1520">
        <v>1</v>
      </c>
      <c r="O1968" s="1521">
        <v>2</v>
      </c>
    </row>
    <row r="1969" spans="3:15" ht="13.5">
      <c r="C1969" s="1526" t="s">
        <v>5930</v>
      </c>
      <c r="D1969" s="1523">
        <v>1</v>
      </c>
      <c r="E1969" s="1523">
        <v>1</v>
      </c>
      <c r="F1969" s="1524">
        <v>2</v>
      </c>
      <c r="G1969" s="1537" t="s">
        <v>5930</v>
      </c>
      <c r="H1969" s="1521">
        <v>1</v>
      </c>
      <c r="I1969" s="1521">
        <v>1</v>
      </c>
      <c r="J1969" s="1538">
        <v>2</v>
      </c>
      <c r="K1969" s="1525"/>
      <c r="L1969" s="1519">
        <v>13219030400</v>
      </c>
      <c r="M1969" s="1520">
        <v>1</v>
      </c>
      <c r="N1969" s="1520">
        <v>1</v>
      </c>
      <c r="O1969" s="1521">
        <v>2</v>
      </c>
    </row>
    <row r="1970" spans="3:15" ht="13.5">
      <c r="C1970" s="1526" t="s">
        <v>5931</v>
      </c>
      <c r="D1970" s="1523">
        <v>1</v>
      </c>
      <c r="E1970" s="1523">
        <v>1</v>
      </c>
      <c r="F1970" s="1524">
        <v>2</v>
      </c>
      <c r="G1970" s="1537" t="s">
        <v>5931</v>
      </c>
      <c r="H1970" s="1521">
        <v>1</v>
      </c>
      <c r="I1970" s="1521">
        <v>1</v>
      </c>
      <c r="J1970" s="1538">
        <v>2</v>
      </c>
      <c r="K1970" s="1525"/>
      <c r="L1970" s="1519">
        <v>13219030500</v>
      </c>
      <c r="M1970" s="1520">
        <v>1</v>
      </c>
      <c r="N1970" s="1520">
        <v>1</v>
      </c>
      <c r="O1970" s="1521">
        <v>2</v>
      </c>
    </row>
    <row r="1971" spans="3:15" ht="13.5">
      <c r="C1971" s="1526" t="s">
        <v>5932</v>
      </c>
      <c r="D1971" s="1523">
        <v>1</v>
      </c>
      <c r="E1971" s="1523">
        <v>1</v>
      </c>
      <c r="F1971" s="1524">
        <v>2</v>
      </c>
      <c r="G1971" s="1537" t="s">
        <v>5932</v>
      </c>
      <c r="H1971" s="1521">
        <v>1</v>
      </c>
      <c r="I1971" s="1521">
        <v>1</v>
      </c>
      <c r="J1971" s="1538">
        <v>2</v>
      </c>
      <c r="K1971" s="1525"/>
      <c r="L1971" s="1519">
        <v>13219030600</v>
      </c>
      <c r="M1971" s="1520">
        <v>1</v>
      </c>
      <c r="N1971" s="1520">
        <v>1</v>
      </c>
      <c r="O1971" s="1521">
        <v>2</v>
      </c>
    </row>
    <row r="1972" spans="3:15" ht="13.5">
      <c r="C1972" s="1526" t="s">
        <v>5933</v>
      </c>
      <c r="D1972" s="1523">
        <v>0</v>
      </c>
      <c r="E1972" s="1523">
        <v>0</v>
      </c>
      <c r="F1972" s="1524">
        <v>0</v>
      </c>
      <c r="G1972" s="1537" t="s">
        <v>5933</v>
      </c>
      <c r="H1972" s="1521">
        <v>0</v>
      </c>
      <c r="I1972" s="1521">
        <v>0</v>
      </c>
      <c r="J1972" s="1538">
        <v>0</v>
      </c>
      <c r="K1972" s="1525"/>
      <c r="L1972" s="1519">
        <v>13221960100</v>
      </c>
      <c r="M1972" s="1520">
        <v>0</v>
      </c>
      <c r="N1972" s="1520">
        <v>0</v>
      </c>
      <c r="O1972" s="1521">
        <v>0</v>
      </c>
    </row>
    <row r="1973" spans="3:15" ht="13.5">
      <c r="C1973" s="1526" t="s">
        <v>5934</v>
      </c>
      <c r="D1973" s="1523">
        <v>1</v>
      </c>
      <c r="E1973" s="1523">
        <v>1</v>
      </c>
      <c r="F1973" s="1524">
        <v>2</v>
      </c>
      <c r="G1973" s="1537" t="s">
        <v>5934</v>
      </c>
      <c r="H1973" s="1521">
        <v>1</v>
      </c>
      <c r="I1973" s="1521">
        <v>1</v>
      </c>
      <c r="J1973" s="1538">
        <v>2</v>
      </c>
      <c r="K1973" s="1525"/>
      <c r="L1973" s="1519">
        <v>13221960201</v>
      </c>
      <c r="M1973" s="1520">
        <v>1</v>
      </c>
      <c r="N1973" s="1520">
        <v>1</v>
      </c>
      <c r="O1973" s="1521">
        <v>2</v>
      </c>
    </row>
    <row r="1974" spans="3:15" ht="13.5">
      <c r="C1974" s="1526" t="s">
        <v>5935</v>
      </c>
      <c r="D1974" s="1523">
        <v>0</v>
      </c>
      <c r="E1974" s="1523">
        <v>0</v>
      </c>
      <c r="F1974" s="1524">
        <v>0</v>
      </c>
      <c r="G1974" s="1537" t="s">
        <v>5935</v>
      </c>
      <c r="H1974" s="1521">
        <v>0</v>
      </c>
      <c r="I1974" s="1521">
        <v>1</v>
      </c>
      <c r="J1974" s="1538">
        <v>1</v>
      </c>
      <c r="K1974" s="1525"/>
      <c r="L1974" s="1519">
        <v>13221960202</v>
      </c>
      <c r="M1974" s="1520">
        <v>0</v>
      </c>
      <c r="N1974" s="1520">
        <v>1</v>
      </c>
      <c r="O1974" s="1521">
        <v>1</v>
      </c>
    </row>
    <row r="1975" spans="3:15" ht="13.5">
      <c r="C1975" s="1526" t="s">
        <v>5936</v>
      </c>
      <c r="D1975" s="1523">
        <v>0</v>
      </c>
      <c r="E1975" s="1523">
        <v>0</v>
      </c>
      <c r="F1975" s="1524">
        <v>0</v>
      </c>
      <c r="G1975" s="1537" t="s">
        <v>5936</v>
      </c>
      <c r="H1975" s="1521">
        <v>0</v>
      </c>
      <c r="I1975" s="1521">
        <v>0</v>
      </c>
      <c r="J1975" s="1538">
        <v>0</v>
      </c>
      <c r="K1975" s="1525"/>
      <c r="L1975" s="1519">
        <v>13221960300</v>
      </c>
      <c r="M1975" s="1520">
        <v>0</v>
      </c>
      <c r="N1975" s="1520">
        <v>0</v>
      </c>
      <c r="O1975" s="1521">
        <v>0</v>
      </c>
    </row>
    <row r="1976" spans="3:15" ht="13.5">
      <c r="C1976" s="1526" t="s">
        <v>5937</v>
      </c>
      <c r="D1976" s="1523">
        <v>1</v>
      </c>
      <c r="E1976" s="1523">
        <v>1</v>
      </c>
      <c r="F1976" s="1524">
        <v>2</v>
      </c>
      <c r="G1976" s="1537" t="s">
        <v>5937</v>
      </c>
      <c r="H1976" s="1521">
        <v>1</v>
      </c>
      <c r="I1976" s="1521">
        <v>1</v>
      </c>
      <c r="J1976" s="1538">
        <v>2</v>
      </c>
      <c r="K1976" s="1525"/>
      <c r="L1976" s="1519">
        <v>13223120101</v>
      </c>
      <c r="M1976" s="1520">
        <v>1</v>
      </c>
      <c r="N1976" s="1520">
        <v>1</v>
      </c>
      <c r="O1976" s="1521">
        <v>2</v>
      </c>
    </row>
    <row r="1977" spans="3:15" ht="13.5">
      <c r="C1977" s="1526" t="s">
        <v>5938</v>
      </c>
      <c r="D1977" s="1523">
        <v>1</v>
      </c>
      <c r="E1977" s="1523">
        <v>1</v>
      </c>
      <c r="F1977" s="1524">
        <v>2</v>
      </c>
      <c r="G1977" s="1537" t="s">
        <v>5938</v>
      </c>
      <c r="H1977" s="1521">
        <v>1</v>
      </c>
      <c r="I1977" s="1521">
        <v>1</v>
      </c>
      <c r="J1977" s="1538">
        <v>2</v>
      </c>
      <c r="K1977" s="1525"/>
      <c r="L1977" s="1519">
        <v>13223120102</v>
      </c>
      <c r="M1977" s="1520">
        <v>1</v>
      </c>
      <c r="N1977" s="1520">
        <v>1</v>
      </c>
      <c r="O1977" s="1521">
        <v>2</v>
      </c>
    </row>
    <row r="1978" spans="3:15" ht="13.5">
      <c r="C1978" s="1526" t="s">
        <v>5939</v>
      </c>
      <c r="D1978" s="1523">
        <v>1</v>
      </c>
      <c r="E1978" s="1523">
        <v>1</v>
      </c>
      <c r="F1978" s="1524">
        <v>2</v>
      </c>
      <c r="G1978" s="1537" t="s">
        <v>5939</v>
      </c>
      <c r="H1978" s="1521">
        <v>1</v>
      </c>
      <c r="I1978" s="1521" t="s">
        <v>4099</v>
      </c>
      <c r="J1978" s="1538">
        <v>1</v>
      </c>
      <c r="K1978" s="1525"/>
      <c r="L1978" s="1519">
        <v>13223120103</v>
      </c>
      <c r="M1978" s="1520">
        <v>1</v>
      </c>
      <c r="N1978" s="1520">
        <v>1</v>
      </c>
      <c r="O1978" s="1521">
        <v>2</v>
      </c>
    </row>
    <row r="1979" spans="3:15" ht="13.5">
      <c r="C1979" s="1526" t="s">
        <v>5940</v>
      </c>
      <c r="D1979" s="1523">
        <v>1</v>
      </c>
      <c r="E1979" s="1523">
        <v>1</v>
      </c>
      <c r="F1979" s="1524">
        <v>2</v>
      </c>
      <c r="G1979" s="1537" t="s">
        <v>5940</v>
      </c>
      <c r="H1979" s="1521">
        <v>1</v>
      </c>
      <c r="I1979" s="1521" t="s">
        <v>4099</v>
      </c>
      <c r="J1979" s="1538">
        <v>1</v>
      </c>
      <c r="K1979" s="1525"/>
      <c r="L1979" s="1519">
        <v>13223120104</v>
      </c>
      <c r="M1979" s="1520">
        <v>1</v>
      </c>
      <c r="N1979" s="1520">
        <v>1</v>
      </c>
      <c r="O1979" s="1521">
        <v>2</v>
      </c>
    </row>
    <row r="1980" spans="3:15" ht="13.5">
      <c r="C1980" s="1526" t="s">
        <v>5941</v>
      </c>
      <c r="D1980" s="1523">
        <v>1</v>
      </c>
      <c r="E1980" s="1523">
        <v>1</v>
      </c>
      <c r="F1980" s="1524">
        <v>2</v>
      </c>
      <c r="G1980" s="1537" t="s">
        <v>5941</v>
      </c>
      <c r="H1980" s="1521">
        <v>1</v>
      </c>
      <c r="I1980" s="1521">
        <v>1</v>
      </c>
      <c r="J1980" s="1538">
        <v>2</v>
      </c>
      <c r="K1980" s="1525"/>
      <c r="L1980" s="1519">
        <v>13223120202</v>
      </c>
      <c r="M1980" s="1520">
        <v>1</v>
      </c>
      <c r="N1980" s="1520">
        <v>1</v>
      </c>
      <c r="O1980" s="1521">
        <v>2</v>
      </c>
    </row>
    <row r="1981" spans="3:15" ht="13.5">
      <c r="C1981" s="1526" t="s">
        <v>5942</v>
      </c>
      <c r="D1981" s="1523">
        <v>1</v>
      </c>
      <c r="E1981" s="1523">
        <v>1</v>
      </c>
      <c r="F1981" s="1524">
        <v>2</v>
      </c>
      <c r="G1981" s="1537" t="s">
        <v>5942</v>
      </c>
      <c r="H1981" s="1521">
        <v>1</v>
      </c>
      <c r="I1981" s="1521">
        <v>1</v>
      </c>
      <c r="J1981" s="1538">
        <v>2</v>
      </c>
      <c r="K1981" s="1525"/>
      <c r="L1981" s="1519">
        <v>13223120203</v>
      </c>
      <c r="M1981" s="1520">
        <v>1</v>
      </c>
      <c r="N1981" s="1520">
        <v>1</v>
      </c>
      <c r="O1981" s="1521">
        <v>2</v>
      </c>
    </row>
    <row r="1982" spans="3:15" ht="13.5">
      <c r="C1982" s="1526" t="s">
        <v>5943</v>
      </c>
      <c r="D1982" s="1523">
        <v>1</v>
      </c>
      <c r="E1982" s="1523">
        <v>1</v>
      </c>
      <c r="F1982" s="1524">
        <v>2</v>
      </c>
      <c r="G1982" s="1537" t="s">
        <v>5943</v>
      </c>
      <c r="H1982" s="1521">
        <v>1</v>
      </c>
      <c r="I1982" s="1521">
        <v>1</v>
      </c>
      <c r="J1982" s="1538">
        <v>2</v>
      </c>
      <c r="K1982" s="1525"/>
      <c r="L1982" s="1519">
        <v>13223120204</v>
      </c>
      <c r="M1982" s="1520">
        <v>1</v>
      </c>
      <c r="N1982" s="1520">
        <v>1</v>
      </c>
      <c r="O1982" s="1521">
        <v>2</v>
      </c>
    </row>
    <row r="1983" spans="3:15" ht="13.5">
      <c r="C1983" s="1526" t="s">
        <v>5944</v>
      </c>
      <c r="D1983" s="1523">
        <v>1</v>
      </c>
      <c r="E1983" s="1523">
        <v>0</v>
      </c>
      <c r="F1983" s="1524">
        <v>1</v>
      </c>
      <c r="G1983" s="1537" t="s">
        <v>5944</v>
      </c>
      <c r="H1983" s="1521">
        <v>1</v>
      </c>
      <c r="I1983" s="1521">
        <v>1</v>
      </c>
      <c r="J1983" s="1538">
        <v>2</v>
      </c>
      <c r="K1983" s="1525"/>
      <c r="L1983" s="1519">
        <v>13223120301</v>
      </c>
      <c r="M1983" s="1520">
        <v>1</v>
      </c>
      <c r="N1983" s="1520">
        <v>1</v>
      </c>
      <c r="O1983" s="1521">
        <v>2</v>
      </c>
    </row>
    <row r="1984" spans="3:15" ht="13.5">
      <c r="C1984" s="1526" t="s">
        <v>5945</v>
      </c>
      <c r="D1984" s="1523">
        <v>1</v>
      </c>
      <c r="E1984" s="1523">
        <v>0</v>
      </c>
      <c r="F1984" s="1524">
        <v>1</v>
      </c>
      <c r="G1984" s="1537" t="s">
        <v>5945</v>
      </c>
      <c r="H1984" s="1521">
        <v>1</v>
      </c>
      <c r="I1984" s="1521">
        <v>0</v>
      </c>
      <c r="J1984" s="1538">
        <v>1</v>
      </c>
      <c r="K1984" s="1525"/>
      <c r="L1984" s="1519">
        <v>13223120302</v>
      </c>
      <c r="M1984" s="1520">
        <v>1</v>
      </c>
      <c r="N1984" s="1520">
        <v>0</v>
      </c>
      <c r="O1984" s="1521">
        <v>1</v>
      </c>
    </row>
    <row r="1985" spans="3:15" ht="13.5">
      <c r="C1985" s="1526" t="s">
        <v>5946</v>
      </c>
      <c r="D1985" s="1523">
        <v>1</v>
      </c>
      <c r="E1985" s="1523">
        <v>1</v>
      </c>
      <c r="F1985" s="1524">
        <v>2</v>
      </c>
      <c r="G1985" s="1537" t="s">
        <v>5946</v>
      </c>
      <c r="H1985" s="1521">
        <v>0</v>
      </c>
      <c r="I1985" s="1521">
        <v>0</v>
      </c>
      <c r="J1985" s="1538">
        <v>0</v>
      </c>
      <c r="K1985" s="1525"/>
      <c r="L1985" s="1519">
        <v>13223120303</v>
      </c>
      <c r="M1985" s="1520">
        <v>1</v>
      </c>
      <c r="N1985" s="1520">
        <v>1</v>
      </c>
      <c r="O1985" s="1521">
        <v>2</v>
      </c>
    </row>
    <row r="1986" spans="3:15" ht="13.5">
      <c r="C1986" s="1526" t="s">
        <v>5947</v>
      </c>
      <c r="D1986" s="1523">
        <v>0</v>
      </c>
      <c r="E1986" s="1523">
        <v>1</v>
      </c>
      <c r="F1986" s="1524">
        <v>1</v>
      </c>
      <c r="G1986" s="1537" t="s">
        <v>5947</v>
      </c>
      <c r="H1986" s="1521">
        <v>1</v>
      </c>
      <c r="I1986" s="1521">
        <v>1</v>
      </c>
      <c r="J1986" s="1538">
        <v>2</v>
      </c>
      <c r="K1986" s="1525"/>
      <c r="L1986" s="1519">
        <v>13223120400</v>
      </c>
      <c r="M1986" s="1520">
        <v>1</v>
      </c>
      <c r="N1986" s="1520">
        <v>1</v>
      </c>
      <c r="O1986" s="1521">
        <v>2</v>
      </c>
    </row>
    <row r="1987" spans="3:15" ht="13.5">
      <c r="C1987" s="1526" t="s">
        <v>5948</v>
      </c>
      <c r="D1987" s="1523">
        <v>1</v>
      </c>
      <c r="E1987" s="1523">
        <v>1</v>
      </c>
      <c r="F1987" s="1524">
        <v>2</v>
      </c>
      <c r="G1987" s="1537" t="s">
        <v>5948</v>
      </c>
      <c r="H1987" s="1521">
        <v>1</v>
      </c>
      <c r="I1987" s="1521">
        <v>1</v>
      </c>
      <c r="J1987" s="1538">
        <v>1</v>
      </c>
      <c r="K1987" s="1525"/>
      <c r="L1987" s="1519">
        <v>13223120501</v>
      </c>
      <c r="M1987" s="1520">
        <v>1</v>
      </c>
      <c r="N1987" s="1520">
        <v>1</v>
      </c>
      <c r="O1987" s="1521">
        <v>2</v>
      </c>
    </row>
    <row r="1988" spans="3:15" ht="13.5">
      <c r="C1988" s="1526" t="s">
        <v>5949</v>
      </c>
      <c r="D1988" s="1523">
        <v>1</v>
      </c>
      <c r="E1988" s="1523">
        <v>1</v>
      </c>
      <c r="F1988" s="1524">
        <v>2</v>
      </c>
      <c r="G1988" s="1537" t="s">
        <v>5949</v>
      </c>
      <c r="H1988" s="1521">
        <v>1</v>
      </c>
      <c r="I1988" s="1521">
        <v>0</v>
      </c>
      <c r="J1988" s="1538">
        <v>1</v>
      </c>
      <c r="K1988" s="1525"/>
      <c r="L1988" s="1519">
        <v>13223120502</v>
      </c>
      <c r="M1988" s="1520">
        <v>1</v>
      </c>
      <c r="N1988" s="1520">
        <v>1</v>
      </c>
      <c r="O1988" s="1521">
        <v>2</v>
      </c>
    </row>
    <row r="1989" spans="3:15" ht="13.5">
      <c r="C1989" s="1526" t="s">
        <v>5950</v>
      </c>
      <c r="D1989" s="1523">
        <v>1</v>
      </c>
      <c r="E1989" s="1523">
        <v>1</v>
      </c>
      <c r="F1989" s="1524">
        <v>2</v>
      </c>
      <c r="G1989" s="1537" t="s">
        <v>5950</v>
      </c>
      <c r="H1989" s="1521">
        <v>0</v>
      </c>
      <c r="I1989" s="1521">
        <v>1</v>
      </c>
      <c r="J1989" s="1538">
        <v>1</v>
      </c>
      <c r="K1989" s="1525"/>
      <c r="L1989" s="1519">
        <v>13223120503</v>
      </c>
      <c r="M1989" s="1520">
        <v>1</v>
      </c>
      <c r="N1989" s="1520">
        <v>1</v>
      </c>
      <c r="O1989" s="1521">
        <v>2</v>
      </c>
    </row>
    <row r="1990" spans="3:15" ht="13.5">
      <c r="C1990" s="1526" t="s">
        <v>5951</v>
      </c>
      <c r="D1990" s="1523">
        <v>1</v>
      </c>
      <c r="E1990" s="1523">
        <v>1</v>
      </c>
      <c r="F1990" s="1524">
        <v>2</v>
      </c>
      <c r="G1990" s="1537" t="s">
        <v>5951</v>
      </c>
      <c r="H1990" s="1521">
        <v>1</v>
      </c>
      <c r="I1990" s="1521">
        <v>0</v>
      </c>
      <c r="J1990" s="1538">
        <v>1</v>
      </c>
      <c r="K1990" s="1525"/>
      <c r="L1990" s="1519">
        <v>13223120601</v>
      </c>
      <c r="M1990" s="1520">
        <v>1</v>
      </c>
      <c r="N1990" s="1520">
        <v>1</v>
      </c>
      <c r="O1990" s="1521">
        <v>2</v>
      </c>
    </row>
    <row r="1991" spans="3:15" ht="13.5">
      <c r="C1991" s="1526" t="s">
        <v>5952</v>
      </c>
      <c r="D1991" s="1523">
        <v>1</v>
      </c>
      <c r="E1991" s="1523">
        <v>1</v>
      </c>
      <c r="F1991" s="1524">
        <v>2</v>
      </c>
      <c r="G1991" s="1537" t="s">
        <v>5952</v>
      </c>
      <c r="H1991" s="1521">
        <v>1</v>
      </c>
      <c r="I1991" s="1521" t="s">
        <v>4099</v>
      </c>
      <c r="J1991" s="1538">
        <v>1</v>
      </c>
      <c r="K1991" s="1525"/>
      <c r="L1991" s="1519">
        <v>13223120602</v>
      </c>
      <c r="M1991" s="1520">
        <v>1</v>
      </c>
      <c r="N1991" s="1520">
        <v>1</v>
      </c>
      <c r="O1991" s="1521">
        <v>2</v>
      </c>
    </row>
    <row r="1992" spans="3:15" ht="13.5">
      <c r="C1992" s="1526" t="s">
        <v>5953</v>
      </c>
      <c r="D1992" s="1523">
        <v>1</v>
      </c>
      <c r="E1992" s="1523">
        <v>1</v>
      </c>
      <c r="F1992" s="1524">
        <v>2</v>
      </c>
      <c r="G1992" s="1537" t="s">
        <v>5953</v>
      </c>
      <c r="H1992" s="1521">
        <v>0</v>
      </c>
      <c r="I1992" s="1521">
        <v>1</v>
      </c>
      <c r="J1992" s="1538">
        <v>1</v>
      </c>
      <c r="K1992" s="1525"/>
      <c r="L1992" s="1519">
        <v>13223120603</v>
      </c>
      <c r="M1992" s="1520">
        <v>1</v>
      </c>
      <c r="N1992" s="1520">
        <v>1</v>
      </c>
      <c r="O1992" s="1521">
        <v>2</v>
      </c>
    </row>
    <row r="1993" spans="3:15" ht="13.5">
      <c r="C1993" s="1526" t="s">
        <v>5954</v>
      </c>
      <c r="D1993" s="1523">
        <v>1</v>
      </c>
      <c r="E1993" s="1523">
        <v>1</v>
      </c>
      <c r="F1993" s="1524">
        <v>2</v>
      </c>
      <c r="G1993" s="1537" t="s">
        <v>5954</v>
      </c>
      <c r="H1993" s="1521">
        <v>1</v>
      </c>
      <c r="I1993" s="1521">
        <v>1</v>
      </c>
      <c r="J1993" s="1538">
        <v>2</v>
      </c>
      <c r="K1993" s="1525"/>
      <c r="L1993" s="1519">
        <v>13223120604</v>
      </c>
      <c r="M1993" s="1520">
        <v>1</v>
      </c>
      <c r="N1993" s="1520">
        <v>1</v>
      </c>
      <c r="O1993" s="1521">
        <v>2</v>
      </c>
    </row>
    <row r="1994" spans="3:15" ht="13.5">
      <c r="C1994" s="1526" t="s">
        <v>5955</v>
      </c>
      <c r="D1994" s="1523">
        <v>1</v>
      </c>
      <c r="E1994" s="1523">
        <v>1</v>
      </c>
      <c r="F1994" s="1524">
        <v>2</v>
      </c>
      <c r="G1994" s="1537" t="s">
        <v>5955</v>
      </c>
      <c r="H1994" s="1521">
        <v>1</v>
      </c>
      <c r="I1994" s="1521">
        <v>0</v>
      </c>
      <c r="J1994" s="1538">
        <v>1</v>
      </c>
      <c r="K1994" s="1525"/>
      <c r="L1994" s="1519">
        <v>13223120605</v>
      </c>
      <c r="M1994" s="1520">
        <v>1</v>
      </c>
      <c r="N1994" s="1520">
        <v>1</v>
      </c>
      <c r="O1994" s="1521">
        <v>2</v>
      </c>
    </row>
    <row r="1995" spans="3:15" ht="13.5">
      <c r="C1995" s="1526" t="s">
        <v>5956</v>
      </c>
      <c r="D1995" s="1523">
        <v>1</v>
      </c>
      <c r="E1995" s="1523">
        <v>1</v>
      </c>
      <c r="F1995" s="1524">
        <v>2</v>
      </c>
      <c r="G1995" s="1537" t="s">
        <v>5956</v>
      </c>
      <c r="H1995" s="1521">
        <v>1</v>
      </c>
      <c r="I1995" s="1521">
        <v>1</v>
      </c>
      <c r="J1995" s="1538">
        <v>2</v>
      </c>
      <c r="K1995" s="1525"/>
      <c r="L1995" s="1519">
        <v>13225040101</v>
      </c>
      <c r="M1995" s="1520">
        <v>1</v>
      </c>
      <c r="N1995" s="1520">
        <v>1</v>
      </c>
      <c r="O1995" s="1521">
        <v>2</v>
      </c>
    </row>
    <row r="1996" spans="3:15" ht="13.5">
      <c r="C1996" s="1526" t="s">
        <v>5957</v>
      </c>
      <c r="D1996" s="1523">
        <v>1</v>
      </c>
      <c r="E1996" s="1523">
        <v>1</v>
      </c>
      <c r="F1996" s="1524">
        <v>2</v>
      </c>
      <c r="G1996" s="1537" t="s">
        <v>5957</v>
      </c>
      <c r="H1996" s="1521">
        <v>0</v>
      </c>
      <c r="I1996" s="1521">
        <v>1</v>
      </c>
      <c r="J1996" s="1538">
        <v>1</v>
      </c>
      <c r="K1996" s="1525"/>
      <c r="L1996" s="1519">
        <v>13225040102</v>
      </c>
      <c r="M1996" s="1520">
        <v>1</v>
      </c>
      <c r="N1996" s="1520">
        <v>1</v>
      </c>
      <c r="O1996" s="1521">
        <v>2</v>
      </c>
    </row>
    <row r="1997" spans="3:15" ht="13.5">
      <c r="C1997" s="1526" t="s">
        <v>5958</v>
      </c>
      <c r="D1997" s="1523">
        <v>0</v>
      </c>
      <c r="E1997" s="1523">
        <v>0</v>
      </c>
      <c r="F1997" s="1524">
        <v>0</v>
      </c>
      <c r="G1997" s="1537" t="s">
        <v>5958</v>
      </c>
      <c r="H1997" s="1521">
        <v>0</v>
      </c>
      <c r="I1997" s="1521">
        <v>0</v>
      </c>
      <c r="J1997" s="1538">
        <v>0</v>
      </c>
      <c r="K1997" s="1525"/>
      <c r="L1997" s="1519">
        <v>13225040200</v>
      </c>
      <c r="M1997" s="1520">
        <v>0</v>
      </c>
      <c r="N1997" s="1520">
        <v>0</v>
      </c>
      <c r="O1997" s="1521">
        <v>0</v>
      </c>
    </row>
    <row r="1998" spans="3:15" ht="13.5">
      <c r="C1998" s="1526" t="s">
        <v>5959</v>
      </c>
      <c r="D1998" s="1523">
        <v>1</v>
      </c>
      <c r="E1998" s="1523">
        <v>0</v>
      </c>
      <c r="F1998" s="1524">
        <v>1</v>
      </c>
      <c r="G1998" s="1537" t="s">
        <v>5959</v>
      </c>
      <c r="H1998" s="1521">
        <v>0</v>
      </c>
      <c r="I1998" s="1521">
        <v>0</v>
      </c>
      <c r="J1998" s="1538">
        <v>0</v>
      </c>
      <c r="K1998" s="1525"/>
      <c r="L1998" s="1519">
        <v>13225040301</v>
      </c>
      <c r="M1998" s="1520">
        <v>1</v>
      </c>
      <c r="N1998" s="1520">
        <v>0</v>
      </c>
      <c r="O1998" s="1521">
        <v>1</v>
      </c>
    </row>
    <row r="1999" spans="3:15" ht="13.5">
      <c r="C1999" s="1526" t="s">
        <v>5960</v>
      </c>
      <c r="D1999" s="1523">
        <v>0</v>
      </c>
      <c r="E1999" s="1523">
        <v>0</v>
      </c>
      <c r="F1999" s="1524">
        <v>0</v>
      </c>
      <c r="G1999" s="1537" t="s">
        <v>5960</v>
      </c>
      <c r="H1999" s="1521">
        <v>0</v>
      </c>
      <c r="I1999" s="1521">
        <v>0</v>
      </c>
      <c r="J1999" s="1538">
        <v>0</v>
      </c>
      <c r="K1999" s="1525"/>
      <c r="L1999" s="1519">
        <v>13225040302</v>
      </c>
      <c r="M1999" s="1520">
        <v>0</v>
      </c>
      <c r="N1999" s="1520">
        <v>0</v>
      </c>
      <c r="O1999" s="1521">
        <v>0</v>
      </c>
    </row>
    <row r="2000" spans="3:15" ht="13.5">
      <c r="C2000" s="1526" t="s">
        <v>5961</v>
      </c>
      <c r="D2000" s="1523">
        <v>0</v>
      </c>
      <c r="E2000" s="1523">
        <v>0</v>
      </c>
      <c r="F2000" s="1524">
        <v>0</v>
      </c>
      <c r="G2000" s="1537" t="s">
        <v>5961</v>
      </c>
      <c r="H2000" s="1521">
        <v>0</v>
      </c>
      <c r="I2000" s="1521" t="s">
        <v>4099</v>
      </c>
      <c r="J2000" s="1538">
        <v>0</v>
      </c>
      <c r="K2000" s="1525"/>
      <c r="L2000" s="1519">
        <v>13225040400</v>
      </c>
      <c r="M2000" s="1520">
        <v>0</v>
      </c>
      <c r="N2000" s="1520">
        <v>0</v>
      </c>
      <c r="O2000" s="1521">
        <v>0</v>
      </c>
    </row>
    <row r="2001" spans="3:15" ht="13.5">
      <c r="C2001" s="1526" t="s">
        <v>5962</v>
      </c>
      <c r="D2001" s="1523">
        <v>1</v>
      </c>
      <c r="E2001" s="1523">
        <v>1</v>
      </c>
      <c r="F2001" s="1524">
        <v>2</v>
      </c>
      <c r="G2001" s="1537" t="s">
        <v>5962</v>
      </c>
      <c r="H2001" s="1521">
        <v>1</v>
      </c>
      <c r="I2001" s="1521">
        <v>1</v>
      </c>
      <c r="J2001" s="1538">
        <v>2</v>
      </c>
      <c r="K2001" s="1525"/>
      <c r="L2001" s="1519">
        <v>13227050100</v>
      </c>
      <c r="M2001" s="1520">
        <v>1</v>
      </c>
      <c r="N2001" s="1520">
        <v>1</v>
      </c>
      <c r="O2001" s="1521">
        <v>2</v>
      </c>
    </row>
    <row r="2002" spans="3:15" ht="13.5">
      <c r="C2002" s="1526" t="s">
        <v>5963</v>
      </c>
      <c r="D2002" s="1523">
        <v>0</v>
      </c>
      <c r="E2002" s="1523">
        <v>0</v>
      </c>
      <c r="F2002" s="1524">
        <v>0</v>
      </c>
      <c r="G2002" s="1537" t="s">
        <v>5963</v>
      </c>
      <c r="H2002" s="1521">
        <v>0</v>
      </c>
      <c r="I2002" s="1521">
        <v>0</v>
      </c>
      <c r="J2002" s="1538">
        <v>0</v>
      </c>
      <c r="K2002" s="1525"/>
      <c r="L2002" s="1519">
        <v>13227050200</v>
      </c>
      <c r="M2002" s="1520">
        <v>0</v>
      </c>
      <c r="N2002" s="1520">
        <v>0</v>
      </c>
      <c r="O2002" s="1521">
        <v>0</v>
      </c>
    </row>
    <row r="2003" spans="3:15" ht="13.5">
      <c r="C2003" s="1526" t="s">
        <v>5964</v>
      </c>
      <c r="D2003" s="1523">
        <v>0</v>
      </c>
      <c r="E2003" s="1523">
        <v>1</v>
      </c>
      <c r="F2003" s="1524">
        <v>1</v>
      </c>
      <c r="G2003" s="1537" t="s">
        <v>5964</v>
      </c>
      <c r="H2003" s="1521">
        <v>0</v>
      </c>
      <c r="I2003" s="1521">
        <v>0</v>
      </c>
      <c r="J2003" s="1538">
        <v>0</v>
      </c>
      <c r="K2003" s="1525"/>
      <c r="L2003" s="1519">
        <v>13227050300</v>
      </c>
      <c r="M2003" s="1520">
        <v>0</v>
      </c>
      <c r="N2003" s="1520">
        <v>1</v>
      </c>
      <c r="O2003" s="1521">
        <v>1</v>
      </c>
    </row>
    <row r="2004" spans="3:15" ht="13.5">
      <c r="C2004" s="1526" t="s">
        <v>5965</v>
      </c>
      <c r="D2004" s="1523">
        <v>0</v>
      </c>
      <c r="E2004" s="1523">
        <v>0</v>
      </c>
      <c r="F2004" s="1524">
        <v>0</v>
      </c>
      <c r="G2004" s="1537" t="s">
        <v>5965</v>
      </c>
      <c r="H2004" s="1521">
        <v>0</v>
      </c>
      <c r="I2004" s="1521">
        <v>1</v>
      </c>
      <c r="J2004" s="1538">
        <v>1</v>
      </c>
      <c r="K2004" s="1525"/>
      <c r="L2004" s="1519">
        <v>13227050400</v>
      </c>
      <c r="M2004" s="1520">
        <v>0</v>
      </c>
      <c r="N2004" s="1520">
        <v>1</v>
      </c>
      <c r="O2004" s="1521">
        <v>1</v>
      </c>
    </row>
    <row r="2005" spans="3:15" ht="13.5">
      <c r="C2005" s="1526" t="s">
        <v>5966</v>
      </c>
      <c r="D2005" s="1523">
        <v>1</v>
      </c>
      <c r="E2005" s="1523">
        <v>1</v>
      </c>
      <c r="F2005" s="1524">
        <v>2</v>
      </c>
      <c r="G2005" s="1537" t="s">
        <v>5966</v>
      </c>
      <c r="H2005" s="1521">
        <v>0</v>
      </c>
      <c r="I2005" s="1521">
        <v>0</v>
      </c>
      <c r="J2005" s="1538">
        <v>0</v>
      </c>
      <c r="K2005" s="1525"/>
      <c r="L2005" s="1519">
        <v>13227050500</v>
      </c>
      <c r="M2005" s="1520">
        <v>1</v>
      </c>
      <c r="N2005" s="1520">
        <v>1</v>
      </c>
      <c r="O2005" s="1521">
        <v>2</v>
      </c>
    </row>
    <row r="2006" spans="3:15" ht="13.5">
      <c r="C2006" s="1526" t="s">
        <v>5967</v>
      </c>
      <c r="D2006" s="1523">
        <v>1</v>
      </c>
      <c r="E2006" s="1523">
        <v>1</v>
      </c>
      <c r="F2006" s="1524">
        <v>2</v>
      </c>
      <c r="G2006" s="1537" t="s">
        <v>5967</v>
      </c>
      <c r="H2006" s="1521">
        <v>1</v>
      </c>
      <c r="I2006" s="1521">
        <v>1</v>
      </c>
      <c r="J2006" s="1538">
        <v>2</v>
      </c>
      <c r="K2006" s="1525"/>
      <c r="L2006" s="1519">
        <v>13227050600</v>
      </c>
      <c r="M2006" s="1520">
        <v>1</v>
      </c>
      <c r="N2006" s="1520">
        <v>1</v>
      </c>
      <c r="O2006" s="1521">
        <v>2</v>
      </c>
    </row>
    <row r="2007" spans="3:15" ht="13.5">
      <c r="C2007" s="1526" t="s">
        <v>5968</v>
      </c>
      <c r="D2007" s="1523">
        <v>0</v>
      </c>
      <c r="E2007" s="1523">
        <v>0</v>
      </c>
      <c r="F2007" s="1524">
        <v>0</v>
      </c>
      <c r="G2007" s="1537" t="s">
        <v>5968</v>
      </c>
      <c r="H2007" s="1521">
        <v>0</v>
      </c>
      <c r="I2007" s="1521">
        <v>0</v>
      </c>
      <c r="J2007" s="1538">
        <v>0</v>
      </c>
      <c r="K2007" s="1525"/>
      <c r="L2007" s="1519">
        <v>13229960100</v>
      </c>
      <c r="M2007" s="1520">
        <v>0</v>
      </c>
      <c r="N2007" s="1520">
        <v>0</v>
      </c>
      <c r="O2007" s="1521">
        <v>0</v>
      </c>
    </row>
    <row r="2008" spans="3:15" ht="13.5">
      <c r="C2008" s="1526" t="s">
        <v>5969</v>
      </c>
      <c r="D2008" s="1523">
        <v>0</v>
      </c>
      <c r="E2008" s="1523">
        <v>0</v>
      </c>
      <c r="F2008" s="1524">
        <v>0</v>
      </c>
      <c r="G2008" s="1537" t="s">
        <v>5969</v>
      </c>
      <c r="H2008" s="1521">
        <v>0</v>
      </c>
      <c r="I2008" s="1521">
        <v>0</v>
      </c>
      <c r="J2008" s="1538">
        <v>0</v>
      </c>
      <c r="K2008" s="1525"/>
      <c r="L2008" s="1519">
        <v>13229960200</v>
      </c>
      <c r="M2008" s="1520">
        <v>0</v>
      </c>
      <c r="N2008" s="1520">
        <v>0</v>
      </c>
      <c r="O2008" s="1521">
        <v>0</v>
      </c>
    </row>
    <row r="2009" spans="3:15" ht="13.5">
      <c r="C2009" s="1526" t="s">
        <v>5970</v>
      </c>
      <c r="D2009" s="1523">
        <v>0</v>
      </c>
      <c r="E2009" s="1523">
        <v>0</v>
      </c>
      <c r="F2009" s="1524">
        <v>0</v>
      </c>
      <c r="G2009" s="1537" t="s">
        <v>5970</v>
      </c>
      <c r="H2009" s="1521">
        <v>0</v>
      </c>
      <c r="I2009" s="1521">
        <v>0</v>
      </c>
      <c r="J2009" s="1538">
        <v>0</v>
      </c>
      <c r="K2009" s="1525"/>
      <c r="L2009" s="1519">
        <v>13229960300</v>
      </c>
      <c r="M2009" s="1520">
        <v>0</v>
      </c>
      <c r="N2009" s="1520">
        <v>0</v>
      </c>
      <c r="O2009" s="1521">
        <v>0</v>
      </c>
    </row>
    <row r="2010" spans="3:15" ht="13.5">
      <c r="C2010" s="1526" t="s">
        <v>5971</v>
      </c>
      <c r="D2010" s="1523">
        <v>0</v>
      </c>
      <c r="E2010" s="1523">
        <v>1</v>
      </c>
      <c r="F2010" s="1524">
        <v>1</v>
      </c>
      <c r="G2010" s="1537" t="s">
        <v>5971</v>
      </c>
      <c r="H2010" s="1521">
        <v>0</v>
      </c>
      <c r="I2010" s="1521">
        <v>0</v>
      </c>
      <c r="J2010" s="1538">
        <v>0</v>
      </c>
      <c r="K2010" s="1525"/>
      <c r="L2010" s="1519">
        <v>13229960400</v>
      </c>
      <c r="M2010" s="1520">
        <v>0</v>
      </c>
      <c r="N2010" s="1520">
        <v>1</v>
      </c>
      <c r="O2010" s="1521">
        <v>1</v>
      </c>
    </row>
    <row r="2011" spans="3:15" ht="13.5">
      <c r="C2011" s="1526" t="s">
        <v>5972</v>
      </c>
      <c r="D2011" s="1523">
        <v>0</v>
      </c>
      <c r="E2011" s="1523">
        <v>1</v>
      </c>
      <c r="F2011" s="1524">
        <v>1</v>
      </c>
      <c r="G2011" s="1537" t="s">
        <v>5972</v>
      </c>
      <c r="H2011" s="1521">
        <v>0</v>
      </c>
      <c r="I2011" s="1521">
        <v>1</v>
      </c>
      <c r="J2011" s="1538">
        <v>1</v>
      </c>
      <c r="K2011" s="1525"/>
      <c r="L2011" s="1519">
        <v>13231010100</v>
      </c>
      <c r="M2011" s="1520">
        <v>0</v>
      </c>
      <c r="N2011" s="1520">
        <v>1</v>
      </c>
      <c r="O2011" s="1521">
        <v>1</v>
      </c>
    </row>
    <row r="2012" spans="3:15" ht="13.5">
      <c r="C2012" s="1526" t="s">
        <v>5973</v>
      </c>
      <c r="D2012" s="1523">
        <v>1</v>
      </c>
      <c r="E2012" s="1523">
        <v>1</v>
      </c>
      <c r="F2012" s="1524">
        <v>2</v>
      </c>
      <c r="G2012" s="1537" t="s">
        <v>5973</v>
      </c>
      <c r="H2012" s="1521">
        <v>1</v>
      </c>
      <c r="I2012" s="1521">
        <v>1</v>
      </c>
      <c r="J2012" s="1538">
        <v>2</v>
      </c>
      <c r="K2012" s="1525"/>
      <c r="L2012" s="1519">
        <v>13231010200</v>
      </c>
      <c r="M2012" s="1520">
        <v>1</v>
      </c>
      <c r="N2012" s="1520">
        <v>1</v>
      </c>
      <c r="O2012" s="1521">
        <v>2</v>
      </c>
    </row>
    <row r="2013" spans="3:15" ht="13.5">
      <c r="C2013" s="1526" t="s">
        <v>5974</v>
      </c>
      <c r="D2013" s="1523">
        <v>0</v>
      </c>
      <c r="E2013" s="1523">
        <v>1</v>
      </c>
      <c r="F2013" s="1524">
        <v>1</v>
      </c>
      <c r="G2013" s="1537" t="s">
        <v>5974</v>
      </c>
      <c r="H2013" s="1521">
        <v>0</v>
      </c>
      <c r="I2013" s="1521">
        <v>0</v>
      </c>
      <c r="J2013" s="1538">
        <v>0</v>
      </c>
      <c r="K2013" s="1525"/>
      <c r="L2013" s="1519">
        <v>13231010300</v>
      </c>
      <c r="M2013" s="1520">
        <v>0</v>
      </c>
      <c r="N2013" s="1520">
        <v>1</v>
      </c>
      <c r="O2013" s="1521">
        <v>1</v>
      </c>
    </row>
    <row r="2014" spans="3:15" ht="13.5">
      <c r="C2014" s="1526" t="s">
        <v>5975</v>
      </c>
      <c r="D2014" s="1523">
        <v>0</v>
      </c>
      <c r="E2014" s="1523">
        <v>1</v>
      </c>
      <c r="F2014" s="1524">
        <v>1</v>
      </c>
      <c r="G2014" s="1537" t="s">
        <v>5975</v>
      </c>
      <c r="H2014" s="1521">
        <v>0</v>
      </c>
      <c r="I2014" s="1521">
        <v>0</v>
      </c>
      <c r="J2014" s="1538">
        <v>0</v>
      </c>
      <c r="K2014" s="1525"/>
      <c r="L2014" s="1519">
        <v>13231010400</v>
      </c>
      <c r="M2014" s="1520">
        <v>0</v>
      </c>
      <c r="N2014" s="1520">
        <v>1</v>
      </c>
      <c r="O2014" s="1521">
        <v>1</v>
      </c>
    </row>
    <row r="2015" spans="3:15" ht="13.5">
      <c r="C2015" s="1526" t="s">
        <v>5976</v>
      </c>
      <c r="D2015" s="1523">
        <v>0</v>
      </c>
      <c r="E2015" s="1523">
        <v>0</v>
      </c>
      <c r="F2015" s="1524">
        <v>0</v>
      </c>
      <c r="G2015" s="1537" t="s">
        <v>5976</v>
      </c>
      <c r="H2015" s="1521">
        <v>0</v>
      </c>
      <c r="I2015" s="1521">
        <v>0</v>
      </c>
      <c r="J2015" s="1538">
        <v>0</v>
      </c>
      <c r="K2015" s="1525"/>
      <c r="L2015" s="1519">
        <v>13233010100</v>
      </c>
      <c r="M2015" s="1520">
        <v>0</v>
      </c>
      <c r="N2015" s="1520">
        <v>0</v>
      </c>
      <c r="O2015" s="1521">
        <v>0</v>
      </c>
    </row>
    <row r="2016" spans="3:15" ht="13.5">
      <c r="C2016" s="1526" t="s">
        <v>5977</v>
      </c>
      <c r="D2016" s="1523">
        <v>0</v>
      </c>
      <c r="E2016" s="1523">
        <v>0</v>
      </c>
      <c r="F2016" s="1524">
        <v>0</v>
      </c>
      <c r="G2016" s="1537" t="s">
        <v>5977</v>
      </c>
      <c r="H2016" s="1521">
        <v>0</v>
      </c>
      <c r="I2016" s="1521">
        <v>1</v>
      </c>
      <c r="J2016" s="1538">
        <v>1</v>
      </c>
      <c r="K2016" s="1525"/>
      <c r="L2016" s="1519">
        <v>13233010200</v>
      </c>
      <c r="M2016" s="1520">
        <v>0</v>
      </c>
      <c r="N2016" s="1520">
        <v>1</v>
      </c>
      <c r="O2016" s="1521">
        <v>1</v>
      </c>
    </row>
    <row r="2017" spans="3:15" ht="13.5">
      <c r="C2017" s="1526" t="s">
        <v>5978</v>
      </c>
      <c r="D2017" s="1523">
        <v>0</v>
      </c>
      <c r="E2017" s="1523">
        <v>0</v>
      </c>
      <c r="F2017" s="1524">
        <v>0</v>
      </c>
      <c r="G2017" s="1537" t="s">
        <v>5978</v>
      </c>
      <c r="H2017" s="1521">
        <v>0</v>
      </c>
      <c r="I2017" s="1521">
        <v>0</v>
      </c>
      <c r="J2017" s="1538">
        <v>0</v>
      </c>
      <c r="K2017" s="1525"/>
      <c r="L2017" s="1519">
        <v>13233010300</v>
      </c>
      <c r="M2017" s="1520">
        <v>0</v>
      </c>
      <c r="N2017" s="1520">
        <v>0</v>
      </c>
      <c r="O2017" s="1521">
        <v>0</v>
      </c>
    </row>
    <row r="2018" spans="3:15" ht="13.5">
      <c r="C2018" s="1526" t="s">
        <v>5979</v>
      </c>
      <c r="D2018" s="1523">
        <v>0</v>
      </c>
      <c r="E2018" s="1523">
        <v>0</v>
      </c>
      <c r="F2018" s="1524">
        <v>0</v>
      </c>
      <c r="G2018" s="1537" t="s">
        <v>5979</v>
      </c>
      <c r="H2018" s="1521">
        <v>0</v>
      </c>
      <c r="I2018" s="1521">
        <v>0</v>
      </c>
      <c r="J2018" s="1538">
        <v>0</v>
      </c>
      <c r="K2018" s="1525"/>
      <c r="L2018" s="1519">
        <v>13233010400</v>
      </c>
      <c r="M2018" s="1520">
        <v>0</v>
      </c>
      <c r="N2018" s="1520">
        <v>0</v>
      </c>
      <c r="O2018" s="1521">
        <v>0</v>
      </c>
    </row>
    <row r="2019" spans="3:15" ht="13.5">
      <c r="C2019" s="1526" t="s">
        <v>5980</v>
      </c>
      <c r="D2019" s="1523">
        <v>0</v>
      </c>
      <c r="E2019" s="1523">
        <v>0</v>
      </c>
      <c r="F2019" s="1524">
        <v>0</v>
      </c>
      <c r="G2019" s="1537" t="s">
        <v>5980</v>
      </c>
      <c r="H2019" s="1521">
        <v>0</v>
      </c>
      <c r="I2019" s="1521">
        <v>0</v>
      </c>
      <c r="J2019" s="1538">
        <v>0</v>
      </c>
      <c r="K2019" s="1525"/>
      <c r="L2019" s="1519">
        <v>13233010500</v>
      </c>
      <c r="M2019" s="1520">
        <v>0</v>
      </c>
      <c r="N2019" s="1520">
        <v>0</v>
      </c>
      <c r="O2019" s="1521">
        <v>0</v>
      </c>
    </row>
    <row r="2020" spans="3:15" ht="13.5">
      <c r="C2020" s="1526" t="s">
        <v>5981</v>
      </c>
      <c r="D2020" s="1523">
        <v>0</v>
      </c>
      <c r="E2020" s="1523">
        <v>0</v>
      </c>
      <c r="F2020" s="1524">
        <v>0</v>
      </c>
      <c r="G2020" s="1537" t="s">
        <v>5981</v>
      </c>
      <c r="H2020" s="1521">
        <v>0</v>
      </c>
      <c r="I2020" s="1521">
        <v>1</v>
      </c>
      <c r="J2020" s="1538">
        <v>1</v>
      </c>
      <c r="K2020" s="1525"/>
      <c r="L2020" s="1519">
        <v>13233010600</v>
      </c>
      <c r="M2020" s="1520">
        <v>0</v>
      </c>
      <c r="N2020" s="1520">
        <v>1</v>
      </c>
      <c r="O2020" s="1521">
        <v>1</v>
      </c>
    </row>
    <row r="2021" spans="3:15" ht="13.5">
      <c r="C2021" s="1526" t="s">
        <v>5982</v>
      </c>
      <c r="D2021" s="1523">
        <v>0</v>
      </c>
      <c r="E2021" s="1523">
        <v>0</v>
      </c>
      <c r="F2021" s="1524">
        <v>0</v>
      </c>
      <c r="G2021" s="1537" t="s">
        <v>5982</v>
      </c>
      <c r="H2021" s="1521">
        <v>0</v>
      </c>
      <c r="I2021" s="1521">
        <v>0</v>
      </c>
      <c r="J2021" s="1538">
        <v>0</v>
      </c>
      <c r="K2021" s="1525"/>
      <c r="L2021" s="1519">
        <v>13233010700</v>
      </c>
      <c r="M2021" s="1520">
        <v>0</v>
      </c>
      <c r="N2021" s="1520">
        <v>0</v>
      </c>
      <c r="O2021" s="1521">
        <v>0</v>
      </c>
    </row>
    <row r="2022" spans="3:15" ht="13.5">
      <c r="C2022" s="1526" t="s">
        <v>5983</v>
      </c>
      <c r="D2022" s="1523">
        <v>0</v>
      </c>
      <c r="E2022" s="1523">
        <v>0</v>
      </c>
      <c r="F2022" s="1524">
        <v>0</v>
      </c>
      <c r="G2022" s="1537" t="s">
        <v>5983</v>
      </c>
      <c r="H2022" s="1521">
        <v>0</v>
      </c>
      <c r="I2022" s="1521">
        <v>0</v>
      </c>
      <c r="J2022" s="1538">
        <v>0</v>
      </c>
      <c r="K2022" s="1525"/>
      <c r="L2022" s="1519">
        <v>13235950100</v>
      </c>
      <c r="M2022" s="1520">
        <v>0</v>
      </c>
      <c r="N2022" s="1520">
        <v>0</v>
      </c>
      <c r="O2022" s="1521">
        <v>0</v>
      </c>
    </row>
    <row r="2023" spans="3:15" ht="13.5">
      <c r="C2023" s="1526" t="s">
        <v>5984</v>
      </c>
      <c r="D2023" s="1523">
        <v>0</v>
      </c>
      <c r="E2023" s="1523">
        <v>0</v>
      </c>
      <c r="F2023" s="1524">
        <v>0</v>
      </c>
      <c r="G2023" s="1537" t="s">
        <v>5984</v>
      </c>
      <c r="H2023" s="1521">
        <v>0</v>
      </c>
      <c r="I2023" s="1521">
        <v>1</v>
      </c>
      <c r="J2023" s="1538">
        <v>1</v>
      </c>
      <c r="K2023" s="1525"/>
      <c r="L2023" s="1519">
        <v>13235950200</v>
      </c>
      <c r="M2023" s="1520">
        <v>0</v>
      </c>
      <c r="N2023" s="1520">
        <v>1</v>
      </c>
      <c r="O2023" s="1521">
        <v>1</v>
      </c>
    </row>
    <row r="2024" spans="3:15" ht="13.5">
      <c r="C2024" s="1526" t="s">
        <v>5985</v>
      </c>
      <c r="D2024" s="1523">
        <v>0</v>
      </c>
      <c r="E2024" s="1523">
        <v>0</v>
      </c>
      <c r="F2024" s="1524">
        <v>0</v>
      </c>
      <c r="G2024" s="1537" t="s">
        <v>5985</v>
      </c>
      <c r="H2024" s="1521">
        <v>0</v>
      </c>
      <c r="I2024" s="1521">
        <v>0</v>
      </c>
      <c r="J2024" s="1538">
        <v>0</v>
      </c>
      <c r="K2024" s="1525"/>
      <c r="L2024" s="1519">
        <v>13235950300</v>
      </c>
      <c r="M2024" s="1520">
        <v>0</v>
      </c>
      <c r="N2024" s="1520">
        <v>0</v>
      </c>
      <c r="O2024" s="1521">
        <v>0</v>
      </c>
    </row>
    <row r="2025" spans="3:15" ht="13.5">
      <c r="C2025" s="1526" t="s">
        <v>5986</v>
      </c>
      <c r="D2025" s="1523">
        <v>0</v>
      </c>
      <c r="E2025" s="1523">
        <v>0</v>
      </c>
      <c r="F2025" s="1524">
        <v>0</v>
      </c>
      <c r="G2025" s="1537" t="s">
        <v>5986</v>
      </c>
      <c r="H2025" s="1521">
        <v>0</v>
      </c>
      <c r="I2025" s="1521">
        <v>1</v>
      </c>
      <c r="J2025" s="1538">
        <v>1</v>
      </c>
      <c r="K2025" s="1525"/>
      <c r="L2025" s="1519">
        <v>13237960101</v>
      </c>
      <c r="M2025" s="1520">
        <v>0</v>
      </c>
      <c r="N2025" s="1520">
        <v>1</v>
      </c>
      <c r="O2025" s="1521">
        <v>1</v>
      </c>
    </row>
    <row r="2026" spans="3:15" ht="13.5">
      <c r="C2026" s="1526" t="s">
        <v>5987</v>
      </c>
      <c r="D2026" s="1523">
        <v>1</v>
      </c>
      <c r="E2026" s="1523">
        <v>1</v>
      </c>
      <c r="F2026" s="1524">
        <v>2</v>
      </c>
      <c r="G2026" s="1537" t="s">
        <v>5987</v>
      </c>
      <c r="H2026" s="1521">
        <v>1</v>
      </c>
      <c r="I2026" s="1521" t="s">
        <v>4099</v>
      </c>
      <c r="J2026" s="1538">
        <v>1</v>
      </c>
      <c r="K2026" s="1525"/>
      <c r="L2026" s="1519">
        <v>13237960102</v>
      </c>
      <c r="M2026" s="1520">
        <v>1</v>
      </c>
      <c r="N2026" s="1520">
        <v>1</v>
      </c>
      <c r="O2026" s="1521">
        <v>2</v>
      </c>
    </row>
    <row r="2027" spans="3:15" ht="13.5">
      <c r="C2027" s="1526" t="s">
        <v>5988</v>
      </c>
      <c r="D2027" s="1523">
        <v>0</v>
      </c>
      <c r="E2027" s="1523">
        <v>0</v>
      </c>
      <c r="F2027" s="1524">
        <v>0</v>
      </c>
      <c r="G2027" s="1537" t="s">
        <v>5988</v>
      </c>
      <c r="H2027" s="1521">
        <v>0</v>
      </c>
      <c r="I2027" s="1521" t="s">
        <v>4099</v>
      </c>
      <c r="J2027" s="1538">
        <v>0</v>
      </c>
      <c r="K2027" s="1525"/>
      <c r="L2027" s="1519">
        <v>13237960201</v>
      </c>
      <c r="M2027" s="1520">
        <v>0</v>
      </c>
      <c r="N2027" s="1520">
        <v>0</v>
      </c>
      <c r="O2027" s="1521">
        <v>0</v>
      </c>
    </row>
    <row r="2028" spans="3:15" ht="13.5">
      <c r="C2028" s="1526" t="s">
        <v>5989</v>
      </c>
      <c r="D2028" s="1523">
        <v>0</v>
      </c>
      <c r="E2028" s="1523">
        <v>0</v>
      </c>
      <c r="F2028" s="1524">
        <v>0</v>
      </c>
      <c r="G2028" s="1537" t="s">
        <v>5989</v>
      </c>
      <c r="H2028" s="1521">
        <v>0</v>
      </c>
      <c r="I2028" s="1521">
        <v>0</v>
      </c>
      <c r="J2028" s="1538">
        <v>0</v>
      </c>
      <c r="K2028" s="1525"/>
      <c r="L2028" s="1519">
        <v>13237960202</v>
      </c>
      <c r="M2028" s="1520">
        <v>0</v>
      </c>
      <c r="N2028" s="1520">
        <v>0</v>
      </c>
      <c r="O2028" s="1521">
        <v>0</v>
      </c>
    </row>
    <row r="2029" spans="3:15" ht="13.5">
      <c r="C2029" s="1526" t="s">
        <v>5990</v>
      </c>
      <c r="D2029" s="1523">
        <v>0</v>
      </c>
      <c r="E2029" s="1523">
        <v>1</v>
      </c>
      <c r="F2029" s="1524">
        <v>1</v>
      </c>
      <c r="G2029" s="1537" t="s">
        <v>5990</v>
      </c>
      <c r="H2029" s="1521">
        <v>0</v>
      </c>
      <c r="I2029" s="1521">
        <v>0</v>
      </c>
      <c r="J2029" s="1538">
        <v>0</v>
      </c>
      <c r="K2029" s="1525"/>
      <c r="L2029" s="1519">
        <v>13237960300</v>
      </c>
      <c r="M2029" s="1520">
        <v>0</v>
      </c>
      <c r="N2029" s="1520">
        <v>1</v>
      </c>
      <c r="O2029" s="1521">
        <v>1</v>
      </c>
    </row>
    <row r="2030" spans="3:15" ht="13.5">
      <c r="C2030" s="1526" t="s">
        <v>5991</v>
      </c>
      <c r="D2030" s="1523">
        <v>0</v>
      </c>
      <c r="E2030" s="1523">
        <v>0</v>
      </c>
      <c r="F2030" s="1524">
        <v>0</v>
      </c>
      <c r="G2030" s="1537" t="s">
        <v>5991</v>
      </c>
      <c r="H2030" s="1521">
        <v>0</v>
      </c>
      <c r="I2030" s="1521">
        <v>0</v>
      </c>
      <c r="J2030" s="1538">
        <v>0</v>
      </c>
      <c r="K2030" s="1525"/>
      <c r="L2030" s="1519">
        <v>13239960300</v>
      </c>
      <c r="M2030" s="1520">
        <v>0</v>
      </c>
      <c r="N2030" s="1520">
        <v>0</v>
      </c>
      <c r="O2030" s="1521">
        <v>0</v>
      </c>
    </row>
    <row r="2031" spans="3:15" ht="13.5">
      <c r="C2031" s="1526" t="s">
        <v>5992</v>
      </c>
      <c r="D2031" s="1523">
        <v>0</v>
      </c>
      <c r="E2031" s="1523">
        <v>0</v>
      </c>
      <c r="F2031" s="1524">
        <v>0</v>
      </c>
      <c r="G2031" s="1537" t="s">
        <v>5992</v>
      </c>
      <c r="H2031" s="1521">
        <v>0</v>
      </c>
      <c r="I2031" s="1521">
        <v>1</v>
      </c>
      <c r="J2031" s="1538">
        <v>1</v>
      </c>
      <c r="K2031" s="1525"/>
      <c r="L2031" s="1519">
        <v>13241970100</v>
      </c>
      <c r="M2031" s="1520">
        <v>0</v>
      </c>
      <c r="N2031" s="1520">
        <v>1</v>
      </c>
      <c r="O2031" s="1521">
        <v>1</v>
      </c>
    </row>
    <row r="2032" spans="3:15" ht="13.5">
      <c r="C2032" s="1526" t="s">
        <v>5993</v>
      </c>
      <c r="D2032" s="1523">
        <v>0</v>
      </c>
      <c r="E2032" s="1523">
        <v>0</v>
      </c>
      <c r="F2032" s="1524">
        <v>0</v>
      </c>
      <c r="G2032" s="1537" t="s">
        <v>5993</v>
      </c>
      <c r="H2032" s="1521">
        <v>0</v>
      </c>
      <c r="I2032" s="1521">
        <v>0</v>
      </c>
      <c r="J2032" s="1538">
        <v>0</v>
      </c>
      <c r="K2032" s="1525"/>
      <c r="L2032" s="1519">
        <v>13241970201</v>
      </c>
      <c r="M2032" s="1520">
        <v>0</v>
      </c>
      <c r="N2032" s="1520">
        <v>0</v>
      </c>
      <c r="O2032" s="1521">
        <v>0</v>
      </c>
    </row>
    <row r="2033" spans="3:15" ht="13.5">
      <c r="C2033" s="1526" t="s">
        <v>5994</v>
      </c>
      <c r="D2033" s="1523">
        <v>0</v>
      </c>
      <c r="E2033" s="1523">
        <v>0</v>
      </c>
      <c r="F2033" s="1524">
        <v>0</v>
      </c>
      <c r="G2033" s="1537" t="s">
        <v>5994</v>
      </c>
      <c r="H2033" s="1521">
        <v>0</v>
      </c>
      <c r="I2033" s="1521">
        <v>0</v>
      </c>
      <c r="J2033" s="1538">
        <v>0</v>
      </c>
      <c r="K2033" s="1525"/>
      <c r="L2033" s="1519">
        <v>13241970202</v>
      </c>
      <c r="M2033" s="1520">
        <v>0</v>
      </c>
      <c r="N2033" s="1520">
        <v>0</v>
      </c>
      <c r="O2033" s="1521">
        <v>0</v>
      </c>
    </row>
    <row r="2034" spans="3:15" ht="13.5">
      <c r="C2034" s="1526" t="s">
        <v>5995</v>
      </c>
      <c r="D2034" s="1523">
        <v>0</v>
      </c>
      <c r="E2034" s="1523">
        <v>0</v>
      </c>
      <c r="F2034" s="1524">
        <v>0</v>
      </c>
      <c r="G2034" s="1537" t="s">
        <v>5995</v>
      </c>
      <c r="H2034" s="1521">
        <v>0</v>
      </c>
      <c r="I2034" s="1521">
        <v>1</v>
      </c>
      <c r="J2034" s="1538">
        <v>1</v>
      </c>
      <c r="K2034" s="1525"/>
      <c r="L2034" s="1519">
        <v>13241970301</v>
      </c>
      <c r="M2034" s="1520">
        <v>0</v>
      </c>
      <c r="N2034" s="1520">
        <v>1</v>
      </c>
      <c r="O2034" s="1521">
        <v>1</v>
      </c>
    </row>
    <row r="2035" spans="3:15" ht="13.5">
      <c r="C2035" s="1526" t="s">
        <v>5996</v>
      </c>
      <c r="D2035" s="1523">
        <v>0</v>
      </c>
      <c r="E2035" s="1523">
        <v>0</v>
      </c>
      <c r="F2035" s="1524">
        <v>0</v>
      </c>
      <c r="G2035" s="1537" t="s">
        <v>5996</v>
      </c>
      <c r="H2035" s="1521">
        <v>0</v>
      </c>
      <c r="I2035" s="1521">
        <v>0</v>
      </c>
      <c r="J2035" s="1538">
        <v>0</v>
      </c>
      <c r="K2035" s="1525"/>
      <c r="L2035" s="1519">
        <v>13241970302</v>
      </c>
      <c r="M2035" s="1520">
        <v>0</v>
      </c>
      <c r="N2035" s="1520">
        <v>0</v>
      </c>
      <c r="O2035" s="1521">
        <v>0</v>
      </c>
    </row>
    <row r="2036" spans="3:15" ht="13.5">
      <c r="C2036" s="1526" t="s">
        <v>5997</v>
      </c>
      <c r="D2036" s="1523">
        <v>0</v>
      </c>
      <c r="E2036" s="1523">
        <v>0</v>
      </c>
      <c r="F2036" s="1524">
        <v>0</v>
      </c>
      <c r="G2036" s="1537" t="s">
        <v>5997</v>
      </c>
      <c r="H2036" s="1521">
        <v>0</v>
      </c>
      <c r="I2036" s="1521">
        <v>0</v>
      </c>
      <c r="J2036" s="1538">
        <v>0</v>
      </c>
      <c r="K2036" s="1525"/>
      <c r="L2036" s="1519">
        <v>13243790100</v>
      </c>
      <c r="M2036" s="1520">
        <v>0</v>
      </c>
      <c r="N2036" s="1520">
        <v>0</v>
      </c>
      <c r="O2036" s="1521">
        <v>0</v>
      </c>
    </row>
    <row r="2037" spans="3:15" ht="13.5">
      <c r="C2037" s="1526" t="s">
        <v>5998</v>
      </c>
      <c r="D2037" s="1523">
        <v>0</v>
      </c>
      <c r="E2037" s="1523">
        <v>0</v>
      </c>
      <c r="F2037" s="1524">
        <v>0</v>
      </c>
      <c r="G2037" s="1537" t="s">
        <v>5998</v>
      </c>
      <c r="H2037" s="1521">
        <v>0</v>
      </c>
      <c r="I2037" s="1521">
        <v>0</v>
      </c>
      <c r="J2037" s="1538">
        <v>0</v>
      </c>
      <c r="K2037" s="1525"/>
      <c r="L2037" s="1519">
        <v>13243790200</v>
      </c>
      <c r="M2037" s="1520">
        <v>0</v>
      </c>
      <c r="N2037" s="1520">
        <v>0</v>
      </c>
      <c r="O2037" s="1521">
        <v>0</v>
      </c>
    </row>
    <row r="2038" spans="3:15" ht="13.5">
      <c r="C2038" s="1526" t="s">
        <v>5999</v>
      </c>
      <c r="D2038" s="1523">
        <v>0</v>
      </c>
      <c r="E2038" s="1523">
        <v>0</v>
      </c>
      <c r="F2038" s="1524">
        <v>0</v>
      </c>
      <c r="G2038" s="1537" t="s">
        <v>5999</v>
      </c>
      <c r="H2038" s="1521">
        <v>0</v>
      </c>
      <c r="I2038" s="1521">
        <v>0</v>
      </c>
      <c r="J2038" s="1538">
        <v>0</v>
      </c>
      <c r="K2038" s="1525"/>
      <c r="L2038" s="1519">
        <v>13245000100</v>
      </c>
      <c r="M2038" s="1520">
        <v>0</v>
      </c>
      <c r="N2038" s="1520">
        <v>0</v>
      </c>
      <c r="O2038" s="1521">
        <v>0</v>
      </c>
    </row>
    <row r="2039" spans="3:15" ht="13.5">
      <c r="C2039" s="1526" t="s">
        <v>6000</v>
      </c>
      <c r="D2039" s="1523">
        <v>0</v>
      </c>
      <c r="E2039" s="1523">
        <v>0</v>
      </c>
      <c r="F2039" s="1524">
        <v>0</v>
      </c>
      <c r="G2039" s="1537" t="s">
        <v>6000</v>
      </c>
      <c r="H2039" s="1521">
        <v>0</v>
      </c>
      <c r="I2039" s="1521">
        <v>0</v>
      </c>
      <c r="J2039" s="1538">
        <v>0</v>
      </c>
      <c r="K2039" s="1525"/>
      <c r="L2039" s="1519">
        <v>13245000200</v>
      </c>
      <c r="M2039" s="1520">
        <v>0</v>
      </c>
      <c r="N2039" s="1520">
        <v>0</v>
      </c>
      <c r="O2039" s="1521">
        <v>0</v>
      </c>
    </row>
    <row r="2040" spans="3:15" ht="13.5">
      <c r="C2040" s="1526" t="s">
        <v>6001</v>
      </c>
      <c r="D2040" s="1523">
        <v>0</v>
      </c>
      <c r="E2040" s="1523">
        <v>0</v>
      </c>
      <c r="F2040" s="1524">
        <v>0</v>
      </c>
      <c r="G2040" s="1537" t="s">
        <v>6001</v>
      </c>
      <c r="H2040" s="1521">
        <v>0</v>
      </c>
      <c r="I2040" s="1521">
        <v>0</v>
      </c>
      <c r="J2040" s="1538">
        <v>0</v>
      </c>
      <c r="K2040" s="1525"/>
      <c r="L2040" s="1519">
        <v>13245000300</v>
      </c>
      <c r="M2040" s="1520">
        <v>0</v>
      </c>
      <c r="N2040" s="1520">
        <v>0</v>
      </c>
      <c r="O2040" s="1521">
        <v>0</v>
      </c>
    </row>
    <row r="2041" spans="3:15" ht="13.5">
      <c r="C2041" s="1526" t="s">
        <v>6002</v>
      </c>
      <c r="D2041" s="1523">
        <v>0</v>
      </c>
      <c r="E2041" s="1523">
        <v>0</v>
      </c>
      <c r="F2041" s="1524">
        <v>0</v>
      </c>
      <c r="G2041" s="1537" t="s">
        <v>6002</v>
      </c>
      <c r="H2041" s="1521">
        <v>0</v>
      </c>
      <c r="I2041" s="1521" t="s">
        <v>4099</v>
      </c>
      <c r="J2041" s="1538">
        <v>0</v>
      </c>
      <c r="K2041" s="1525"/>
      <c r="L2041" s="1519">
        <v>13245000600</v>
      </c>
      <c r="M2041" s="1520">
        <v>0</v>
      </c>
      <c r="N2041" s="1520">
        <v>0</v>
      </c>
      <c r="O2041" s="1521">
        <v>0</v>
      </c>
    </row>
    <row r="2042" spans="3:15" ht="13.5">
      <c r="C2042" s="1526" t="s">
        <v>6003</v>
      </c>
      <c r="D2042" s="1523">
        <v>0</v>
      </c>
      <c r="E2042" s="1523">
        <v>0</v>
      </c>
      <c r="F2042" s="1524">
        <v>0</v>
      </c>
      <c r="G2042" s="1537" t="s">
        <v>6003</v>
      </c>
      <c r="H2042" s="1521">
        <v>0</v>
      </c>
      <c r="I2042" s="1521">
        <v>0</v>
      </c>
      <c r="J2042" s="1538">
        <v>0</v>
      </c>
      <c r="K2042" s="1525"/>
      <c r="L2042" s="1519">
        <v>13245000700</v>
      </c>
      <c r="M2042" s="1520">
        <v>0</v>
      </c>
      <c r="N2042" s="1520">
        <v>0</v>
      </c>
      <c r="O2042" s="1521">
        <v>0</v>
      </c>
    </row>
    <row r="2043" spans="3:15" ht="13.5">
      <c r="C2043" s="1526" t="s">
        <v>6004</v>
      </c>
      <c r="D2043" s="1523">
        <v>0</v>
      </c>
      <c r="E2043" s="1523">
        <v>0</v>
      </c>
      <c r="F2043" s="1524">
        <v>0</v>
      </c>
      <c r="G2043" s="1537" t="s">
        <v>6004</v>
      </c>
      <c r="H2043" s="1521">
        <v>0</v>
      </c>
      <c r="I2043" s="1521">
        <v>0</v>
      </c>
      <c r="J2043" s="1538">
        <v>0</v>
      </c>
      <c r="K2043" s="1525"/>
      <c r="L2043" s="1519">
        <v>13245000900</v>
      </c>
      <c r="M2043" s="1520">
        <v>0</v>
      </c>
      <c r="N2043" s="1520">
        <v>0</v>
      </c>
      <c r="O2043" s="1521">
        <v>0</v>
      </c>
    </row>
    <row r="2044" spans="3:15" ht="13.5">
      <c r="C2044" s="1526" t="s">
        <v>6005</v>
      </c>
      <c r="D2044" s="1523">
        <v>0</v>
      </c>
      <c r="E2044" s="1523">
        <v>0</v>
      </c>
      <c r="F2044" s="1524">
        <v>0</v>
      </c>
      <c r="G2044" s="1537" t="s">
        <v>6005</v>
      </c>
      <c r="H2044" s="1521">
        <v>0</v>
      </c>
      <c r="I2044" s="1521">
        <v>0</v>
      </c>
      <c r="J2044" s="1538">
        <v>0</v>
      </c>
      <c r="K2044" s="1525"/>
      <c r="L2044" s="1519">
        <v>13245001000</v>
      </c>
      <c r="M2044" s="1520">
        <v>0</v>
      </c>
      <c r="N2044" s="1520">
        <v>0</v>
      </c>
      <c r="O2044" s="1521">
        <v>0</v>
      </c>
    </row>
    <row r="2045" spans="3:15" ht="13.5">
      <c r="C2045" s="1526" t="s">
        <v>6006</v>
      </c>
      <c r="D2045" s="1523">
        <v>1</v>
      </c>
      <c r="E2045" s="1523">
        <v>1</v>
      </c>
      <c r="F2045" s="1524">
        <v>2</v>
      </c>
      <c r="G2045" s="1537" t="s">
        <v>6006</v>
      </c>
      <c r="H2045" s="1521">
        <v>1</v>
      </c>
      <c r="I2045" s="1521" t="s">
        <v>4099</v>
      </c>
      <c r="J2045" s="1538">
        <v>1</v>
      </c>
      <c r="K2045" s="1525"/>
      <c r="L2045" s="1519">
        <v>13245001100</v>
      </c>
      <c r="M2045" s="1520">
        <v>1</v>
      </c>
      <c r="N2045" s="1520">
        <v>1</v>
      </c>
      <c r="O2045" s="1521">
        <v>2</v>
      </c>
    </row>
    <row r="2046" spans="3:15" ht="13.5">
      <c r="C2046" s="1526" t="s">
        <v>6007</v>
      </c>
      <c r="D2046" s="1523">
        <v>0</v>
      </c>
      <c r="E2046" s="1523">
        <v>0</v>
      </c>
      <c r="F2046" s="1524">
        <v>0</v>
      </c>
      <c r="G2046" s="1537" t="s">
        <v>6007</v>
      </c>
      <c r="H2046" s="1521">
        <v>0</v>
      </c>
      <c r="I2046" s="1521">
        <v>0</v>
      </c>
      <c r="J2046" s="1538">
        <v>0</v>
      </c>
      <c r="K2046" s="1525"/>
      <c r="L2046" s="1519">
        <v>13245001200</v>
      </c>
      <c r="M2046" s="1520">
        <v>0</v>
      </c>
      <c r="N2046" s="1520">
        <v>0</v>
      </c>
      <c r="O2046" s="1521">
        <v>0</v>
      </c>
    </row>
    <row r="2047" spans="3:15" ht="13.5">
      <c r="C2047" s="1526" t="s">
        <v>6008</v>
      </c>
      <c r="D2047" s="1523">
        <v>0</v>
      </c>
      <c r="E2047" s="1523">
        <v>0</v>
      </c>
      <c r="F2047" s="1524">
        <v>0</v>
      </c>
      <c r="G2047" s="1537" t="s">
        <v>6008</v>
      </c>
      <c r="H2047" s="1521">
        <v>0</v>
      </c>
      <c r="I2047" s="1521">
        <v>0</v>
      </c>
      <c r="J2047" s="1538">
        <v>0</v>
      </c>
      <c r="K2047" s="1525"/>
      <c r="L2047" s="1519">
        <v>13245001300</v>
      </c>
      <c r="M2047" s="1520">
        <v>0</v>
      </c>
      <c r="N2047" s="1520">
        <v>0</v>
      </c>
      <c r="O2047" s="1521">
        <v>0</v>
      </c>
    </row>
    <row r="2048" spans="3:15" ht="13.5">
      <c r="C2048" s="1526" t="s">
        <v>6009</v>
      </c>
      <c r="D2048" s="1523">
        <v>0</v>
      </c>
      <c r="E2048" s="1523">
        <v>0</v>
      </c>
      <c r="F2048" s="1524">
        <v>0</v>
      </c>
      <c r="G2048" s="1537" t="s">
        <v>6009</v>
      </c>
      <c r="H2048" s="1521">
        <v>0</v>
      </c>
      <c r="I2048" s="1521">
        <v>0</v>
      </c>
      <c r="J2048" s="1538">
        <v>0</v>
      </c>
      <c r="K2048" s="1525"/>
      <c r="L2048" s="1519">
        <v>13245001400</v>
      </c>
      <c r="M2048" s="1520">
        <v>0</v>
      </c>
      <c r="N2048" s="1520">
        <v>0</v>
      </c>
      <c r="O2048" s="1521">
        <v>0</v>
      </c>
    </row>
    <row r="2049" spans="3:15" ht="13.5">
      <c r="C2049" s="1526" t="s">
        <v>6010</v>
      </c>
      <c r="D2049" s="1523">
        <v>0</v>
      </c>
      <c r="E2049" s="1523">
        <v>0</v>
      </c>
      <c r="F2049" s="1524">
        <v>0</v>
      </c>
      <c r="G2049" s="1537" t="s">
        <v>6010</v>
      </c>
      <c r="H2049" s="1521">
        <v>0</v>
      </c>
      <c r="I2049" s="1521" t="s">
        <v>4099</v>
      </c>
      <c r="J2049" s="1538">
        <v>0</v>
      </c>
      <c r="K2049" s="1525"/>
      <c r="L2049" s="1519">
        <v>13245001500</v>
      </c>
      <c r="M2049" s="1520">
        <v>0</v>
      </c>
      <c r="N2049" s="1520">
        <v>0</v>
      </c>
      <c r="O2049" s="1521">
        <v>0</v>
      </c>
    </row>
    <row r="2050" spans="3:15" ht="13.5">
      <c r="C2050" s="1526" t="s">
        <v>6011</v>
      </c>
      <c r="D2050" s="1523">
        <v>0</v>
      </c>
      <c r="E2050" s="1523">
        <v>0</v>
      </c>
      <c r="F2050" s="1524">
        <v>0</v>
      </c>
      <c r="G2050" s="1537" t="s">
        <v>6011</v>
      </c>
      <c r="H2050" s="1521">
        <v>0</v>
      </c>
      <c r="I2050" s="1521">
        <v>0</v>
      </c>
      <c r="J2050" s="1538">
        <v>0</v>
      </c>
      <c r="K2050" s="1525"/>
      <c r="L2050" s="1519">
        <v>13245001601</v>
      </c>
      <c r="M2050" s="1520">
        <v>0</v>
      </c>
      <c r="N2050" s="1520">
        <v>0</v>
      </c>
      <c r="O2050" s="1521">
        <v>0</v>
      </c>
    </row>
    <row r="2051" spans="3:15" ht="13.5">
      <c r="C2051" s="1526" t="s">
        <v>6012</v>
      </c>
      <c r="D2051" s="1523">
        <v>1</v>
      </c>
      <c r="E2051" s="1523">
        <v>1</v>
      </c>
      <c r="F2051" s="1524">
        <v>2</v>
      </c>
      <c r="G2051" s="1537" t="s">
        <v>6012</v>
      </c>
      <c r="H2051" s="1521">
        <v>1</v>
      </c>
      <c r="I2051" s="1521">
        <v>1</v>
      </c>
      <c r="J2051" s="1538">
        <v>2</v>
      </c>
      <c r="K2051" s="1525"/>
      <c r="L2051" s="1519">
        <v>13245001602</v>
      </c>
      <c r="M2051" s="1520">
        <v>1</v>
      </c>
      <c r="N2051" s="1520">
        <v>1</v>
      </c>
      <c r="O2051" s="1521">
        <v>2</v>
      </c>
    </row>
    <row r="2052" spans="3:15" ht="13.5">
      <c r="C2052" s="1526" t="s">
        <v>6013</v>
      </c>
      <c r="D2052" s="1523">
        <v>0</v>
      </c>
      <c r="E2052" s="1523">
        <v>0</v>
      </c>
      <c r="F2052" s="1524">
        <v>0</v>
      </c>
      <c r="G2052" s="1537" t="s">
        <v>6013</v>
      </c>
      <c r="H2052" s="1521">
        <v>1</v>
      </c>
      <c r="I2052" s="1521">
        <v>0</v>
      </c>
      <c r="J2052" s="1538">
        <v>1</v>
      </c>
      <c r="K2052" s="1525"/>
      <c r="L2052" s="1519">
        <v>13245010101</v>
      </c>
      <c r="M2052" s="1520">
        <v>1</v>
      </c>
      <c r="N2052" s="1520">
        <v>0</v>
      </c>
      <c r="O2052" s="1521">
        <v>1</v>
      </c>
    </row>
    <row r="2053" spans="3:15" ht="13.5">
      <c r="C2053" s="1526" t="s">
        <v>6014</v>
      </c>
      <c r="D2053" s="1523">
        <v>1</v>
      </c>
      <c r="E2053" s="1523">
        <v>1</v>
      </c>
      <c r="F2053" s="1524">
        <v>2</v>
      </c>
      <c r="G2053" s="1537" t="s">
        <v>6014</v>
      </c>
      <c r="H2053" s="1521">
        <v>1</v>
      </c>
      <c r="I2053" s="1521">
        <v>0</v>
      </c>
      <c r="J2053" s="1538">
        <v>1</v>
      </c>
      <c r="K2053" s="1525"/>
      <c r="L2053" s="1519">
        <v>13245010104</v>
      </c>
      <c r="M2053" s="1520">
        <v>1</v>
      </c>
      <c r="N2053" s="1520">
        <v>1</v>
      </c>
      <c r="O2053" s="1521">
        <v>2</v>
      </c>
    </row>
    <row r="2054" spans="3:15" ht="13.5">
      <c r="C2054" s="1526" t="s">
        <v>6015</v>
      </c>
      <c r="D2054" s="1523">
        <v>0</v>
      </c>
      <c r="E2054" s="1523">
        <v>0</v>
      </c>
      <c r="F2054" s="1524">
        <v>0</v>
      </c>
      <c r="G2054" s="1537" t="s">
        <v>6015</v>
      </c>
      <c r="H2054" s="1521">
        <v>0</v>
      </c>
      <c r="I2054" s="1521">
        <v>0</v>
      </c>
      <c r="J2054" s="1538">
        <v>0</v>
      </c>
      <c r="K2054" s="1525"/>
      <c r="L2054" s="1519">
        <v>13245010105</v>
      </c>
      <c r="M2054" s="1520">
        <v>0</v>
      </c>
      <c r="N2054" s="1520">
        <v>0</v>
      </c>
      <c r="O2054" s="1521">
        <v>0</v>
      </c>
    </row>
    <row r="2055" spans="3:15" ht="13.5">
      <c r="C2055" s="1526" t="s">
        <v>6016</v>
      </c>
      <c r="D2055" s="1523">
        <v>1</v>
      </c>
      <c r="E2055" s="1523">
        <v>0</v>
      </c>
      <c r="F2055" s="1524">
        <v>1</v>
      </c>
      <c r="G2055" s="1537" t="s">
        <v>6016</v>
      </c>
      <c r="H2055" s="1521">
        <v>1</v>
      </c>
      <c r="I2055" s="1521">
        <v>1</v>
      </c>
      <c r="J2055" s="1538">
        <v>2</v>
      </c>
      <c r="K2055" s="1525"/>
      <c r="L2055" s="1519">
        <v>13245010106</v>
      </c>
      <c r="M2055" s="1520">
        <v>1</v>
      </c>
      <c r="N2055" s="1520">
        <v>1</v>
      </c>
      <c r="O2055" s="1521">
        <v>2</v>
      </c>
    </row>
    <row r="2056" spans="3:15" ht="13.5">
      <c r="C2056" s="1526" t="s">
        <v>6017</v>
      </c>
      <c r="D2056" s="1523">
        <v>1</v>
      </c>
      <c r="E2056" s="1523">
        <v>0</v>
      </c>
      <c r="F2056" s="1524">
        <v>1</v>
      </c>
      <c r="G2056" s="1537" t="s">
        <v>6017</v>
      </c>
      <c r="H2056" s="1521">
        <v>1</v>
      </c>
      <c r="I2056" s="1521">
        <v>1</v>
      </c>
      <c r="J2056" s="1538">
        <v>2</v>
      </c>
      <c r="K2056" s="1525"/>
      <c r="L2056" s="1519">
        <v>13245010107</v>
      </c>
      <c r="M2056" s="1520">
        <v>1</v>
      </c>
      <c r="N2056" s="1520">
        <v>1</v>
      </c>
      <c r="O2056" s="1521">
        <v>2</v>
      </c>
    </row>
    <row r="2057" spans="3:15" ht="13.5">
      <c r="C2057" s="1526" t="s">
        <v>6018</v>
      </c>
      <c r="D2057" s="1523">
        <v>1</v>
      </c>
      <c r="E2057" s="1523">
        <v>1</v>
      </c>
      <c r="F2057" s="1524">
        <v>2</v>
      </c>
      <c r="G2057" s="1537" t="s">
        <v>6018</v>
      </c>
      <c r="H2057" s="1521">
        <v>1</v>
      </c>
      <c r="I2057" s="1521">
        <v>1</v>
      </c>
      <c r="J2057" s="1538">
        <v>2</v>
      </c>
      <c r="K2057" s="1525"/>
      <c r="L2057" s="1519">
        <v>13245010201</v>
      </c>
      <c r="M2057" s="1520">
        <v>1</v>
      </c>
      <c r="N2057" s="1520">
        <v>1</v>
      </c>
      <c r="O2057" s="1521">
        <v>2</v>
      </c>
    </row>
    <row r="2058" spans="3:15" ht="13.5">
      <c r="C2058" s="1526" t="s">
        <v>6019</v>
      </c>
      <c r="D2058" s="1523">
        <v>0</v>
      </c>
      <c r="E2058" s="1523">
        <v>0</v>
      </c>
      <c r="F2058" s="1524">
        <v>0</v>
      </c>
      <c r="G2058" s="1537" t="s">
        <v>6019</v>
      </c>
      <c r="H2058" s="1521">
        <v>0</v>
      </c>
      <c r="I2058" s="1521">
        <v>0</v>
      </c>
      <c r="J2058" s="1538">
        <v>0</v>
      </c>
      <c r="K2058" s="1525"/>
      <c r="L2058" s="1519">
        <v>13245010203</v>
      </c>
      <c r="M2058" s="1520">
        <v>0</v>
      </c>
      <c r="N2058" s="1520">
        <v>0</v>
      </c>
      <c r="O2058" s="1521">
        <v>0</v>
      </c>
    </row>
    <row r="2059" spans="3:15" ht="13.5">
      <c r="C2059" s="1526" t="s">
        <v>6020</v>
      </c>
      <c r="D2059" s="1523">
        <v>0</v>
      </c>
      <c r="E2059" s="1523">
        <v>0</v>
      </c>
      <c r="F2059" s="1524">
        <v>0</v>
      </c>
      <c r="G2059" s="1537" t="s">
        <v>6020</v>
      </c>
      <c r="H2059" s="1521">
        <v>0</v>
      </c>
      <c r="I2059" s="1521">
        <v>0</v>
      </c>
      <c r="J2059" s="1538">
        <v>0</v>
      </c>
      <c r="K2059" s="1525"/>
      <c r="L2059" s="1519">
        <v>13245010204</v>
      </c>
      <c r="M2059" s="1520">
        <v>0</v>
      </c>
      <c r="N2059" s="1520">
        <v>0</v>
      </c>
      <c r="O2059" s="1521">
        <v>0</v>
      </c>
    </row>
    <row r="2060" spans="3:15" ht="13.5">
      <c r="C2060" s="1526" t="s">
        <v>6021</v>
      </c>
      <c r="D2060" s="1523">
        <v>0</v>
      </c>
      <c r="E2060" s="1523">
        <v>0</v>
      </c>
      <c r="F2060" s="1524">
        <v>0</v>
      </c>
      <c r="G2060" s="1537" t="s">
        <v>6021</v>
      </c>
      <c r="H2060" s="1521">
        <v>0</v>
      </c>
      <c r="I2060" s="1521">
        <v>0</v>
      </c>
      <c r="J2060" s="1538">
        <v>0</v>
      </c>
      <c r="K2060" s="1525"/>
      <c r="L2060" s="1519">
        <v>13245010300</v>
      </c>
      <c r="M2060" s="1520">
        <v>0</v>
      </c>
      <c r="N2060" s="1520">
        <v>0</v>
      </c>
      <c r="O2060" s="1521">
        <v>0</v>
      </c>
    </row>
    <row r="2061" spans="3:15" ht="13.5">
      <c r="C2061" s="1526" t="s">
        <v>6022</v>
      </c>
      <c r="D2061" s="1523">
        <v>0</v>
      </c>
      <c r="E2061" s="1523">
        <v>0</v>
      </c>
      <c r="F2061" s="1524">
        <v>0</v>
      </c>
      <c r="G2061" s="1537" t="s">
        <v>6022</v>
      </c>
      <c r="H2061" s="1521">
        <v>0</v>
      </c>
      <c r="I2061" s="1521">
        <v>0</v>
      </c>
      <c r="J2061" s="1538">
        <v>0</v>
      </c>
      <c r="K2061" s="1525"/>
      <c r="L2061" s="1519">
        <v>13245010400</v>
      </c>
      <c r="M2061" s="1520">
        <v>0</v>
      </c>
      <c r="N2061" s="1520">
        <v>0</v>
      </c>
      <c r="O2061" s="1521">
        <v>0</v>
      </c>
    </row>
    <row r="2062" spans="3:15" ht="13.5">
      <c r="C2062" s="1526" t="s">
        <v>6023</v>
      </c>
      <c r="D2062" s="1523">
        <v>0</v>
      </c>
      <c r="E2062" s="1523">
        <v>0</v>
      </c>
      <c r="F2062" s="1524">
        <v>0</v>
      </c>
      <c r="G2062" s="1537" t="s">
        <v>6023</v>
      </c>
      <c r="H2062" s="1521">
        <v>0</v>
      </c>
      <c r="I2062" s="1521">
        <v>0</v>
      </c>
      <c r="J2062" s="1538">
        <v>0</v>
      </c>
      <c r="K2062" s="1525"/>
      <c r="L2062" s="1519">
        <v>13245010504</v>
      </c>
      <c r="M2062" s="1520">
        <v>0</v>
      </c>
      <c r="N2062" s="1520">
        <v>0</v>
      </c>
      <c r="O2062" s="1521">
        <v>0</v>
      </c>
    </row>
    <row r="2063" spans="3:15" ht="13.5">
      <c r="C2063" s="1526" t="s">
        <v>6024</v>
      </c>
      <c r="D2063" s="1523">
        <v>0</v>
      </c>
      <c r="E2063" s="1523">
        <v>0</v>
      </c>
      <c r="F2063" s="1524">
        <v>0</v>
      </c>
      <c r="G2063" s="1537" t="s">
        <v>6024</v>
      </c>
      <c r="H2063" s="1521">
        <v>0</v>
      </c>
      <c r="I2063" s="1521">
        <v>1</v>
      </c>
      <c r="J2063" s="1538">
        <v>1</v>
      </c>
      <c r="K2063" s="1525"/>
      <c r="L2063" s="1519">
        <v>13245010506</v>
      </c>
      <c r="M2063" s="1520">
        <v>0</v>
      </c>
      <c r="N2063" s="1520">
        <v>1</v>
      </c>
      <c r="O2063" s="1521">
        <v>1</v>
      </c>
    </row>
    <row r="2064" spans="3:15" ht="13.5">
      <c r="C2064" s="1526" t="s">
        <v>6025</v>
      </c>
      <c r="D2064" s="1523">
        <v>0</v>
      </c>
      <c r="E2064" s="1523">
        <v>0</v>
      </c>
      <c r="F2064" s="1524">
        <v>0</v>
      </c>
      <c r="G2064" s="1537" t="s">
        <v>6025</v>
      </c>
      <c r="H2064" s="1521">
        <v>0</v>
      </c>
      <c r="I2064" s="1521">
        <v>0</v>
      </c>
      <c r="J2064" s="1538">
        <v>0</v>
      </c>
      <c r="K2064" s="1525"/>
      <c r="L2064" s="1519">
        <v>13245010507</v>
      </c>
      <c r="M2064" s="1520">
        <v>0</v>
      </c>
      <c r="N2064" s="1520">
        <v>0</v>
      </c>
      <c r="O2064" s="1521">
        <v>0</v>
      </c>
    </row>
    <row r="2065" spans="3:15" ht="13.5">
      <c r="C2065" s="1526" t="s">
        <v>6026</v>
      </c>
      <c r="D2065" s="1523">
        <v>0</v>
      </c>
      <c r="E2065" s="1523">
        <v>0</v>
      </c>
      <c r="F2065" s="1524">
        <v>0</v>
      </c>
      <c r="G2065" s="1537" t="s">
        <v>6026</v>
      </c>
      <c r="H2065" s="1521">
        <v>0</v>
      </c>
      <c r="I2065" s="1521">
        <v>0</v>
      </c>
      <c r="J2065" s="1538">
        <v>0</v>
      </c>
      <c r="K2065" s="1525"/>
      <c r="L2065" s="1519">
        <v>13245010508</v>
      </c>
      <c r="M2065" s="1520">
        <v>0</v>
      </c>
      <c r="N2065" s="1520">
        <v>0</v>
      </c>
      <c r="O2065" s="1521">
        <v>0</v>
      </c>
    </row>
    <row r="2066" spans="3:15" ht="13.5">
      <c r="C2066" s="1526" t="s">
        <v>6027</v>
      </c>
      <c r="D2066" s="1523">
        <v>0</v>
      </c>
      <c r="E2066" s="1523">
        <v>0</v>
      </c>
      <c r="F2066" s="1524">
        <v>0</v>
      </c>
      <c r="G2066" s="1537" t="s">
        <v>6027</v>
      </c>
      <c r="H2066" s="1521">
        <v>0</v>
      </c>
      <c r="I2066" s="1521">
        <v>0</v>
      </c>
      <c r="J2066" s="1538">
        <v>0</v>
      </c>
      <c r="K2066" s="1525"/>
      <c r="L2066" s="1519">
        <v>13245010509</v>
      </c>
      <c r="M2066" s="1520">
        <v>0</v>
      </c>
      <c r="N2066" s="1520">
        <v>0</v>
      </c>
      <c r="O2066" s="1521">
        <v>0</v>
      </c>
    </row>
    <row r="2067" spans="3:15" ht="13.5">
      <c r="C2067" s="1526" t="s">
        <v>6028</v>
      </c>
      <c r="D2067" s="1523">
        <v>0</v>
      </c>
      <c r="E2067" s="1523">
        <v>0</v>
      </c>
      <c r="F2067" s="1524">
        <v>0</v>
      </c>
      <c r="G2067" s="1537" t="s">
        <v>6028</v>
      </c>
      <c r="H2067" s="1521">
        <v>0</v>
      </c>
      <c r="I2067" s="1521">
        <v>0</v>
      </c>
      <c r="J2067" s="1538">
        <v>0</v>
      </c>
      <c r="K2067" s="1525"/>
      <c r="L2067" s="1519">
        <v>13245010510</v>
      </c>
      <c r="M2067" s="1520">
        <v>0</v>
      </c>
      <c r="N2067" s="1520">
        <v>0</v>
      </c>
      <c r="O2067" s="1521">
        <v>0</v>
      </c>
    </row>
    <row r="2068" spans="3:15" ht="13.5">
      <c r="C2068" s="1526" t="s">
        <v>6029</v>
      </c>
      <c r="D2068" s="1523">
        <v>0</v>
      </c>
      <c r="E2068" s="1523">
        <v>0</v>
      </c>
      <c r="F2068" s="1524">
        <v>0</v>
      </c>
      <c r="G2068" s="1537" t="s">
        <v>6029</v>
      </c>
      <c r="H2068" s="1521">
        <v>0</v>
      </c>
      <c r="I2068" s="1521">
        <v>0</v>
      </c>
      <c r="J2068" s="1538">
        <v>0</v>
      </c>
      <c r="K2068" s="1525"/>
      <c r="L2068" s="1519">
        <v>13245010511</v>
      </c>
      <c r="M2068" s="1520">
        <v>0</v>
      </c>
      <c r="N2068" s="1520">
        <v>0</v>
      </c>
      <c r="O2068" s="1521">
        <v>0</v>
      </c>
    </row>
    <row r="2069" spans="3:15" ht="13.5">
      <c r="C2069" s="1526" t="s">
        <v>6030</v>
      </c>
      <c r="D2069" s="1523">
        <v>0</v>
      </c>
      <c r="E2069" s="1523">
        <v>0</v>
      </c>
      <c r="F2069" s="1524">
        <v>0</v>
      </c>
      <c r="G2069" s="1537" t="s">
        <v>6030</v>
      </c>
      <c r="H2069" s="1521">
        <v>0</v>
      </c>
      <c r="I2069" s="1521">
        <v>0</v>
      </c>
      <c r="J2069" s="1538">
        <v>0</v>
      </c>
      <c r="K2069" s="1525"/>
      <c r="L2069" s="1519">
        <v>13245010512</v>
      </c>
      <c r="M2069" s="1520">
        <v>0</v>
      </c>
      <c r="N2069" s="1520">
        <v>0</v>
      </c>
      <c r="O2069" s="1521">
        <v>0</v>
      </c>
    </row>
    <row r="2070" spans="3:15" ht="13.5">
      <c r="C2070" s="1526" t="s">
        <v>6031</v>
      </c>
      <c r="D2070" s="1523">
        <v>0</v>
      </c>
      <c r="E2070" s="1523">
        <v>0</v>
      </c>
      <c r="F2070" s="1524">
        <v>0</v>
      </c>
      <c r="G2070" s="1537" t="s">
        <v>6031</v>
      </c>
      <c r="H2070" s="1521">
        <v>0</v>
      </c>
      <c r="I2070" s="1521" t="s">
        <v>4099</v>
      </c>
      <c r="J2070" s="1538">
        <v>0</v>
      </c>
      <c r="K2070" s="1525"/>
      <c r="L2070" s="1519">
        <v>13245010513</v>
      </c>
      <c r="M2070" s="1520">
        <v>0</v>
      </c>
      <c r="N2070" s="1520">
        <v>0</v>
      </c>
      <c r="O2070" s="1521">
        <v>0</v>
      </c>
    </row>
    <row r="2071" spans="3:15" ht="13.5">
      <c r="C2071" s="1526" t="s">
        <v>6032</v>
      </c>
      <c r="D2071" s="1523">
        <v>0</v>
      </c>
      <c r="E2071" s="1523">
        <v>0</v>
      </c>
      <c r="F2071" s="1524">
        <v>0</v>
      </c>
      <c r="G2071" s="1537" t="s">
        <v>6032</v>
      </c>
      <c r="H2071" s="1521">
        <v>0</v>
      </c>
      <c r="I2071" s="1521">
        <v>0</v>
      </c>
      <c r="J2071" s="1538">
        <v>0</v>
      </c>
      <c r="K2071" s="1525"/>
      <c r="L2071" s="1519">
        <v>13245010600</v>
      </c>
      <c r="M2071" s="1520">
        <v>0</v>
      </c>
      <c r="N2071" s="1520">
        <v>0</v>
      </c>
      <c r="O2071" s="1521">
        <v>0</v>
      </c>
    </row>
    <row r="2072" spans="3:15" ht="13.5">
      <c r="C2072" s="1526" t="s">
        <v>6033</v>
      </c>
      <c r="D2072" s="1523">
        <v>0</v>
      </c>
      <c r="E2072" s="1523">
        <v>0</v>
      </c>
      <c r="F2072" s="1524">
        <v>0</v>
      </c>
      <c r="G2072" s="1537" t="s">
        <v>6033</v>
      </c>
      <c r="H2072" s="1521">
        <v>0</v>
      </c>
      <c r="I2072" s="1521">
        <v>0</v>
      </c>
      <c r="J2072" s="1538">
        <v>0</v>
      </c>
      <c r="K2072" s="1525"/>
      <c r="L2072" s="1519">
        <v>13245010706</v>
      </c>
      <c r="M2072" s="1520">
        <v>0</v>
      </c>
      <c r="N2072" s="1520">
        <v>0</v>
      </c>
      <c r="O2072" s="1521">
        <v>0</v>
      </c>
    </row>
    <row r="2073" spans="3:15" ht="13.5">
      <c r="C2073" s="1526" t="s">
        <v>6034</v>
      </c>
      <c r="D2073" s="1523">
        <v>0</v>
      </c>
      <c r="E2073" s="1523">
        <v>0</v>
      </c>
      <c r="F2073" s="1524">
        <v>0</v>
      </c>
      <c r="G2073" s="1537" t="s">
        <v>6034</v>
      </c>
      <c r="H2073" s="1521">
        <v>0</v>
      </c>
      <c r="I2073" s="1521">
        <v>0</v>
      </c>
      <c r="J2073" s="1538">
        <v>0</v>
      </c>
      <c r="K2073" s="1525"/>
      <c r="L2073" s="1519">
        <v>13245010707</v>
      </c>
      <c r="M2073" s="1520">
        <v>0</v>
      </c>
      <c r="N2073" s="1520">
        <v>0</v>
      </c>
      <c r="O2073" s="1521">
        <v>0</v>
      </c>
    </row>
    <row r="2074" spans="3:15" ht="13.5">
      <c r="C2074" s="1526" t="s">
        <v>6035</v>
      </c>
      <c r="D2074" s="1523">
        <v>0</v>
      </c>
      <c r="E2074" s="1523">
        <v>0</v>
      </c>
      <c r="F2074" s="1524">
        <v>0</v>
      </c>
      <c r="G2074" s="1537" t="s">
        <v>6035</v>
      </c>
      <c r="H2074" s="1521">
        <v>0</v>
      </c>
      <c r="I2074" s="1521">
        <v>1</v>
      </c>
      <c r="J2074" s="1538">
        <v>1</v>
      </c>
      <c r="K2074" s="1525"/>
      <c r="L2074" s="1519">
        <v>13245010708</v>
      </c>
      <c r="M2074" s="1520">
        <v>0</v>
      </c>
      <c r="N2074" s="1520">
        <v>1</v>
      </c>
      <c r="O2074" s="1521">
        <v>1</v>
      </c>
    </row>
    <row r="2075" spans="3:15" ht="13.5">
      <c r="C2075" s="1526" t="s">
        <v>6036</v>
      </c>
      <c r="D2075" s="1523">
        <v>1</v>
      </c>
      <c r="E2075" s="1523">
        <v>0</v>
      </c>
      <c r="F2075" s="1524">
        <v>1</v>
      </c>
      <c r="G2075" s="1537" t="s">
        <v>6036</v>
      </c>
      <c r="H2075" s="1521">
        <v>1</v>
      </c>
      <c r="I2075" s="1521">
        <v>1</v>
      </c>
      <c r="J2075" s="1538">
        <v>2</v>
      </c>
      <c r="K2075" s="1525"/>
      <c r="L2075" s="1519">
        <v>13245010709</v>
      </c>
      <c r="M2075" s="1520">
        <v>1</v>
      </c>
      <c r="N2075" s="1520">
        <v>1</v>
      </c>
      <c r="O2075" s="1521">
        <v>2</v>
      </c>
    </row>
    <row r="2076" spans="3:15" ht="13.5">
      <c r="C2076" s="1526" t="s">
        <v>6037</v>
      </c>
      <c r="D2076" s="1523">
        <v>0</v>
      </c>
      <c r="E2076" s="1523">
        <v>0</v>
      </c>
      <c r="F2076" s="1524">
        <v>0</v>
      </c>
      <c r="G2076" s="1537" t="s">
        <v>6037</v>
      </c>
      <c r="H2076" s="1521">
        <v>0</v>
      </c>
      <c r="I2076" s="1521" t="s">
        <v>4099</v>
      </c>
      <c r="J2076" s="1538">
        <v>0</v>
      </c>
      <c r="K2076" s="1525"/>
      <c r="L2076" s="1519">
        <v>13245010710</v>
      </c>
      <c r="M2076" s="1520">
        <v>0</v>
      </c>
      <c r="N2076" s="1520">
        <v>0</v>
      </c>
      <c r="O2076" s="1521">
        <v>0</v>
      </c>
    </row>
    <row r="2077" spans="3:15" ht="13.5">
      <c r="C2077" s="1526" t="s">
        <v>6038</v>
      </c>
      <c r="D2077" s="1523">
        <v>0</v>
      </c>
      <c r="E2077" s="1523">
        <v>0</v>
      </c>
      <c r="F2077" s="1524">
        <v>0</v>
      </c>
      <c r="G2077" s="1537" t="s">
        <v>6038</v>
      </c>
      <c r="H2077" s="1521">
        <v>0</v>
      </c>
      <c r="I2077" s="1521">
        <v>0</v>
      </c>
      <c r="J2077" s="1538">
        <v>0</v>
      </c>
      <c r="K2077" s="1525"/>
      <c r="L2077" s="1519">
        <v>13245010711</v>
      </c>
      <c r="M2077" s="1520">
        <v>0</v>
      </c>
      <c r="N2077" s="1520">
        <v>0</v>
      </c>
      <c r="O2077" s="1521">
        <v>0</v>
      </c>
    </row>
    <row r="2078" spans="3:15" ht="13.5">
      <c r="C2078" s="1526" t="s">
        <v>6039</v>
      </c>
      <c r="D2078" s="1523">
        <v>0</v>
      </c>
      <c r="E2078" s="1523">
        <v>0</v>
      </c>
      <c r="F2078" s="1524">
        <v>0</v>
      </c>
      <c r="G2078" s="1537" t="s">
        <v>6039</v>
      </c>
      <c r="H2078" s="1521">
        <v>0</v>
      </c>
      <c r="I2078" s="1521">
        <v>0</v>
      </c>
      <c r="J2078" s="1538">
        <v>0</v>
      </c>
      <c r="K2078" s="1525"/>
      <c r="L2078" s="1519">
        <v>13245010712</v>
      </c>
      <c r="M2078" s="1520">
        <v>0</v>
      </c>
      <c r="N2078" s="1520">
        <v>0</v>
      </c>
      <c r="O2078" s="1521">
        <v>0</v>
      </c>
    </row>
    <row r="2079" spans="3:15" ht="13.5">
      <c r="C2079" s="1526" t="s">
        <v>6040</v>
      </c>
      <c r="D2079" s="1523">
        <v>0</v>
      </c>
      <c r="E2079" s="1523">
        <v>1</v>
      </c>
      <c r="F2079" s="1524">
        <v>1</v>
      </c>
      <c r="G2079" s="1537" t="s">
        <v>6040</v>
      </c>
      <c r="H2079" s="1521">
        <v>0</v>
      </c>
      <c r="I2079" s="1521" t="s">
        <v>4099</v>
      </c>
      <c r="J2079" s="1538">
        <v>0</v>
      </c>
      <c r="K2079" s="1525"/>
      <c r="L2079" s="1519">
        <v>13245010800</v>
      </c>
      <c r="M2079" s="1520">
        <v>0</v>
      </c>
      <c r="N2079" s="1520">
        <v>1</v>
      </c>
      <c r="O2079" s="1521">
        <v>1</v>
      </c>
    </row>
    <row r="2080" spans="3:15" ht="13.5">
      <c r="C2080" s="1526" t="s">
        <v>6041</v>
      </c>
      <c r="D2080" s="1523">
        <v>0</v>
      </c>
      <c r="E2080" s="1523">
        <v>0</v>
      </c>
      <c r="F2080" s="1524">
        <v>0</v>
      </c>
      <c r="G2080" s="1537" t="s">
        <v>6041</v>
      </c>
      <c r="H2080" s="1521">
        <v>0</v>
      </c>
      <c r="I2080" s="1521">
        <v>0</v>
      </c>
      <c r="J2080" s="1538">
        <v>0</v>
      </c>
      <c r="K2080" s="1525"/>
      <c r="L2080" s="1519">
        <v>13245010903</v>
      </c>
      <c r="M2080" s="1520">
        <v>0</v>
      </c>
      <c r="N2080" s="1520">
        <v>0</v>
      </c>
      <c r="O2080" s="1521">
        <v>0</v>
      </c>
    </row>
    <row r="2081" spans="3:15" ht="13.5">
      <c r="C2081" s="1526" t="s">
        <v>6042</v>
      </c>
      <c r="D2081" s="1523">
        <v>0</v>
      </c>
      <c r="E2081" s="1523">
        <v>0</v>
      </c>
      <c r="F2081" s="1524">
        <v>0</v>
      </c>
      <c r="G2081" s="1537" t="s">
        <v>6042</v>
      </c>
      <c r="H2081" s="1521">
        <v>0</v>
      </c>
      <c r="I2081" s="1521">
        <v>0</v>
      </c>
      <c r="J2081" s="1538">
        <v>0</v>
      </c>
      <c r="K2081" s="1525"/>
      <c r="L2081" s="1519">
        <v>13245010904</v>
      </c>
      <c r="M2081" s="1520">
        <v>0</v>
      </c>
      <c r="N2081" s="1520">
        <v>0</v>
      </c>
      <c r="O2081" s="1521">
        <v>0</v>
      </c>
    </row>
    <row r="2082" spans="3:15" ht="13.5">
      <c r="C2082" s="1526" t="s">
        <v>6043</v>
      </c>
      <c r="D2082" s="1523">
        <v>0</v>
      </c>
      <c r="E2082" s="1523">
        <v>0</v>
      </c>
      <c r="F2082" s="1524">
        <v>0</v>
      </c>
      <c r="G2082" s="1537" t="s">
        <v>6043</v>
      </c>
      <c r="H2082" s="1521">
        <v>0</v>
      </c>
      <c r="I2082" s="1521">
        <v>0</v>
      </c>
      <c r="J2082" s="1538">
        <v>0</v>
      </c>
      <c r="K2082" s="1525"/>
      <c r="L2082" s="1519">
        <v>13245010905</v>
      </c>
      <c r="M2082" s="1520">
        <v>0</v>
      </c>
      <c r="N2082" s="1520">
        <v>0</v>
      </c>
      <c r="O2082" s="1521">
        <v>0</v>
      </c>
    </row>
    <row r="2083" spans="3:15" ht="13.5">
      <c r="C2083" s="1526" t="s">
        <v>6044</v>
      </c>
      <c r="D2083" s="1523">
        <v>0</v>
      </c>
      <c r="E2083" s="1523">
        <v>1</v>
      </c>
      <c r="F2083" s="1524">
        <v>1</v>
      </c>
      <c r="G2083" s="1537" t="s">
        <v>6044</v>
      </c>
      <c r="H2083" s="1521">
        <v>0</v>
      </c>
      <c r="I2083" s="1521">
        <v>1</v>
      </c>
      <c r="J2083" s="1538">
        <v>1</v>
      </c>
      <c r="K2083" s="1525"/>
      <c r="L2083" s="1519">
        <v>13245010906</v>
      </c>
      <c r="M2083" s="1520">
        <v>0</v>
      </c>
      <c r="N2083" s="1520">
        <v>1</v>
      </c>
      <c r="O2083" s="1521">
        <v>1</v>
      </c>
    </row>
    <row r="2084" spans="3:15" ht="13.5">
      <c r="C2084" s="1526" t="s">
        <v>6045</v>
      </c>
      <c r="D2084" s="1523">
        <v>0</v>
      </c>
      <c r="E2084" s="1523">
        <v>0</v>
      </c>
      <c r="F2084" s="1524">
        <v>0</v>
      </c>
      <c r="G2084" s="1537" t="s">
        <v>6045</v>
      </c>
      <c r="H2084" s="1521">
        <v>0</v>
      </c>
      <c r="I2084" s="1521">
        <v>0</v>
      </c>
      <c r="J2084" s="1538">
        <v>0</v>
      </c>
      <c r="K2084" s="1525"/>
      <c r="L2084" s="1519">
        <v>13245011000</v>
      </c>
      <c r="M2084" s="1520">
        <v>0</v>
      </c>
      <c r="N2084" s="1520">
        <v>0</v>
      </c>
      <c r="O2084" s="1521">
        <v>0</v>
      </c>
    </row>
    <row r="2085" spans="3:15" ht="13.5">
      <c r="C2085" s="1526" t="s">
        <v>6046</v>
      </c>
      <c r="D2085" s="1523">
        <v>0</v>
      </c>
      <c r="E2085" s="1523">
        <v>1</v>
      </c>
      <c r="F2085" s="1524">
        <v>1</v>
      </c>
      <c r="G2085" s="1537" t="s">
        <v>6046</v>
      </c>
      <c r="H2085" s="1521">
        <v>1</v>
      </c>
      <c r="I2085" s="1521">
        <v>1</v>
      </c>
      <c r="J2085" s="1538">
        <v>2</v>
      </c>
      <c r="K2085" s="1525"/>
      <c r="L2085" s="1519">
        <v>13247060101</v>
      </c>
      <c r="M2085" s="1520">
        <v>1</v>
      </c>
      <c r="N2085" s="1520">
        <v>1</v>
      </c>
      <c r="O2085" s="1521">
        <v>2</v>
      </c>
    </row>
    <row r="2086" spans="3:15" ht="13.5">
      <c r="C2086" s="1526" t="s">
        <v>6047</v>
      </c>
      <c r="D2086" s="1523">
        <v>0</v>
      </c>
      <c r="E2086" s="1523">
        <v>1</v>
      </c>
      <c r="F2086" s="1524">
        <v>1</v>
      </c>
      <c r="G2086" s="1537" t="s">
        <v>6047</v>
      </c>
      <c r="H2086" s="1521">
        <v>1</v>
      </c>
      <c r="I2086" s="1521">
        <v>1</v>
      </c>
      <c r="J2086" s="1538">
        <v>2</v>
      </c>
      <c r="K2086" s="1525"/>
      <c r="L2086" s="1519">
        <v>13247060102</v>
      </c>
      <c r="M2086" s="1520">
        <v>1</v>
      </c>
      <c r="N2086" s="1520">
        <v>1</v>
      </c>
      <c r="O2086" s="1521">
        <v>2</v>
      </c>
    </row>
    <row r="2087" spans="3:15" ht="13.5">
      <c r="C2087" s="1526" t="s">
        <v>6048</v>
      </c>
      <c r="D2087" s="1523">
        <v>0</v>
      </c>
      <c r="E2087" s="1523">
        <v>0</v>
      </c>
      <c r="F2087" s="1524">
        <v>0</v>
      </c>
      <c r="G2087" s="1537" t="s">
        <v>6048</v>
      </c>
      <c r="H2087" s="1521">
        <v>0</v>
      </c>
      <c r="I2087" s="1521">
        <v>0</v>
      </c>
      <c r="J2087" s="1538">
        <v>0</v>
      </c>
      <c r="K2087" s="1525"/>
      <c r="L2087" s="1519">
        <v>13247060201</v>
      </c>
      <c r="M2087" s="1520">
        <v>0</v>
      </c>
      <c r="N2087" s="1520">
        <v>0</v>
      </c>
      <c r="O2087" s="1521">
        <v>0</v>
      </c>
    </row>
    <row r="2088" spans="3:15" ht="13.5">
      <c r="C2088" s="1526" t="s">
        <v>6049</v>
      </c>
      <c r="D2088" s="1523">
        <v>1</v>
      </c>
      <c r="E2088" s="1523">
        <v>1</v>
      </c>
      <c r="F2088" s="1524">
        <v>2</v>
      </c>
      <c r="G2088" s="1537" t="s">
        <v>6049</v>
      </c>
      <c r="H2088" s="1521">
        <v>1</v>
      </c>
      <c r="I2088" s="1521">
        <v>1</v>
      </c>
      <c r="J2088" s="1538">
        <v>2</v>
      </c>
      <c r="K2088" s="1525"/>
      <c r="L2088" s="1519">
        <v>13247060202</v>
      </c>
      <c r="M2088" s="1520">
        <v>1</v>
      </c>
      <c r="N2088" s="1520">
        <v>1</v>
      </c>
      <c r="O2088" s="1521">
        <v>2</v>
      </c>
    </row>
    <row r="2089" spans="3:15" ht="13.5">
      <c r="C2089" s="1526" t="s">
        <v>6050</v>
      </c>
      <c r="D2089" s="1523">
        <v>0</v>
      </c>
      <c r="E2089" s="1523">
        <v>0</v>
      </c>
      <c r="F2089" s="1524">
        <v>0</v>
      </c>
      <c r="G2089" s="1537" t="s">
        <v>6050</v>
      </c>
      <c r="H2089" s="1521">
        <v>0</v>
      </c>
      <c r="I2089" s="1521">
        <v>0</v>
      </c>
      <c r="J2089" s="1538">
        <v>0</v>
      </c>
      <c r="K2089" s="1525"/>
      <c r="L2089" s="1519">
        <v>13247060304</v>
      </c>
      <c r="M2089" s="1520">
        <v>0</v>
      </c>
      <c r="N2089" s="1520">
        <v>0</v>
      </c>
      <c r="O2089" s="1521">
        <v>0</v>
      </c>
    </row>
    <row r="2090" spans="3:15" ht="13.5">
      <c r="C2090" s="1526" t="s">
        <v>6051</v>
      </c>
      <c r="D2090" s="1523">
        <v>0</v>
      </c>
      <c r="E2090" s="1523">
        <v>0</v>
      </c>
      <c r="F2090" s="1524">
        <v>0</v>
      </c>
      <c r="G2090" s="1537" t="s">
        <v>6051</v>
      </c>
      <c r="H2090" s="1521">
        <v>0</v>
      </c>
      <c r="I2090" s="1521">
        <v>0</v>
      </c>
      <c r="J2090" s="1538">
        <v>0</v>
      </c>
      <c r="K2090" s="1525"/>
      <c r="L2090" s="1519">
        <v>13247060305</v>
      </c>
      <c r="M2090" s="1520">
        <v>0</v>
      </c>
      <c r="N2090" s="1520">
        <v>0</v>
      </c>
      <c r="O2090" s="1521">
        <v>0</v>
      </c>
    </row>
    <row r="2091" spans="3:15" ht="13.5">
      <c r="C2091" s="1526" t="s">
        <v>6052</v>
      </c>
      <c r="D2091" s="1523">
        <v>1</v>
      </c>
      <c r="E2091" s="1523">
        <v>1</v>
      </c>
      <c r="F2091" s="1524">
        <v>2</v>
      </c>
      <c r="G2091" s="1537" t="s">
        <v>6052</v>
      </c>
      <c r="H2091" s="1521">
        <v>1</v>
      </c>
      <c r="I2091" s="1521">
        <v>1</v>
      </c>
      <c r="J2091" s="1538">
        <v>2</v>
      </c>
      <c r="K2091" s="1525"/>
      <c r="L2091" s="1519">
        <v>13247060306</v>
      </c>
      <c r="M2091" s="1520">
        <v>1</v>
      </c>
      <c r="N2091" s="1520">
        <v>1</v>
      </c>
      <c r="O2091" s="1521">
        <v>2</v>
      </c>
    </row>
    <row r="2092" spans="3:15" ht="13.5">
      <c r="C2092" s="1526" t="s">
        <v>6053</v>
      </c>
      <c r="D2092" s="1523">
        <v>0</v>
      </c>
      <c r="E2092" s="1523">
        <v>1</v>
      </c>
      <c r="F2092" s="1524">
        <v>1</v>
      </c>
      <c r="G2092" s="1537" t="s">
        <v>6053</v>
      </c>
      <c r="H2092" s="1521">
        <v>0</v>
      </c>
      <c r="I2092" s="1521">
        <v>1</v>
      </c>
      <c r="J2092" s="1538">
        <v>1</v>
      </c>
      <c r="K2092" s="1525"/>
      <c r="L2092" s="1519">
        <v>13247060307</v>
      </c>
      <c r="M2092" s="1520">
        <v>0</v>
      </c>
      <c r="N2092" s="1520">
        <v>1</v>
      </c>
      <c r="O2092" s="1521">
        <v>1</v>
      </c>
    </row>
    <row r="2093" spans="3:15" ht="13.5">
      <c r="C2093" s="1526" t="s">
        <v>6054</v>
      </c>
      <c r="D2093" s="1523">
        <v>0</v>
      </c>
      <c r="E2093" s="1523">
        <v>0</v>
      </c>
      <c r="F2093" s="1524">
        <v>0</v>
      </c>
      <c r="G2093" s="1537" t="s">
        <v>6054</v>
      </c>
      <c r="H2093" s="1521">
        <v>0</v>
      </c>
      <c r="I2093" s="1521">
        <v>0</v>
      </c>
      <c r="J2093" s="1538">
        <v>0</v>
      </c>
      <c r="K2093" s="1525"/>
      <c r="L2093" s="1519">
        <v>13247060308</v>
      </c>
      <c r="M2093" s="1520">
        <v>0</v>
      </c>
      <c r="N2093" s="1520">
        <v>0</v>
      </c>
      <c r="O2093" s="1521">
        <v>0</v>
      </c>
    </row>
    <row r="2094" spans="3:15" ht="13.5">
      <c r="C2094" s="1526" t="s">
        <v>6055</v>
      </c>
      <c r="D2094" s="1523">
        <v>0</v>
      </c>
      <c r="E2094" s="1523">
        <v>0</v>
      </c>
      <c r="F2094" s="1524">
        <v>0</v>
      </c>
      <c r="G2094" s="1537" t="s">
        <v>6055</v>
      </c>
      <c r="H2094" s="1521">
        <v>0</v>
      </c>
      <c r="I2094" s="1521">
        <v>0</v>
      </c>
      <c r="J2094" s="1538">
        <v>0</v>
      </c>
      <c r="K2094" s="1525"/>
      <c r="L2094" s="1519">
        <v>13247060309</v>
      </c>
      <c r="M2094" s="1520">
        <v>0</v>
      </c>
      <c r="N2094" s="1520">
        <v>0</v>
      </c>
      <c r="O2094" s="1521">
        <v>0</v>
      </c>
    </row>
    <row r="2095" spans="3:15" ht="13.5">
      <c r="C2095" s="1526" t="s">
        <v>6056</v>
      </c>
      <c r="D2095" s="1523">
        <v>1</v>
      </c>
      <c r="E2095" s="1523">
        <v>1</v>
      </c>
      <c r="F2095" s="1524">
        <v>2</v>
      </c>
      <c r="G2095" s="1537" t="s">
        <v>6056</v>
      </c>
      <c r="H2095" s="1521">
        <v>1</v>
      </c>
      <c r="I2095" s="1521">
        <v>0</v>
      </c>
      <c r="J2095" s="1538">
        <v>1</v>
      </c>
      <c r="K2095" s="1525"/>
      <c r="L2095" s="1519">
        <v>13247060403</v>
      </c>
      <c r="M2095" s="1520">
        <v>1</v>
      </c>
      <c r="N2095" s="1520">
        <v>1</v>
      </c>
      <c r="O2095" s="1521">
        <v>2</v>
      </c>
    </row>
    <row r="2096" spans="3:15" ht="13.5">
      <c r="C2096" s="1526" t="s">
        <v>6057</v>
      </c>
      <c r="D2096" s="1523">
        <v>1</v>
      </c>
      <c r="E2096" s="1523">
        <v>1</v>
      </c>
      <c r="F2096" s="1524">
        <v>2</v>
      </c>
      <c r="G2096" s="1537" t="s">
        <v>6057</v>
      </c>
      <c r="H2096" s="1521">
        <v>1</v>
      </c>
      <c r="I2096" s="1521">
        <v>1</v>
      </c>
      <c r="J2096" s="1538">
        <v>2</v>
      </c>
      <c r="K2096" s="1525"/>
      <c r="L2096" s="1519">
        <v>13247060404</v>
      </c>
      <c r="M2096" s="1520">
        <v>1</v>
      </c>
      <c r="N2096" s="1520">
        <v>1</v>
      </c>
      <c r="O2096" s="1521">
        <v>2</v>
      </c>
    </row>
    <row r="2097" spans="3:15" ht="13.5">
      <c r="C2097" s="1526" t="s">
        <v>6058</v>
      </c>
      <c r="D2097" s="1523">
        <v>1</v>
      </c>
      <c r="E2097" s="1523">
        <v>1</v>
      </c>
      <c r="F2097" s="1524">
        <v>2</v>
      </c>
      <c r="G2097" s="1537" t="s">
        <v>6058</v>
      </c>
      <c r="H2097" s="1521">
        <v>0</v>
      </c>
      <c r="I2097" s="1521">
        <v>1</v>
      </c>
      <c r="J2097" s="1538">
        <v>1</v>
      </c>
      <c r="K2097" s="1525"/>
      <c r="L2097" s="1519">
        <v>13247060405</v>
      </c>
      <c r="M2097" s="1520">
        <v>1</v>
      </c>
      <c r="N2097" s="1520">
        <v>1</v>
      </c>
      <c r="O2097" s="1521">
        <v>2</v>
      </c>
    </row>
    <row r="2098" spans="3:15" ht="13.5">
      <c r="C2098" s="1526" t="s">
        <v>6059</v>
      </c>
      <c r="D2098" s="1523">
        <v>1</v>
      </c>
      <c r="E2098" s="1523">
        <v>1</v>
      </c>
      <c r="F2098" s="1524">
        <v>2</v>
      </c>
      <c r="G2098" s="1537" t="s">
        <v>6059</v>
      </c>
      <c r="H2098" s="1521">
        <v>1</v>
      </c>
      <c r="I2098" s="1521">
        <v>1</v>
      </c>
      <c r="J2098" s="1538">
        <v>2</v>
      </c>
      <c r="K2098" s="1525"/>
      <c r="L2098" s="1519">
        <v>13247060406</v>
      </c>
      <c r="M2098" s="1520">
        <v>1</v>
      </c>
      <c r="N2098" s="1520">
        <v>1</v>
      </c>
      <c r="O2098" s="1521">
        <v>2</v>
      </c>
    </row>
    <row r="2099" spans="3:15" ht="13.5">
      <c r="C2099" s="1526" t="s">
        <v>6060</v>
      </c>
      <c r="D2099" s="1523">
        <v>0</v>
      </c>
      <c r="E2099" s="1523">
        <v>1</v>
      </c>
      <c r="F2099" s="1524">
        <v>1</v>
      </c>
      <c r="G2099" s="1537" t="s">
        <v>6060</v>
      </c>
      <c r="H2099" s="1521">
        <v>0</v>
      </c>
      <c r="I2099" s="1521">
        <v>1</v>
      </c>
      <c r="J2099" s="1538">
        <v>1</v>
      </c>
      <c r="K2099" s="1525"/>
      <c r="L2099" s="1519">
        <v>13247060407</v>
      </c>
      <c r="M2099" s="1520">
        <v>0</v>
      </c>
      <c r="N2099" s="1520">
        <v>1</v>
      </c>
      <c r="O2099" s="1521">
        <v>1</v>
      </c>
    </row>
    <row r="2100" spans="3:15" ht="13.5">
      <c r="C2100" s="1526" t="s">
        <v>6061</v>
      </c>
      <c r="D2100" s="1523">
        <v>0</v>
      </c>
      <c r="E2100" s="1523">
        <v>0</v>
      </c>
      <c r="F2100" s="1524">
        <v>0</v>
      </c>
      <c r="G2100" s="1537" t="s">
        <v>6061</v>
      </c>
      <c r="H2100" s="1521">
        <v>0</v>
      </c>
      <c r="I2100" s="1521">
        <v>1</v>
      </c>
      <c r="J2100" s="1538">
        <v>1</v>
      </c>
      <c r="K2100" s="1525"/>
      <c r="L2100" s="1519">
        <v>13249960100</v>
      </c>
      <c r="M2100" s="1520">
        <v>0</v>
      </c>
      <c r="N2100" s="1520">
        <v>1</v>
      </c>
      <c r="O2100" s="1521">
        <v>1</v>
      </c>
    </row>
    <row r="2101" spans="3:15" ht="13.5">
      <c r="C2101" s="1526" t="s">
        <v>6062</v>
      </c>
      <c r="D2101" s="1523">
        <v>0</v>
      </c>
      <c r="E2101" s="1523">
        <v>0</v>
      </c>
      <c r="F2101" s="1524">
        <v>0</v>
      </c>
      <c r="G2101" s="1537" t="s">
        <v>6062</v>
      </c>
      <c r="H2101" s="1521">
        <v>0</v>
      </c>
      <c r="I2101" s="1521">
        <v>0</v>
      </c>
      <c r="J2101" s="1538">
        <v>0</v>
      </c>
      <c r="K2101" s="1525"/>
      <c r="L2101" s="1519">
        <v>13249960200</v>
      </c>
      <c r="M2101" s="1520">
        <v>0</v>
      </c>
      <c r="N2101" s="1520">
        <v>0</v>
      </c>
      <c r="O2101" s="1521">
        <v>0</v>
      </c>
    </row>
    <row r="2102" spans="3:15" ht="13.5">
      <c r="C2102" s="1526" t="s">
        <v>6063</v>
      </c>
      <c r="D2102" s="1523">
        <v>0</v>
      </c>
      <c r="E2102" s="1523">
        <v>0</v>
      </c>
      <c r="F2102" s="1524">
        <v>0</v>
      </c>
      <c r="G2102" s="1537" t="s">
        <v>6063</v>
      </c>
      <c r="H2102" s="1521">
        <v>0</v>
      </c>
      <c r="I2102" s="1521">
        <v>0</v>
      </c>
      <c r="J2102" s="1538">
        <v>0</v>
      </c>
      <c r="K2102" s="1525"/>
      <c r="L2102" s="1519">
        <v>13251970200</v>
      </c>
      <c r="M2102" s="1520">
        <v>0</v>
      </c>
      <c r="N2102" s="1520">
        <v>0</v>
      </c>
      <c r="O2102" s="1521">
        <v>0</v>
      </c>
    </row>
    <row r="2103" spans="3:15" ht="13.5">
      <c r="C2103" s="1526" t="s">
        <v>6064</v>
      </c>
      <c r="D2103" s="1523">
        <v>0</v>
      </c>
      <c r="E2103" s="1523">
        <v>0</v>
      </c>
      <c r="F2103" s="1524">
        <v>0</v>
      </c>
      <c r="G2103" s="1537" t="s">
        <v>6064</v>
      </c>
      <c r="H2103" s="1521">
        <v>0</v>
      </c>
      <c r="I2103" s="1521">
        <v>0</v>
      </c>
      <c r="J2103" s="1538">
        <v>0</v>
      </c>
      <c r="K2103" s="1525"/>
      <c r="L2103" s="1519">
        <v>13251970300</v>
      </c>
      <c r="M2103" s="1520">
        <v>0</v>
      </c>
      <c r="N2103" s="1520">
        <v>0</v>
      </c>
      <c r="O2103" s="1521">
        <v>0</v>
      </c>
    </row>
    <row r="2104" spans="3:15" ht="13.5">
      <c r="C2104" s="1526" t="s">
        <v>6065</v>
      </c>
      <c r="D2104" s="1523">
        <v>0</v>
      </c>
      <c r="E2104" s="1523">
        <v>0</v>
      </c>
      <c r="F2104" s="1524">
        <v>0</v>
      </c>
      <c r="G2104" s="1537" t="s">
        <v>6065</v>
      </c>
      <c r="H2104" s="1521">
        <v>0</v>
      </c>
      <c r="I2104" s="1521">
        <v>0</v>
      </c>
      <c r="J2104" s="1538">
        <v>0</v>
      </c>
      <c r="K2104" s="1525"/>
      <c r="L2104" s="1519">
        <v>13251970400</v>
      </c>
      <c r="M2104" s="1520">
        <v>0</v>
      </c>
      <c r="N2104" s="1520">
        <v>0</v>
      </c>
      <c r="O2104" s="1521">
        <v>0</v>
      </c>
    </row>
    <row r="2105" spans="3:15" ht="13.5">
      <c r="C2105" s="1526" t="s">
        <v>6066</v>
      </c>
      <c r="D2105" s="1523">
        <v>0</v>
      </c>
      <c r="E2105" s="1523">
        <v>0</v>
      </c>
      <c r="F2105" s="1524">
        <v>0</v>
      </c>
      <c r="G2105" s="1537" t="s">
        <v>6066</v>
      </c>
      <c r="H2105" s="1521">
        <v>0</v>
      </c>
      <c r="I2105" s="1521">
        <v>0</v>
      </c>
      <c r="J2105" s="1538">
        <v>0</v>
      </c>
      <c r="K2105" s="1525"/>
      <c r="L2105" s="1519">
        <v>13251970500</v>
      </c>
      <c r="M2105" s="1520">
        <v>0</v>
      </c>
      <c r="N2105" s="1520">
        <v>0</v>
      </c>
      <c r="O2105" s="1521">
        <v>0</v>
      </c>
    </row>
    <row r="2106" spans="3:15" ht="13.5">
      <c r="C2106" s="1526" t="s">
        <v>6067</v>
      </c>
      <c r="D2106" s="1523">
        <v>0</v>
      </c>
      <c r="E2106" s="1523">
        <v>0</v>
      </c>
      <c r="F2106" s="1524">
        <v>0</v>
      </c>
      <c r="G2106" s="1537" t="s">
        <v>6067</v>
      </c>
      <c r="H2106" s="1521">
        <v>0</v>
      </c>
      <c r="I2106" s="1521">
        <v>0</v>
      </c>
      <c r="J2106" s="1538">
        <v>0</v>
      </c>
      <c r="K2106" s="1525"/>
      <c r="L2106" s="1519">
        <v>13251970600</v>
      </c>
      <c r="M2106" s="1520">
        <v>0</v>
      </c>
      <c r="N2106" s="1520">
        <v>0</v>
      </c>
      <c r="O2106" s="1521">
        <v>0</v>
      </c>
    </row>
    <row r="2107" spans="3:15" ht="13.5">
      <c r="C2107" s="1526" t="s">
        <v>6068</v>
      </c>
      <c r="D2107" s="1523">
        <v>0</v>
      </c>
      <c r="E2107" s="1523">
        <v>0</v>
      </c>
      <c r="F2107" s="1524">
        <v>0</v>
      </c>
      <c r="G2107" s="1537" t="s">
        <v>6068</v>
      </c>
      <c r="H2107" s="1521">
        <v>0</v>
      </c>
      <c r="I2107" s="1521">
        <v>0</v>
      </c>
      <c r="J2107" s="1538">
        <v>0</v>
      </c>
      <c r="K2107" s="1525"/>
      <c r="L2107" s="1519">
        <v>13253200100</v>
      </c>
      <c r="M2107" s="1520">
        <v>0</v>
      </c>
      <c r="N2107" s="1520">
        <v>0</v>
      </c>
      <c r="O2107" s="1521">
        <v>0</v>
      </c>
    </row>
    <row r="2108" spans="3:15" ht="13.5">
      <c r="C2108" s="1526" t="s">
        <v>6069</v>
      </c>
      <c r="D2108" s="1523">
        <v>0</v>
      </c>
      <c r="E2108" s="1523">
        <v>0</v>
      </c>
      <c r="F2108" s="1524">
        <v>0</v>
      </c>
      <c r="G2108" s="1537" t="s">
        <v>6069</v>
      </c>
      <c r="H2108" s="1521">
        <v>0</v>
      </c>
      <c r="I2108" s="1521">
        <v>0</v>
      </c>
      <c r="J2108" s="1538">
        <v>0</v>
      </c>
      <c r="K2108" s="1525"/>
      <c r="L2108" s="1519">
        <v>13253200200</v>
      </c>
      <c r="M2108" s="1520">
        <v>0</v>
      </c>
      <c r="N2108" s="1520">
        <v>0</v>
      </c>
      <c r="O2108" s="1521">
        <v>0</v>
      </c>
    </row>
    <row r="2109" spans="3:15" ht="13.5">
      <c r="C2109" s="1526" t="s">
        <v>6070</v>
      </c>
      <c r="D2109" s="1523">
        <v>0</v>
      </c>
      <c r="E2109" s="1523">
        <v>0</v>
      </c>
      <c r="F2109" s="1524">
        <v>0</v>
      </c>
      <c r="G2109" s="1537" t="s">
        <v>6070</v>
      </c>
      <c r="H2109" s="1521">
        <v>0</v>
      </c>
      <c r="I2109" s="1521">
        <v>0</v>
      </c>
      <c r="J2109" s="1538">
        <v>0</v>
      </c>
      <c r="K2109" s="1525"/>
      <c r="L2109" s="1519">
        <v>13253200300</v>
      </c>
      <c r="M2109" s="1520">
        <v>0</v>
      </c>
      <c r="N2109" s="1520">
        <v>0</v>
      </c>
      <c r="O2109" s="1521">
        <v>0</v>
      </c>
    </row>
    <row r="2110" spans="3:15" ht="13.5">
      <c r="C2110" s="1526" t="s">
        <v>6071</v>
      </c>
      <c r="D2110" s="1523">
        <v>0</v>
      </c>
      <c r="E2110" s="1523">
        <v>1</v>
      </c>
      <c r="F2110" s="1524">
        <v>1</v>
      </c>
      <c r="G2110" s="1537" t="s">
        <v>6071</v>
      </c>
      <c r="H2110" s="1521">
        <v>0</v>
      </c>
      <c r="I2110" s="1521">
        <v>0</v>
      </c>
      <c r="J2110" s="1538">
        <v>0</v>
      </c>
      <c r="K2110" s="1525"/>
      <c r="L2110" s="1519">
        <v>13255160100</v>
      </c>
      <c r="M2110" s="1520">
        <v>0</v>
      </c>
      <c r="N2110" s="1520">
        <v>1</v>
      </c>
      <c r="O2110" s="1521">
        <v>1</v>
      </c>
    </row>
    <row r="2111" spans="3:15" ht="13.5">
      <c r="C2111" s="1526" t="s">
        <v>6072</v>
      </c>
      <c r="D2111" s="1523">
        <v>0</v>
      </c>
      <c r="E2111" s="1523">
        <v>0</v>
      </c>
      <c r="F2111" s="1524">
        <v>0</v>
      </c>
      <c r="G2111" s="1537" t="s">
        <v>6072</v>
      </c>
      <c r="H2111" s="1521">
        <v>0</v>
      </c>
      <c r="I2111" s="1521">
        <v>0</v>
      </c>
      <c r="J2111" s="1538">
        <v>0</v>
      </c>
      <c r="K2111" s="1525"/>
      <c r="L2111" s="1519">
        <v>13255160200</v>
      </c>
      <c r="M2111" s="1520">
        <v>0</v>
      </c>
      <c r="N2111" s="1520">
        <v>0</v>
      </c>
      <c r="O2111" s="1521">
        <v>0</v>
      </c>
    </row>
    <row r="2112" spans="3:15" ht="13.5">
      <c r="C2112" s="1526" t="s">
        <v>6073</v>
      </c>
      <c r="D2112" s="1523">
        <v>0</v>
      </c>
      <c r="E2112" s="1523">
        <v>0</v>
      </c>
      <c r="F2112" s="1524">
        <v>0</v>
      </c>
      <c r="G2112" s="1537" t="s">
        <v>6073</v>
      </c>
      <c r="H2112" s="1521">
        <v>0</v>
      </c>
      <c r="I2112" s="1521">
        <v>0</v>
      </c>
      <c r="J2112" s="1538">
        <v>0</v>
      </c>
      <c r="K2112" s="1525"/>
      <c r="L2112" s="1519">
        <v>13255160300</v>
      </c>
      <c r="M2112" s="1520">
        <v>0</v>
      </c>
      <c r="N2112" s="1520">
        <v>0</v>
      </c>
      <c r="O2112" s="1521">
        <v>0</v>
      </c>
    </row>
    <row r="2113" spans="3:15" ht="13.5">
      <c r="C2113" s="1526" t="s">
        <v>6074</v>
      </c>
      <c r="D2113" s="1523">
        <v>0</v>
      </c>
      <c r="E2113" s="1523">
        <v>0</v>
      </c>
      <c r="F2113" s="1524">
        <v>0</v>
      </c>
      <c r="G2113" s="1537" t="s">
        <v>6074</v>
      </c>
      <c r="H2113" s="1521">
        <v>0</v>
      </c>
      <c r="I2113" s="1521">
        <v>0</v>
      </c>
      <c r="J2113" s="1538">
        <v>0</v>
      </c>
      <c r="K2113" s="1525"/>
      <c r="L2113" s="1519">
        <v>13255160400</v>
      </c>
      <c r="M2113" s="1520">
        <v>0</v>
      </c>
      <c r="N2113" s="1520">
        <v>0</v>
      </c>
      <c r="O2113" s="1521">
        <v>0</v>
      </c>
    </row>
    <row r="2114" spans="3:15" ht="13.5">
      <c r="C2114" s="1526" t="s">
        <v>6075</v>
      </c>
      <c r="D2114" s="1523">
        <v>0</v>
      </c>
      <c r="E2114" s="1523">
        <v>0</v>
      </c>
      <c r="F2114" s="1524">
        <v>0</v>
      </c>
      <c r="G2114" s="1537" t="s">
        <v>6075</v>
      </c>
      <c r="H2114" s="1521">
        <v>0</v>
      </c>
      <c r="I2114" s="1521">
        <v>0</v>
      </c>
      <c r="J2114" s="1538">
        <v>0</v>
      </c>
      <c r="K2114" s="1525"/>
      <c r="L2114" s="1519">
        <v>13255160500</v>
      </c>
      <c r="M2114" s="1520">
        <v>0</v>
      </c>
      <c r="N2114" s="1520">
        <v>0</v>
      </c>
      <c r="O2114" s="1521">
        <v>0</v>
      </c>
    </row>
    <row r="2115" spans="3:15" ht="13.5">
      <c r="C2115" s="1526" t="s">
        <v>6076</v>
      </c>
      <c r="D2115" s="1523">
        <v>1</v>
      </c>
      <c r="E2115" s="1523">
        <v>1</v>
      </c>
      <c r="F2115" s="1524">
        <v>2</v>
      </c>
      <c r="G2115" s="1537" t="s">
        <v>6076</v>
      </c>
      <c r="H2115" s="1521">
        <v>0</v>
      </c>
      <c r="I2115" s="1521">
        <v>0</v>
      </c>
      <c r="J2115" s="1538">
        <v>0</v>
      </c>
      <c r="K2115" s="1525"/>
      <c r="L2115" s="1519">
        <v>13255160600</v>
      </c>
      <c r="M2115" s="1520">
        <v>1</v>
      </c>
      <c r="N2115" s="1520">
        <v>1</v>
      </c>
      <c r="O2115" s="1521">
        <v>2</v>
      </c>
    </row>
    <row r="2116" spans="3:15" ht="13.5">
      <c r="C2116" s="1526" t="s">
        <v>6077</v>
      </c>
      <c r="D2116" s="1523">
        <v>0</v>
      </c>
      <c r="E2116" s="1523">
        <v>0</v>
      </c>
      <c r="F2116" s="1524">
        <v>0</v>
      </c>
      <c r="G2116" s="1537" t="s">
        <v>6077</v>
      </c>
      <c r="H2116" s="1521">
        <v>0</v>
      </c>
      <c r="I2116" s="1521">
        <v>0</v>
      </c>
      <c r="J2116" s="1538">
        <v>0</v>
      </c>
      <c r="K2116" s="1525"/>
      <c r="L2116" s="1519">
        <v>13255160700</v>
      </c>
      <c r="M2116" s="1520">
        <v>0</v>
      </c>
      <c r="N2116" s="1520">
        <v>0</v>
      </c>
      <c r="O2116" s="1521">
        <v>0</v>
      </c>
    </row>
    <row r="2117" spans="3:15" ht="13.5">
      <c r="C2117" s="1526" t="s">
        <v>6078</v>
      </c>
      <c r="D2117" s="1523">
        <v>0</v>
      </c>
      <c r="E2117" s="1523">
        <v>0</v>
      </c>
      <c r="F2117" s="1524">
        <v>0</v>
      </c>
      <c r="G2117" s="1537" t="s">
        <v>6078</v>
      </c>
      <c r="H2117" s="1521">
        <v>0</v>
      </c>
      <c r="I2117" s="1521">
        <v>0</v>
      </c>
      <c r="J2117" s="1538">
        <v>0</v>
      </c>
      <c r="K2117" s="1525"/>
      <c r="L2117" s="1519">
        <v>13255160800</v>
      </c>
      <c r="M2117" s="1520">
        <v>0</v>
      </c>
      <c r="N2117" s="1520">
        <v>0</v>
      </c>
      <c r="O2117" s="1521">
        <v>0</v>
      </c>
    </row>
    <row r="2118" spans="3:15" ht="13.5">
      <c r="C2118" s="1526" t="s">
        <v>6079</v>
      </c>
      <c r="D2118" s="1523">
        <v>0</v>
      </c>
      <c r="E2118" s="1523">
        <v>0</v>
      </c>
      <c r="F2118" s="1524">
        <v>0</v>
      </c>
      <c r="G2118" s="1537" t="s">
        <v>6079</v>
      </c>
      <c r="H2118" s="1521">
        <v>0</v>
      </c>
      <c r="I2118" s="1521">
        <v>0</v>
      </c>
      <c r="J2118" s="1538">
        <v>0</v>
      </c>
      <c r="K2118" s="1525"/>
      <c r="L2118" s="1519">
        <v>13255160900</v>
      </c>
      <c r="M2118" s="1520">
        <v>0</v>
      </c>
      <c r="N2118" s="1520">
        <v>0</v>
      </c>
      <c r="O2118" s="1521">
        <v>0</v>
      </c>
    </row>
    <row r="2119" spans="3:15" ht="13.5">
      <c r="C2119" s="1526" t="s">
        <v>6080</v>
      </c>
      <c r="D2119" s="1523">
        <v>0</v>
      </c>
      <c r="E2119" s="1523">
        <v>1</v>
      </c>
      <c r="F2119" s="1524">
        <v>1</v>
      </c>
      <c r="G2119" s="1537" t="s">
        <v>6080</v>
      </c>
      <c r="H2119" s="1521">
        <v>0</v>
      </c>
      <c r="I2119" s="1521">
        <v>0</v>
      </c>
      <c r="J2119" s="1538">
        <v>0</v>
      </c>
      <c r="K2119" s="1525"/>
      <c r="L2119" s="1519">
        <v>13255161000</v>
      </c>
      <c r="M2119" s="1520">
        <v>0</v>
      </c>
      <c r="N2119" s="1520">
        <v>1</v>
      </c>
      <c r="O2119" s="1521">
        <v>1</v>
      </c>
    </row>
    <row r="2120" spans="3:15" ht="13.5">
      <c r="C2120" s="1526" t="s">
        <v>6081</v>
      </c>
      <c r="D2120" s="1523">
        <v>1</v>
      </c>
      <c r="E2120" s="1523">
        <v>1</v>
      </c>
      <c r="F2120" s="1524">
        <v>2</v>
      </c>
      <c r="G2120" s="1537" t="s">
        <v>6081</v>
      </c>
      <c r="H2120" s="1521">
        <v>1</v>
      </c>
      <c r="I2120" s="1521">
        <v>1</v>
      </c>
      <c r="J2120" s="1538">
        <v>2</v>
      </c>
      <c r="K2120" s="1525"/>
      <c r="L2120" s="1519">
        <v>13255161100</v>
      </c>
      <c r="M2120" s="1520">
        <v>1</v>
      </c>
      <c r="N2120" s="1520">
        <v>1</v>
      </c>
      <c r="O2120" s="1521">
        <v>2</v>
      </c>
    </row>
    <row r="2121" spans="3:15" ht="13.5">
      <c r="C2121" s="1526" t="s">
        <v>6082</v>
      </c>
      <c r="D2121" s="1523">
        <v>0</v>
      </c>
      <c r="E2121" s="1523">
        <v>0</v>
      </c>
      <c r="F2121" s="1524">
        <v>0</v>
      </c>
      <c r="G2121" s="1537" t="s">
        <v>6082</v>
      </c>
      <c r="H2121" s="1521">
        <v>0</v>
      </c>
      <c r="I2121" s="1521">
        <v>1</v>
      </c>
      <c r="J2121" s="1538">
        <v>1</v>
      </c>
      <c r="K2121" s="1525"/>
      <c r="L2121" s="1519">
        <v>13255161200</v>
      </c>
      <c r="M2121" s="1520">
        <v>0</v>
      </c>
      <c r="N2121" s="1520">
        <v>1</v>
      </c>
      <c r="O2121" s="1521">
        <v>1</v>
      </c>
    </row>
    <row r="2122" spans="3:15" ht="13.5">
      <c r="C2122" s="1526" t="s">
        <v>6083</v>
      </c>
      <c r="D2122" s="1523">
        <v>0</v>
      </c>
      <c r="E2122" s="1523">
        <v>0</v>
      </c>
      <c r="F2122" s="1524">
        <v>0</v>
      </c>
      <c r="G2122" s="1537" t="s">
        <v>6083</v>
      </c>
      <c r="H2122" s="1521">
        <v>0</v>
      </c>
      <c r="I2122" s="1521">
        <v>0</v>
      </c>
      <c r="J2122" s="1538">
        <v>0</v>
      </c>
      <c r="K2122" s="1525"/>
      <c r="L2122" s="1519">
        <v>13257970100</v>
      </c>
      <c r="M2122" s="1520">
        <v>0</v>
      </c>
      <c r="N2122" s="1520">
        <v>0</v>
      </c>
      <c r="O2122" s="1521">
        <v>0</v>
      </c>
    </row>
    <row r="2123" spans="3:15" ht="13.5">
      <c r="C2123" s="1526" t="s">
        <v>6084</v>
      </c>
      <c r="D2123" s="1523">
        <v>0</v>
      </c>
      <c r="E2123" s="1523">
        <v>0</v>
      </c>
      <c r="F2123" s="1524">
        <v>0</v>
      </c>
      <c r="G2123" s="1537" t="s">
        <v>6084</v>
      </c>
      <c r="H2123" s="1521">
        <v>0</v>
      </c>
      <c r="I2123" s="1521">
        <v>0</v>
      </c>
      <c r="J2123" s="1538">
        <v>0</v>
      </c>
      <c r="K2123" s="1525"/>
      <c r="L2123" s="1519">
        <v>13257970200</v>
      </c>
      <c r="M2123" s="1520">
        <v>0</v>
      </c>
      <c r="N2123" s="1520">
        <v>0</v>
      </c>
      <c r="O2123" s="1521">
        <v>0</v>
      </c>
    </row>
    <row r="2124" spans="3:15" ht="13.5">
      <c r="C2124" s="1526" t="s">
        <v>6085</v>
      </c>
      <c r="D2124" s="1523">
        <v>0</v>
      </c>
      <c r="E2124" s="1523">
        <v>0</v>
      </c>
      <c r="F2124" s="1524">
        <v>0</v>
      </c>
      <c r="G2124" s="1537" t="s">
        <v>6085</v>
      </c>
      <c r="H2124" s="1521">
        <v>0</v>
      </c>
      <c r="I2124" s="1521">
        <v>0</v>
      </c>
      <c r="J2124" s="1538">
        <v>0</v>
      </c>
      <c r="K2124" s="1525"/>
      <c r="L2124" s="1519">
        <v>13257970301</v>
      </c>
      <c r="M2124" s="1520">
        <v>0</v>
      </c>
      <c r="N2124" s="1520">
        <v>0</v>
      </c>
      <c r="O2124" s="1521">
        <v>0</v>
      </c>
    </row>
    <row r="2125" spans="3:15" ht="13.5">
      <c r="C2125" s="1526" t="s">
        <v>6086</v>
      </c>
      <c r="D2125" s="1523">
        <v>0</v>
      </c>
      <c r="E2125" s="1523">
        <v>0</v>
      </c>
      <c r="F2125" s="1524">
        <v>0</v>
      </c>
      <c r="G2125" s="1537" t="s">
        <v>6086</v>
      </c>
      <c r="H2125" s="1521">
        <v>0</v>
      </c>
      <c r="I2125" s="1521">
        <v>0</v>
      </c>
      <c r="J2125" s="1538">
        <v>0</v>
      </c>
      <c r="K2125" s="1525"/>
      <c r="L2125" s="1519">
        <v>13257970302</v>
      </c>
      <c r="M2125" s="1520">
        <v>0</v>
      </c>
      <c r="N2125" s="1520">
        <v>0</v>
      </c>
      <c r="O2125" s="1521">
        <v>0</v>
      </c>
    </row>
    <row r="2126" spans="3:15" ht="13.5">
      <c r="C2126" s="1526" t="s">
        <v>6087</v>
      </c>
      <c r="D2126" s="1523">
        <v>0</v>
      </c>
      <c r="E2126" s="1523">
        <v>0</v>
      </c>
      <c r="F2126" s="1524">
        <v>0</v>
      </c>
      <c r="G2126" s="1537" t="s">
        <v>6087</v>
      </c>
      <c r="H2126" s="1521">
        <v>0</v>
      </c>
      <c r="I2126" s="1521">
        <v>0</v>
      </c>
      <c r="J2126" s="1538">
        <v>0</v>
      </c>
      <c r="K2126" s="1525"/>
      <c r="L2126" s="1519">
        <v>13257970400</v>
      </c>
      <c r="M2126" s="1520">
        <v>0</v>
      </c>
      <c r="N2126" s="1520">
        <v>0</v>
      </c>
      <c r="O2126" s="1521">
        <v>0</v>
      </c>
    </row>
    <row r="2127" spans="3:15" ht="13.5">
      <c r="C2127" s="1526" t="s">
        <v>6088</v>
      </c>
      <c r="D2127" s="1523">
        <v>0</v>
      </c>
      <c r="E2127" s="1523">
        <v>0</v>
      </c>
      <c r="F2127" s="1524">
        <v>0</v>
      </c>
      <c r="G2127" s="1537" t="s">
        <v>6088</v>
      </c>
      <c r="H2127" s="1521">
        <v>0</v>
      </c>
      <c r="I2127" s="1521">
        <v>0</v>
      </c>
      <c r="J2127" s="1538">
        <v>0</v>
      </c>
      <c r="K2127" s="1525"/>
      <c r="L2127" s="1519">
        <v>13259950100</v>
      </c>
      <c r="M2127" s="1520">
        <v>0</v>
      </c>
      <c r="N2127" s="1520">
        <v>0</v>
      </c>
      <c r="O2127" s="1521">
        <v>0</v>
      </c>
    </row>
    <row r="2128" spans="3:15" ht="13.5">
      <c r="C2128" s="1526" t="s">
        <v>6089</v>
      </c>
      <c r="D2128" s="1523">
        <v>0</v>
      </c>
      <c r="E2128" s="1523">
        <v>0</v>
      </c>
      <c r="F2128" s="1524">
        <v>0</v>
      </c>
      <c r="G2128" s="1537" t="s">
        <v>6089</v>
      </c>
      <c r="H2128" s="1521">
        <v>0</v>
      </c>
      <c r="I2128" s="1521">
        <v>0</v>
      </c>
      <c r="J2128" s="1538">
        <v>0</v>
      </c>
      <c r="K2128" s="1525"/>
      <c r="L2128" s="1519">
        <v>13259950400</v>
      </c>
      <c r="M2128" s="1520">
        <v>0</v>
      </c>
      <c r="N2128" s="1520">
        <v>0</v>
      </c>
      <c r="O2128" s="1521">
        <v>0</v>
      </c>
    </row>
    <row r="2129" spans="3:15" ht="13.5">
      <c r="C2129" s="1526" t="s">
        <v>6090</v>
      </c>
      <c r="D2129" s="1523">
        <v>0</v>
      </c>
      <c r="E2129" s="1523">
        <v>0</v>
      </c>
      <c r="F2129" s="1524">
        <v>0</v>
      </c>
      <c r="G2129" s="1537" t="s">
        <v>6090</v>
      </c>
      <c r="H2129" s="1521">
        <v>0</v>
      </c>
      <c r="I2129" s="1521">
        <v>0</v>
      </c>
      <c r="J2129" s="1538">
        <v>0</v>
      </c>
      <c r="K2129" s="1525"/>
      <c r="L2129" s="1519">
        <v>13261950100</v>
      </c>
      <c r="M2129" s="1520">
        <v>0</v>
      </c>
      <c r="N2129" s="1520">
        <v>0</v>
      </c>
      <c r="O2129" s="1521">
        <v>0</v>
      </c>
    </row>
    <row r="2130" spans="3:15" ht="13.5">
      <c r="C2130" s="1526" t="s">
        <v>6091</v>
      </c>
      <c r="D2130" s="1523">
        <v>0</v>
      </c>
      <c r="E2130" s="1523">
        <v>0</v>
      </c>
      <c r="F2130" s="1524">
        <v>0</v>
      </c>
      <c r="G2130" s="1537" t="s">
        <v>6091</v>
      </c>
      <c r="H2130" s="1521">
        <v>0</v>
      </c>
      <c r="I2130" s="1521">
        <v>0</v>
      </c>
      <c r="J2130" s="1538">
        <v>0</v>
      </c>
      <c r="K2130" s="1525"/>
      <c r="L2130" s="1519">
        <v>13261950200</v>
      </c>
      <c r="M2130" s="1520">
        <v>0</v>
      </c>
      <c r="N2130" s="1520">
        <v>0</v>
      </c>
      <c r="O2130" s="1521">
        <v>0</v>
      </c>
    </row>
    <row r="2131" spans="3:15" ht="13.5">
      <c r="C2131" s="1526" t="s">
        <v>6092</v>
      </c>
      <c r="D2131" s="1523">
        <v>0</v>
      </c>
      <c r="E2131" s="1523">
        <v>0</v>
      </c>
      <c r="F2131" s="1524">
        <v>0</v>
      </c>
      <c r="G2131" s="1537" t="s">
        <v>6092</v>
      </c>
      <c r="H2131" s="1521">
        <v>0</v>
      </c>
      <c r="I2131" s="1521">
        <v>1</v>
      </c>
      <c r="J2131" s="1538">
        <v>1</v>
      </c>
      <c r="K2131" s="1525"/>
      <c r="L2131" s="1519">
        <v>13261950300</v>
      </c>
      <c r="M2131" s="1520">
        <v>0</v>
      </c>
      <c r="N2131" s="1520">
        <v>1</v>
      </c>
      <c r="O2131" s="1521">
        <v>1</v>
      </c>
    </row>
    <row r="2132" spans="3:15" ht="13.5">
      <c r="C2132" s="1526" t="s">
        <v>6093</v>
      </c>
      <c r="D2132" s="1523">
        <v>0</v>
      </c>
      <c r="E2132" s="1523">
        <v>0</v>
      </c>
      <c r="F2132" s="1524">
        <v>0</v>
      </c>
      <c r="G2132" s="1537" t="s">
        <v>6093</v>
      </c>
      <c r="H2132" s="1521">
        <v>0</v>
      </c>
      <c r="I2132" s="1521">
        <v>0</v>
      </c>
      <c r="J2132" s="1538">
        <v>0</v>
      </c>
      <c r="K2132" s="1525"/>
      <c r="L2132" s="1519">
        <v>13261950400</v>
      </c>
      <c r="M2132" s="1520">
        <v>0</v>
      </c>
      <c r="N2132" s="1520">
        <v>0</v>
      </c>
      <c r="O2132" s="1521">
        <v>0</v>
      </c>
    </row>
    <row r="2133" spans="3:15" ht="13.5">
      <c r="C2133" s="1526" t="s">
        <v>6094</v>
      </c>
      <c r="D2133" s="1523">
        <v>0</v>
      </c>
      <c r="E2133" s="1523">
        <v>0</v>
      </c>
      <c r="F2133" s="1524">
        <v>0</v>
      </c>
      <c r="G2133" s="1537" t="s">
        <v>6094</v>
      </c>
      <c r="H2133" s="1521">
        <v>0</v>
      </c>
      <c r="I2133" s="1521">
        <v>0</v>
      </c>
      <c r="J2133" s="1538">
        <v>0</v>
      </c>
      <c r="K2133" s="1525"/>
      <c r="L2133" s="1519">
        <v>13261950500</v>
      </c>
      <c r="M2133" s="1520">
        <v>0</v>
      </c>
      <c r="N2133" s="1520">
        <v>0</v>
      </c>
      <c r="O2133" s="1521">
        <v>0</v>
      </c>
    </row>
    <row r="2134" spans="3:15" ht="13.5">
      <c r="C2134" s="1526" t="s">
        <v>6095</v>
      </c>
      <c r="D2134" s="1523">
        <v>0</v>
      </c>
      <c r="E2134" s="1523">
        <v>0</v>
      </c>
      <c r="F2134" s="1524">
        <v>0</v>
      </c>
      <c r="G2134" s="1537" t="s">
        <v>6095</v>
      </c>
      <c r="H2134" s="1521">
        <v>0</v>
      </c>
      <c r="I2134" s="1521">
        <v>0</v>
      </c>
      <c r="J2134" s="1538">
        <v>0</v>
      </c>
      <c r="K2134" s="1525"/>
      <c r="L2134" s="1519">
        <v>13261950600</v>
      </c>
      <c r="M2134" s="1520">
        <v>0</v>
      </c>
      <c r="N2134" s="1520">
        <v>0</v>
      </c>
      <c r="O2134" s="1521">
        <v>0</v>
      </c>
    </row>
    <row r="2135" spans="3:15" ht="13.5">
      <c r="C2135" s="1526" t="s">
        <v>6096</v>
      </c>
      <c r="D2135" s="1523">
        <v>0</v>
      </c>
      <c r="E2135" s="1523">
        <v>0</v>
      </c>
      <c r="F2135" s="1524">
        <v>0</v>
      </c>
      <c r="G2135" s="1537" t="s">
        <v>6096</v>
      </c>
      <c r="H2135" s="1521">
        <v>0</v>
      </c>
      <c r="I2135" s="1521">
        <v>1</v>
      </c>
      <c r="J2135" s="1538">
        <v>1</v>
      </c>
      <c r="K2135" s="1525"/>
      <c r="L2135" s="1519">
        <v>13261950700</v>
      </c>
      <c r="M2135" s="1520">
        <v>0</v>
      </c>
      <c r="N2135" s="1520">
        <v>1</v>
      </c>
      <c r="O2135" s="1521">
        <v>1</v>
      </c>
    </row>
    <row r="2136" spans="3:15" ht="13.5">
      <c r="C2136" s="1526" t="s">
        <v>6097</v>
      </c>
      <c r="D2136" s="1523">
        <v>0</v>
      </c>
      <c r="E2136" s="1523">
        <v>0</v>
      </c>
      <c r="F2136" s="1524">
        <v>0</v>
      </c>
      <c r="G2136" s="1537" t="s">
        <v>6097</v>
      </c>
      <c r="H2136" s="1521">
        <v>0</v>
      </c>
      <c r="I2136" s="1521">
        <v>1</v>
      </c>
      <c r="J2136" s="1538">
        <v>1</v>
      </c>
      <c r="K2136" s="1525"/>
      <c r="L2136" s="1519">
        <v>13261950800</v>
      </c>
      <c r="M2136" s="1520">
        <v>0</v>
      </c>
      <c r="N2136" s="1520">
        <v>1</v>
      </c>
      <c r="O2136" s="1521">
        <v>1</v>
      </c>
    </row>
    <row r="2137" spans="3:15" ht="13.5">
      <c r="C2137" s="1526" t="s">
        <v>6098</v>
      </c>
      <c r="D2137" s="1523">
        <v>1</v>
      </c>
      <c r="E2137" s="1523">
        <v>0</v>
      </c>
      <c r="F2137" s="1524">
        <v>1</v>
      </c>
      <c r="G2137" s="1537" t="s">
        <v>6098</v>
      </c>
      <c r="H2137" s="1521">
        <v>0</v>
      </c>
      <c r="I2137" s="1521" t="s">
        <v>4099</v>
      </c>
      <c r="J2137" s="1538">
        <v>0</v>
      </c>
      <c r="K2137" s="1525"/>
      <c r="L2137" s="1519">
        <v>13263960100</v>
      </c>
      <c r="M2137" s="1520">
        <v>1</v>
      </c>
      <c r="N2137" s="1520">
        <v>0</v>
      </c>
      <c r="O2137" s="1521">
        <v>1</v>
      </c>
    </row>
    <row r="2138" spans="3:15" ht="13.5">
      <c r="C2138" s="1526" t="s">
        <v>6099</v>
      </c>
      <c r="D2138" s="1523">
        <v>0</v>
      </c>
      <c r="E2138" s="1523">
        <v>0</v>
      </c>
      <c r="F2138" s="1524">
        <v>0</v>
      </c>
      <c r="G2138" s="1537" t="s">
        <v>6099</v>
      </c>
      <c r="H2138" s="1521">
        <v>0</v>
      </c>
      <c r="I2138" s="1521">
        <v>0</v>
      </c>
      <c r="J2138" s="1538">
        <v>0</v>
      </c>
      <c r="K2138" s="1525"/>
      <c r="L2138" s="1519">
        <v>13263960200</v>
      </c>
      <c r="M2138" s="1520">
        <v>0</v>
      </c>
      <c r="N2138" s="1520">
        <v>0</v>
      </c>
      <c r="O2138" s="1521">
        <v>0</v>
      </c>
    </row>
    <row r="2139" spans="3:15" ht="13.5">
      <c r="C2139" s="1526" t="s">
        <v>6100</v>
      </c>
      <c r="D2139" s="1523">
        <v>0</v>
      </c>
      <c r="E2139" s="1523">
        <v>0</v>
      </c>
      <c r="F2139" s="1524">
        <v>0</v>
      </c>
      <c r="G2139" s="1537" t="s">
        <v>6100</v>
      </c>
      <c r="H2139" s="1521">
        <v>0</v>
      </c>
      <c r="I2139" s="1521">
        <v>0</v>
      </c>
      <c r="J2139" s="1538">
        <v>0</v>
      </c>
      <c r="K2139" s="1525"/>
      <c r="L2139" s="1519">
        <v>13263960300</v>
      </c>
      <c r="M2139" s="1520">
        <v>0</v>
      </c>
      <c r="N2139" s="1520">
        <v>0</v>
      </c>
      <c r="O2139" s="1521">
        <v>0</v>
      </c>
    </row>
    <row r="2140" spans="3:15" ht="13.5">
      <c r="C2140" s="1526" t="s">
        <v>6101</v>
      </c>
      <c r="D2140" s="1523">
        <v>0</v>
      </c>
      <c r="E2140" s="1523">
        <v>0</v>
      </c>
      <c r="F2140" s="1524">
        <v>0</v>
      </c>
      <c r="G2140" s="1537" t="s">
        <v>6101</v>
      </c>
      <c r="H2140" s="1521">
        <v>0</v>
      </c>
      <c r="I2140" s="1521">
        <v>0</v>
      </c>
      <c r="J2140" s="1538">
        <v>0</v>
      </c>
      <c r="K2140" s="1525"/>
      <c r="L2140" s="1519">
        <v>13265010200</v>
      </c>
      <c r="M2140" s="1520">
        <v>0</v>
      </c>
      <c r="N2140" s="1520">
        <v>0</v>
      </c>
      <c r="O2140" s="1521">
        <v>0</v>
      </c>
    </row>
    <row r="2141" spans="3:15" ht="13.5">
      <c r="C2141" s="1526" t="s">
        <v>6102</v>
      </c>
      <c r="D2141" s="1523">
        <v>0</v>
      </c>
      <c r="E2141" s="1523">
        <v>0</v>
      </c>
      <c r="F2141" s="1524">
        <v>0</v>
      </c>
      <c r="G2141" s="1537" t="s">
        <v>6102</v>
      </c>
      <c r="H2141" s="1521">
        <v>0</v>
      </c>
      <c r="I2141" s="1521">
        <v>0</v>
      </c>
      <c r="J2141" s="1538">
        <v>0</v>
      </c>
      <c r="K2141" s="1525"/>
      <c r="L2141" s="1519">
        <v>13267950100</v>
      </c>
      <c r="M2141" s="1520">
        <v>0</v>
      </c>
      <c r="N2141" s="1520">
        <v>0</v>
      </c>
      <c r="O2141" s="1521">
        <v>0</v>
      </c>
    </row>
    <row r="2142" spans="3:15" ht="13.5">
      <c r="C2142" s="1526" t="s">
        <v>6103</v>
      </c>
      <c r="D2142" s="1523">
        <v>0</v>
      </c>
      <c r="E2142" s="1523">
        <v>0</v>
      </c>
      <c r="F2142" s="1524">
        <v>0</v>
      </c>
      <c r="G2142" s="1537" t="s">
        <v>6103</v>
      </c>
      <c r="H2142" s="1521">
        <v>0</v>
      </c>
      <c r="I2142" s="1521">
        <v>0</v>
      </c>
      <c r="J2142" s="1538">
        <v>0</v>
      </c>
      <c r="K2142" s="1525"/>
      <c r="L2142" s="1519">
        <v>13267950201</v>
      </c>
      <c r="M2142" s="1520">
        <v>0</v>
      </c>
      <c r="N2142" s="1520">
        <v>0</v>
      </c>
      <c r="O2142" s="1521">
        <v>0</v>
      </c>
    </row>
    <row r="2143" spans="3:15" ht="13.5">
      <c r="C2143" s="1526" t="s">
        <v>6104</v>
      </c>
      <c r="D2143" s="1523">
        <v>0</v>
      </c>
      <c r="E2143" s="1523">
        <v>0</v>
      </c>
      <c r="F2143" s="1524">
        <v>0</v>
      </c>
      <c r="G2143" s="1537" t="s">
        <v>6104</v>
      </c>
      <c r="H2143" s="1521">
        <v>0</v>
      </c>
      <c r="I2143" s="1521">
        <v>0</v>
      </c>
      <c r="J2143" s="1538">
        <v>0</v>
      </c>
      <c r="K2143" s="1525"/>
      <c r="L2143" s="1519">
        <v>13267950202</v>
      </c>
      <c r="M2143" s="1520">
        <v>0</v>
      </c>
      <c r="N2143" s="1520">
        <v>0</v>
      </c>
      <c r="O2143" s="1521">
        <v>0</v>
      </c>
    </row>
    <row r="2144" spans="3:15" ht="13.5">
      <c r="C2144" s="1526" t="s">
        <v>6105</v>
      </c>
      <c r="D2144" s="1523">
        <v>0</v>
      </c>
      <c r="E2144" s="1523">
        <v>0</v>
      </c>
      <c r="F2144" s="1524">
        <v>0</v>
      </c>
      <c r="G2144" s="1537" t="s">
        <v>6105</v>
      </c>
      <c r="H2144" s="1521">
        <v>0</v>
      </c>
      <c r="I2144" s="1521">
        <v>0</v>
      </c>
      <c r="J2144" s="1538">
        <v>0</v>
      </c>
      <c r="K2144" s="1525"/>
      <c r="L2144" s="1519">
        <v>13267950300</v>
      </c>
      <c r="M2144" s="1520">
        <v>0</v>
      </c>
      <c r="N2144" s="1520">
        <v>0</v>
      </c>
      <c r="O2144" s="1521">
        <v>0</v>
      </c>
    </row>
    <row r="2145" spans="3:15" ht="13.5">
      <c r="C2145" s="1526" t="s">
        <v>6106</v>
      </c>
      <c r="D2145" s="1523">
        <v>0</v>
      </c>
      <c r="E2145" s="1523">
        <v>0</v>
      </c>
      <c r="F2145" s="1524">
        <v>0</v>
      </c>
      <c r="G2145" s="1537" t="s">
        <v>6106</v>
      </c>
      <c r="H2145" s="1521">
        <v>0</v>
      </c>
      <c r="I2145" s="1521">
        <v>0</v>
      </c>
      <c r="J2145" s="1538">
        <v>0</v>
      </c>
      <c r="K2145" s="1525"/>
      <c r="L2145" s="1519">
        <v>13267950400</v>
      </c>
      <c r="M2145" s="1520">
        <v>0</v>
      </c>
      <c r="N2145" s="1520">
        <v>0</v>
      </c>
      <c r="O2145" s="1521">
        <v>0</v>
      </c>
    </row>
    <row r="2146" spans="3:15" ht="13.5">
      <c r="C2146" s="1526" t="s">
        <v>6107</v>
      </c>
      <c r="D2146" s="1523">
        <v>0</v>
      </c>
      <c r="E2146" s="1523">
        <v>0</v>
      </c>
      <c r="F2146" s="1524">
        <v>0</v>
      </c>
      <c r="G2146" s="1537" t="s">
        <v>6107</v>
      </c>
      <c r="H2146" s="1521">
        <v>0</v>
      </c>
      <c r="I2146" s="1521">
        <v>0</v>
      </c>
      <c r="J2146" s="1538">
        <v>0</v>
      </c>
      <c r="K2146" s="1525"/>
      <c r="L2146" s="1519">
        <v>13269950100</v>
      </c>
      <c r="M2146" s="1520">
        <v>0</v>
      </c>
      <c r="N2146" s="1520">
        <v>0</v>
      </c>
      <c r="O2146" s="1521">
        <v>0</v>
      </c>
    </row>
    <row r="2147" spans="3:15" ht="13.5">
      <c r="C2147" s="1526" t="s">
        <v>6108</v>
      </c>
      <c r="D2147" s="1523">
        <v>0</v>
      </c>
      <c r="E2147" s="1523">
        <v>0</v>
      </c>
      <c r="F2147" s="1524">
        <v>0</v>
      </c>
      <c r="G2147" s="1537" t="s">
        <v>6108</v>
      </c>
      <c r="H2147" s="1521">
        <v>0</v>
      </c>
      <c r="I2147" s="1521">
        <v>0</v>
      </c>
      <c r="J2147" s="1538">
        <v>0</v>
      </c>
      <c r="K2147" s="1525"/>
      <c r="L2147" s="1519">
        <v>13269950200</v>
      </c>
      <c r="M2147" s="1520">
        <v>0</v>
      </c>
      <c r="N2147" s="1520">
        <v>0</v>
      </c>
      <c r="O2147" s="1521">
        <v>0</v>
      </c>
    </row>
    <row r="2148" spans="3:15" ht="13.5">
      <c r="C2148" s="1526" t="s">
        <v>6109</v>
      </c>
      <c r="D2148" s="1523">
        <v>0</v>
      </c>
      <c r="E2148" s="1523">
        <v>0</v>
      </c>
      <c r="F2148" s="1524">
        <v>0</v>
      </c>
      <c r="G2148" s="1537" t="s">
        <v>6109</v>
      </c>
      <c r="H2148" s="1521">
        <v>0</v>
      </c>
      <c r="I2148" s="1521">
        <v>0</v>
      </c>
      <c r="J2148" s="1538">
        <v>0</v>
      </c>
      <c r="K2148" s="1525"/>
      <c r="L2148" s="1519">
        <v>13269950300</v>
      </c>
      <c r="M2148" s="1520">
        <v>0</v>
      </c>
      <c r="N2148" s="1520">
        <v>0</v>
      </c>
      <c r="O2148" s="1521">
        <v>0</v>
      </c>
    </row>
    <row r="2149" spans="3:15" ht="13.5">
      <c r="C2149" s="1526" t="s">
        <v>6110</v>
      </c>
      <c r="D2149" s="1523">
        <v>0</v>
      </c>
      <c r="E2149" s="1523">
        <v>0</v>
      </c>
      <c r="F2149" s="1524">
        <v>0</v>
      </c>
      <c r="G2149" s="1537" t="s">
        <v>6110</v>
      </c>
      <c r="H2149" s="1521">
        <v>0</v>
      </c>
      <c r="I2149" s="1521">
        <v>1</v>
      </c>
      <c r="J2149" s="1538">
        <v>1</v>
      </c>
      <c r="K2149" s="1525"/>
      <c r="L2149" s="1519">
        <v>13271950100</v>
      </c>
      <c r="M2149" s="1520">
        <v>0</v>
      </c>
      <c r="N2149" s="1520">
        <v>1</v>
      </c>
      <c r="O2149" s="1521">
        <v>1</v>
      </c>
    </row>
    <row r="2150" spans="3:15" ht="13.5">
      <c r="C2150" s="1526" t="s">
        <v>6111</v>
      </c>
      <c r="D2150" s="1523">
        <v>0</v>
      </c>
      <c r="E2150" s="1523">
        <v>0</v>
      </c>
      <c r="F2150" s="1524">
        <v>0</v>
      </c>
      <c r="G2150" s="1537" t="s">
        <v>6111</v>
      </c>
      <c r="H2150" s="1521">
        <v>0</v>
      </c>
      <c r="I2150" s="1521">
        <v>1</v>
      </c>
      <c r="J2150" s="1538">
        <v>1</v>
      </c>
      <c r="K2150" s="1525"/>
      <c r="L2150" s="1519">
        <v>13271950200</v>
      </c>
      <c r="M2150" s="1520">
        <v>0</v>
      </c>
      <c r="N2150" s="1520">
        <v>1</v>
      </c>
      <c r="O2150" s="1521">
        <v>1</v>
      </c>
    </row>
    <row r="2151" spans="3:15" ht="13.5">
      <c r="C2151" s="1526" t="s">
        <v>6112</v>
      </c>
      <c r="D2151" s="1523">
        <v>0</v>
      </c>
      <c r="E2151" s="1523">
        <v>0</v>
      </c>
      <c r="F2151" s="1524">
        <v>0</v>
      </c>
      <c r="G2151" s="1537" t="s">
        <v>6112</v>
      </c>
      <c r="H2151" s="1521">
        <v>0</v>
      </c>
      <c r="I2151" s="1521">
        <v>0</v>
      </c>
      <c r="J2151" s="1538">
        <v>0</v>
      </c>
      <c r="K2151" s="1525"/>
      <c r="L2151" s="1519">
        <v>13271950500</v>
      </c>
      <c r="M2151" s="1520">
        <v>0</v>
      </c>
      <c r="N2151" s="1520">
        <v>0</v>
      </c>
      <c r="O2151" s="1521">
        <v>0</v>
      </c>
    </row>
    <row r="2152" spans="3:15" ht="13.5">
      <c r="C2152" s="1526" t="s">
        <v>6113</v>
      </c>
      <c r="D2152" s="1523">
        <v>0</v>
      </c>
      <c r="E2152" s="1523">
        <v>0</v>
      </c>
      <c r="F2152" s="1524">
        <v>0</v>
      </c>
      <c r="G2152" s="1537" t="s">
        <v>6113</v>
      </c>
      <c r="H2152" s="1521">
        <v>0</v>
      </c>
      <c r="I2152" s="1521">
        <v>0</v>
      </c>
      <c r="J2152" s="1538">
        <v>0</v>
      </c>
      <c r="K2152" s="1525"/>
      <c r="L2152" s="1519">
        <v>13273120200</v>
      </c>
      <c r="M2152" s="1520">
        <v>0</v>
      </c>
      <c r="N2152" s="1520">
        <v>0</v>
      </c>
      <c r="O2152" s="1521">
        <v>0</v>
      </c>
    </row>
    <row r="2153" spans="3:15" ht="13.5">
      <c r="C2153" s="1526" t="s">
        <v>6114</v>
      </c>
      <c r="D2153" s="1523">
        <v>0</v>
      </c>
      <c r="E2153" s="1523">
        <v>0</v>
      </c>
      <c r="F2153" s="1524">
        <v>0</v>
      </c>
      <c r="G2153" s="1537" t="s">
        <v>6114</v>
      </c>
      <c r="H2153" s="1521">
        <v>0</v>
      </c>
      <c r="I2153" s="1521">
        <v>0</v>
      </c>
      <c r="J2153" s="1538">
        <v>0</v>
      </c>
      <c r="K2153" s="1525"/>
      <c r="L2153" s="1519">
        <v>13273120300</v>
      </c>
      <c r="M2153" s="1520">
        <v>0</v>
      </c>
      <c r="N2153" s="1520">
        <v>0</v>
      </c>
      <c r="O2153" s="1521">
        <v>0</v>
      </c>
    </row>
    <row r="2154" spans="3:15" ht="13.5">
      <c r="C2154" s="1526" t="s">
        <v>6115</v>
      </c>
      <c r="D2154" s="1523">
        <v>0</v>
      </c>
      <c r="E2154" s="1523">
        <v>0</v>
      </c>
      <c r="F2154" s="1524">
        <v>0</v>
      </c>
      <c r="G2154" s="1537" t="s">
        <v>6115</v>
      </c>
      <c r="H2154" s="1521">
        <v>0</v>
      </c>
      <c r="I2154" s="1521">
        <v>0</v>
      </c>
      <c r="J2154" s="1538">
        <v>0</v>
      </c>
      <c r="K2154" s="1525"/>
      <c r="L2154" s="1519">
        <v>13273120400</v>
      </c>
      <c r="M2154" s="1520">
        <v>0</v>
      </c>
      <c r="N2154" s="1520">
        <v>0</v>
      </c>
      <c r="O2154" s="1521">
        <v>0</v>
      </c>
    </row>
    <row r="2155" spans="3:15" ht="13.5">
      <c r="C2155" s="1526" t="s">
        <v>6116</v>
      </c>
      <c r="D2155" s="1523">
        <v>0</v>
      </c>
      <c r="E2155" s="1523">
        <v>0</v>
      </c>
      <c r="F2155" s="1524">
        <v>0</v>
      </c>
      <c r="G2155" s="1537" t="s">
        <v>6116</v>
      </c>
      <c r="H2155" s="1521">
        <v>0</v>
      </c>
      <c r="I2155" s="1521">
        <v>0</v>
      </c>
      <c r="J2155" s="1538">
        <v>0</v>
      </c>
      <c r="K2155" s="1525"/>
      <c r="L2155" s="1519">
        <v>13273120500</v>
      </c>
      <c r="M2155" s="1520">
        <v>0</v>
      </c>
      <c r="N2155" s="1520">
        <v>0</v>
      </c>
      <c r="O2155" s="1521">
        <v>0</v>
      </c>
    </row>
    <row r="2156" spans="3:15" ht="13.5">
      <c r="C2156" s="1526" t="s">
        <v>6117</v>
      </c>
      <c r="D2156" s="1523">
        <v>0</v>
      </c>
      <c r="E2156" s="1523">
        <v>0</v>
      </c>
      <c r="F2156" s="1524">
        <v>0</v>
      </c>
      <c r="G2156" s="1537" t="s">
        <v>6117</v>
      </c>
      <c r="H2156" s="1521">
        <v>0</v>
      </c>
      <c r="I2156" s="1521">
        <v>0</v>
      </c>
      <c r="J2156" s="1538">
        <v>0</v>
      </c>
      <c r="K2156" s="1525"/>
      <c r="L2156" s="1519">
        <v>13275960100</v>
      </c>
      <c r="M2156" s="1520">
        <v>0</v>
      </c>
      <c r="N2156" s="1520">
        <v>0</v>
      </c>
      <c r="O2156" s="1521">
        <v>0</v>
      </c>
    </row>
    <row r="2157" spans="3:15" ht="13.5">
      <c r="C2157" s="1526" t="s">
        <v>6118</v>
      </c>
      <c r="D2157" s="1523">
        <v>0</v>
      </c>
      <c r="E2157" s="1523">
        <v>0</v>
      </c>
      <c r="F2157" s="1524">
        <v>0</v>
      </c>
      <c r="G2157" s="1537" t="s">
        <v>6118</v>
      </c>
      <c r="H2157" s="1521">
        <v>0</v>
      </c>
      <c r="I2157" s="1521">
        <v>0</v>
      </c>
      <c r="J2157" s="1538">
        <v>0</v>
      </c>
      <c r="K2157" s="1525"/>
      <c r="L2157" s="1519">
        <v>13275960200</v>
      </c>
      <c r="M2157" s="1520">
        <v>0</v>
      </c>
      <c r="N2157" s="1520">
        <v>0</v>
      </c>
      <c r="O2157" s="1521">
        <v>0</v>
      </c>
    </row>
    <row r="2158" spans="3:15" ht="13.5">
      <c r="C2158" s="1526" t="s">
        <v>6119</v>
      </c>
      <c r="D2158" s="1523">
        <v>0</v>
      </c>
      <c r="E2158" s="1523">
        <v>0</v>
      </c>
      <c r="F2158" s="1524">
        <v>0</v>
      </c>
      <c r="G2158" s="1537" t="s">
        <v>6119</v>
      </c>
      <c r="H2158" s="1521">
        <v>0</v>
      </c>
      <c r="I2158" s="1521">
        <v>0</v>
      </c>
      <c r="J2158" s="1538">
        <v>0</v>
      </c>
      <c r="K2158" s="1525"/>
      <c r="L2158" s="1519">
        <v>13275960300</v>
      </c>
      <c r="M2158" s="1520">
        <v>0</v>
      </c>
      <c r="N2158" s="1520">
        <v>0</v>
      </c>
      <c r="O2158" s="1521">
        <v>0</v>
      </c>
    </row>
    <row r="2159" spans="3:15" ht="13.5">
      <c r="C2159" s="1526" t="s">
        <v>6120</v>
      </c>
      <c r="D2159" s="1523">
        <v>0</v>
      </c>
      <c r="E2159" s="1523">
        <v>0</v>
      </c>
      <c r="F2159" s="1524">
        <v>0</v>
      </c>
      <c r="G2159" s="1537" t="s">
        <v>6120</v>
      </c>
      <c r="H2159" s="1521">
        <v>0</v>
      </c>
      <c r="I2159" s="1521">
        <v>0</v>
      </c>
      <c r="J2159" s="1538">
        <v>0</v>
      </c>
      <c r="K2159" s="1525"/>
      <c r="L2159" s="1519">
        <v>13275960400</v>
      </c>
      <c r="M2159" s="1520">
        <v>0</v>
      </c>
      <c r="N2159" s="1520">
        <v>0</v>
      </c>
      <c r="O2159" s="1521">
        <v>0</v>
      </c>
    </row>
    <row r="2160" spans="3:15" ht="13.5">
      <c r="C2160" s="1526" t="s">
        <v>6121</v>
      </c>
      <c r="D2160" s="1523">
        <v>0</v>
      </c>
      <c r="E2160" s="1523">
        <v>0</v>
      </c>
      <c r="F2160" s="1524">
        <v>0</v>
      </c>
      <c r="G2160" s="1537" t="s">
        <v>6121</v>
      </c>
      <c r="H2160" s="1521">
        <v>0</v>
      </c>
      <c r="I2160" s="1521">
        <v>0</v>
      </c>
      <c r="J2160" s="1538">
        <v>0</v>
      </c>
      <c r="K2160" s="1525"/>
      <c r="L2160" s="1519">
        <v>13275960500</v>
      </c>
      <c r="M2160" s="1520">
        <v>0</v>
      </c>
      <c r="N2160" s="1520">
        <v>0</v>
      </c>
      <c r="O2160" s="1521">
        <v>0</v>
      </c>
    </row>
    <row r="2161" spans="3:15" ht="13.5">
      <c r="C2161" s="1526" t="s">
        <v>6122</v>
      </c>
      <c r="D2161" s="1523">
        <v>1</v>
      </c>
      <c r="E2161" s="1523">
        <v>0</v>
      </c>
      <c r="F2161" s="1524">
        <v>1</v>
      </c>
      <c r="G2161" s="1537" t="s">
        <v>6122</v>
      </c>
      <c r="H2161" s="1521">
        <v>0</v>
      </c>
      <c r="I2161" s="1521">
        <v>0</v>
      </c>
      <c r="J2161" s="1538">
        <v>0</v>
      </c>
      <c r="K2161" s="1525"/>
      <c r="L2161" s="1519">
        <v>13275960600</v>
      </c>
      <c r="M2161" s="1520">
        <v>1</v>
      </c>
      <c r="N2161" s="1520">
        <v>0</v>
      </c>
      <c r="O2161" s="1521">
        <v>1</v>
      </c>
    </row>
    <row r="2162" spans="3:15" ht="13.5">
      <c r="C2162" s="1526" t="s">
        <v>6123</v>
      </c>
      <c r="D2162" s="1523">
        <v>0</v>
      </c>
      <c r="E2162" s="1523">
        <v>0</v>
      </c>
      <c r="F2162" s="1524">
        <v>0</v>
      </c>
      <c r="G2162" s="1537" t="s">
        <v>6123</v>
      </c>
      <c r="H2162" s="1521">
        <v>0</v>
      </c>
      <c r="I2162" s="1521">
        <v>0</v>
      </c>
      <c r="J2162" s="1538">
        <v>0</v>
      </c>
      <c r="K2162" s="1525"/>
      <c r="L2162" s="1519">
        <v>13275960700</v>
      </c>
      <c r="M2162" s="1520">
        <v>0</v>
      </c>
      <c r="N2162" s="1520">
        <v>0</v>
      </c>
      <c r="O2162" s="1521">
        <v>0</v>
      </c>
    </row>
    <row r="2163" spans="3:15" ht="13.5">
      <c r="C2163" s="1526" t="s">
        <v>6124</v>
      </c>
      <c r="D2163" s="1523">
        <v>0</v>
      </c>
      <c r="E2163" s="1523">
        <v>0</v>
      </c>
      <c r="F2163" s="1524">
        <v>0</v>
      </c>
      <c r="G2163" s="1537" t="s">
        <v>6124</v>
      </c>
      <c r="H2163" s="1521">
        <v>0</v>
      </c>
      <c r="I2163" s="1521">
        <v>0</v>
      </c>
      <c r="J2163" s="1538">
        <v>0</v>
      </c>
      <c r="K2163" s="1525"/>
      <c r="L2163" s="1519">
        <v>13275960800</v>
      </c>
      <c r="M2163" s="1520">
        <v>0</v>
      </c>
      <c r="N2163" s="1520">
        <v>0</v>
      </c>
      <c r="O2163" s="1521">
        <v>0</v>
      </c>
    </row>
    <row r="2164" spans="3:15" ht="13.5">
      <c r="C2164" s="1526" t="s">
        <v>6125</v>
      </c>
      <c r="D2164" s="1523">
        <v>0</v>
      </c>
      <c r="E2164" s="1523">
        <v>0</v>
      </c>
      <c r="F2164" s="1524">
        <v>0</v>
      </c>
      <c r="G2164" s="1537" t="s">
        <v>6125</v>
      </c>
      <c r="H2164" s="1521">
        <v>0</v>
      </c>
      <c r="I2164" s="1521">
        <v>0</v>
      </c>
      <c r="J2164" s="1538">
        <v>0</v>
      </c>
      <c r="K2164" s="1525"/>
      <c r="L2164" s="1519">
        <v>13275960900</v>
      </c>
      <c r="M2164" s="1520">
        <v>0</v>
      </c>
      <c r="N2164" s="1520">
        <v>0</v>
      </c>
      <c r="O2164" s="1521">
        <v>0</v>
      </c>
    </row>
    <row r="2165" spans="3:15" ht="13.5">
      <c r="C2165" s="1526" t="s">
        <v>6126</v>
      </c>
      <c r="D2165" s="1523">
        <v>0</v>
      </c>
      <c r="E2165" s="1523">
        <v>0</v>
      </c>
      <c r="F2165" s="1524">
        <v>0</v>
      </c>
      <c r="G2165" s="1537" t="s">
        <v>6126</v>
      </c>
      <c r="H2165" s="1521">
        <v>1</v>
      </c>
      <c r="I2165" s="1521">
        <v>1</v>
      </c>
      <c r="J2165" s="1538">
        <v>2</v>
      </c>
      <c r="K2165" s="1525"/>
      <c r="L2165" s="1519">
        <v>13275961000</v>
      </c>
      <c r="M2165" s="1520">
        <v>1</v>
      </c>
      <c r="N2165" s="1520">
        <v>1</v>
      </c>
      <c r="O2165" s="1521">
        <v>2</v>
      </c>
    </row>
    <row r="2166" spans="3:15" ht="13.5">
      <c r="C2166" s="1526" t="s">
        <v>6127</v>
      </c>
      <c r="D2166" s="1523">
        <v>0</v>
      </c>
      <c r="E2166" s="1523">
        <v>0</v>
      </c>
      <c r="F2166" s="1524">
        <v>0</v>
      </c>
      <c r="G2166" s="1537" t="s">
        <v>6127</v>
      </c>
      <c r="H2166" s="1521">
        <v>0</v>
      </c>
      <c r="I2166" s="1521">
        <v>1</v>
      </c>
      <c r="J2166" s="1538">
        <v>1</v>
      </c>
      <c r="K2166" s="1525"/>
      <c r="L2166" s="1519">
        <v>13275961100</v>
      </c>
      <c r="M2166" s="1520">
        <v>0</v>
      </c>
      <c r="N2166" s="1520">
        <v>1</v>
      </c>
      <c r="O2166" s="1521">
        <v>1</v>
      </c>
    </row>
    <row r="2167" spans="3:15" ht="13.5">
      <c r="C2167" s="1526" t="s">
        <v>6128</v>
      </c>
      <c r="D2167" s="1523">
        <v>1</v>
      </c>
      <c r="E2167" s="1523">
        <v>1</v>
      </c>
      <c r="F2167" s="1524">
        <v>2</v>
      </c>
      <c r="G2167" s="1537" t="s">
        <v>6128</v>
      </c>
      <c r="H2167" s="1521">
        <v>1</v>
      </c>
      <c r="I2167" s="1521">
        <v>0</v>
      </c>
      <c r="J2167" s="1538">
        <v>1</v>
      </c>
      <c r="K2167" s="1525"/>
      <c r="L2167" s="1519">
        <v>13277960100</v>
      </c>
      <c r="M2167" s="1520">
        <v>1</v>
      </c>
      <c r="N2167" s="1520">
        <v>1</v>
      </c>
      <c r="O2167" s="1521">
        <v>2</v>
      </c>
    </row>
    <row r="2168" spans="3:15" ht="13.5">
      <c r="C2168" s="1526" t="s">
        <v>6129</v>
      </c>
      <c r="D2168" s="1523">
        <v>1</v>
      </c>
      <c r="E2168" s="1523">
        <v>0</v>
      </c>
      <c r="F2168" s="1524">
        <v>1</v>
      </c>
      <c r="G2168" s="1537" t="s">
        <v>6129</v>
      </c>
      <c r="H2168" s="1521">
        <v>0</v>
      </c>
      <c r="I2168" s="1521">
        <v>0</v>
      </c>
      <c r="J2168" s="1538">
        <v>0</v>
      </c>
      <c r="K2168" s="1525"/>
      <c r="L2168" s="1519">
        <v>13277960200</v>
      </c>
      <c r="M2168" s="1520">
        <v>1</v>
      </c>
      <c r="N2168" s="1520">
        <v>0</v>
      </c>
      <c r="O2168" s="1521">
        <v>1</v>
      </c>
    </row>
    <row r="2169" spans="3:15" ht="13.5">
      <c r="C2169" s="1526" t="s">
        <v>6130</v>
      </c>
      <c r="D2169" s="1523">
        <v>0</v>
      </c>
      <c r="E2169" s="1523">
        <v>0</v>
      </c>
      <c r="F2169" s="1524">
        <v>0</v>
      </c>
      <c r="G2169" s="1537" t="s">
        <v>6130</v>
      </c>
      <c r="H2169" s="1521">
        <v>1</v>
      </c>
      <c r="I2169" s="1521">
        <v>0</v>
      </c>
      <c r="J2169" s="1538">
        <v>1</v>
      </c>
      <c r="K2169" s="1525"/>
      <c r="L2169" s="1519">
        <v>13277960300</v>
      </c>
      <c r="M2169" s="1520">
        <v>1</v>
      </c>
      <c r="N2169" s="1520">
        <v>0</v>
      </c>
      <c r="O2169" s="1521">
        <v>1</v>
      </c>
    </row>
    <row r="2170" spans="3:15" ht="13.5">
      <c r="C2170" s="1526" t="s">
        <v>6131</v>
      </c>
      <c r="D2170" s="1523">
        <v>0</v>
      </c>
      <c r="E2170" s="1523">
        <v>0</v>
      </c>
      <c r="F2170" s="1524">
        <v>0</v>
      </c>
      <c r="G2170" s="1537" t="s">
        <v>6131</v>
      </c>
      <c r="H2170" s="1521">
        <v>0</v>
      </c>
      <c r="I2170" s="1521">
        <v>0</v>
      </c>
      <c r="J2170" s="1538">
        <v>0</v>
      </c>
      <c r="K2170" s="1525"/>
      <c r="L2170" s="1519">
        <v>13277960400</v>
      </c>
      <c r="M2170" s="1520">
        <v>0</v>
      </c>
      <c r="N2170" s="1520">
        <v>0</v>
      </c>
      <c r="O2170" s="1521">
        <v>0</v>
      </c>
    </row>
    <row r="2171" spans="3:15" ht="13.5">
      <c r="C2171" s="1526" t="s">
        <v>6132</v>
      </c>
      <c r="D2171" s="1523">
        <v>1</v>
      </c>
      <c r="E2171" s="1523">
        <v>0</v>
      </c>
      <c r="F2171" s="1524">
        <v>1</v>
      </c>
      <c r="G2171" s="1537" t="s">
        <v>6132</v>
      </c>
      <c r="H2171" s="1521">
        <v>1</v>
      </c>
      <c r="I2171" s="1521">
        <v>1</v>
      </c>
      <c r="J2171" s="1538">
        <v>2</v>
      </c>
      <c r="K2171" s="1525"/>
      <c r="L2171" s="1519">
        <v>13277960500</v>
      </c>
      <c r="M2171" s="1520">
        <v>1</v>
      </c>
      <c r="N2171" s="1520">
        <v>1</v>
      </c>
      <c r="O2171" s="1521">
        <v>2</v>
      </c>
    </row>
    <row r="2172" spans="3:15" ht="13.5">
      <c r="C2172" s="1526" t="s">
        <v>6133</v>
      </c>
      <c r="D2172" s="1523">
        <v>0</v>
      </c>
      <c r="E2172" s="1523">
        <v>0</v>
      </c>
      <c r="F2172" s="1524">
        <v>0</v>
      </c>
      <c r="G2172" s="1537" t="s">
        <v>6133</v>
      </c>
      <c r="H2172" s="1521">
        <v>0</v>
      </c>
      <c r="I2172" s="1521">
        <v>0</v>
      </c>
      <c r="J2172" s="1538">
        <v>0</v>
      </c>
      <c r="K2172" s="1525"/>
      <c r="L2172" s="1519">
        <v>13277960600</v>
      </c>
      <c r="M2172" s="1520">
        <v>0</v>
      </c>
      <c r="N2172" s="1520">
        <v>0</v>
      </c>
      <c r="O2172" s="1521">
        <v>0</v>
      </c>
    </row>
    <row r="2173" spans="3:15" ht="13.5">
      <c r="C2173" s="1526" t="s">
        <v>6134</v>
      </c>
      <c r="D2173" s="1523">
        <v>0</v>
      </c>
      <c r="E2173" s="1523">
        <v>0</v>
      </c>
      <c r="F2173" s="1524">
        <v>0</v>
      </c>
      <c r="G2173" s="1537" t="s">
        <v>6134</v>
      </c>
      <c r="H2173" s="1521">
        <v>0</v>
      </c>
      <c r="I2173" s="1521">
        <v>0</v>
      </c>
      <c r="J2173" s="1538">
        <v>0</v>
      </c>
      <c r="K2173" s="1525"/>
      <c r="L2173" s="1519">
        <v>13277960700</v>
      </c>
      <c r="M2173" s="1520">
        <v>0</v>
      </c>
      <c r="N2173" s="1520">
        <v>0</v>
      </c>
      <c r="O2173" s="1521">
        <v>0</v>
      </c>
    </row>
    <row r="2174" spans="3:15" ht="13.5">
      <c r="C2174" s="1526" t="s">
        <v>6135</v>
      </c>
      <c r="D2174" s="1523">
        <v>0</v>
      </c>
      <c r="E2174" s="1523">
        <v>0</v>
      </c>
      <c r="F2174" s="1524">
        <v>0</v>
      </c>
      <c r="G2174" s="1537" t="s">
        <v>6135</v>
      </c>
      <c r="H2174" s="1521">
        <v>0</v>
      </c>
      <c r="I2174" s="1521">
        <v>0</v>
      </c>
      <c r="J2174" s="1538">
        <v>0</v>
      </c>
      <c r="K2174" s="1525"/>
      <c r="L2174" s="1519">
        <v>13277960800</v>
      </c>
      <c r="M2174" s="1520">
        <v>0</v>
      </c>
      <c r="N2174" s="1520">
        <v>0</v>
      </c>
      <c r="O2174" s="1521">
        <v>0</v>
      </c>
    </row>
    <row r="2175" spans="3:15" ht="13.5">
      <c r="C2175" s="1526" t="s">
        <v>6136</v>
      </c>
      <c r="D2175" s="1523">
        <v>0</v>
      </c>
      <c r="E2175" s="1523">
        <v>0</v>
      </c>
      <c r="F2175" s="1524">
        <v>0</v>
      </c>
      <c r="G2175" s="1537" t="s">
        <v>6136</v>
      </c>
      <c r="H2175" s="1521">
        <v>0</v>
      </c>
      <c r="I2175" s="1521">
        <v>0</v>
      </c>
      <c r="J2175" s="1538">
        <v>0</v>
      </c>
      <c r="K2175" s="1525"/>
      <c r="L2175" s="1519">
        <v>13277960900</v>
      </c>
      <c r="M2175" s="1520">
        <v>0</v>
      </c>
      <c r="N2175" s="1520">
        <v>0</v>
      </c>
      <c r="O2175" s="1521">
        <v>0</v>
      </c>
    </row>
    <row r="2176" spans="3:15" ht="13.5">
      <c r="C2176" s="1526" t="s">
        <v>6137</v>
      </c>
      <c r="D2176" s="1523">
        <v>0</v>
      </c>
      <c r="E2176" s="1523">
        <v>0</v>
      </c>
      <c r="F2176" s="1524">
        <v>0</v>
      </c>
      <c r="G2176" s="1537" t="s">
        <v>6137</v>
      </c>
      <c r="H2176" s="1521">
        <v>0</v>
      </c>
      <c r="I2176" s="1521">
        <v>0</v>
      </c>
      <c r="J2176" s="1538">
        <v>0</v>
      </c>
      <c r="K2176" s="1525"/>
      <c r="L2176" s="1519">
        <v>13279970100</v>
      </c>
      <c r="M2176" s="1520">
        <v>0</v>
      </c>
      <c r="N2176" s="1520">
        <v>0</v>
      </c>
      <c r="O2176" s="1521">
        <v>0</v>
      </c>
    </row>
    <row r="2177" spans="3:15" ht="13.5">
      <c r="C2177" s="1526" t="s">
        <v>6138</v>
      </c>
      <c r="D2177" s="1523">
        <v>0</v>
      </c>
      <c r="E2177" s="1523">
        <v>0</v>
      </c>
      <c r="F2177" s="1524">
        <v>0</v>
      </c>
      <c r="G2177" s="1537" t="s">
        <v>6138</v>
      </c>
      <c r="H2177" s="1521">
        <v>0</v>
      </c>
      <c r="I2177" s="1521">
        <v>0</v>
      </c>
      <c r="J2177" s="1538">
        <v>0</v>
      </c>
      <c r="K2177" s="1525"/>
      <c r="L2177" s="1519">
        <v>13279970200</v>
      </c>
      <c r="M2177" s="1520">
        <v>0</v>
      </c>
      <c r="N2177" s="1520">
        <v>0</v>
      </c>
      <c r="O2177" s="1521">
        <v>0</v>
      </c>
    </row>
    <row r="2178" spans="3:15" ht="13.5">
      <c r="C2178" s="1526" t="s">
        <v>6139</v>
      </c>
      <c r="D2178" s="1523">
        <v>0</v>
      </c>
      <c r="E2178" s="1523">
        <v>0</v>
      </c>
      <c r="F2178" s="1524">
        <v>0</v>
      </c>
      <c r="G2178" s="1537" t="s">
        <v>6139</v>
      </c>
      <c r="H2178" s="1521">
        <v>0</v>
      </c>
      <c r="I2178" s="1521">
        <v>0</v>
      </c>
      <c r="J2178" s="1538">
        <v>0</v>
      </c>
      <c r="K2178" s="1525"/>
      <c r="L2178" s="1519">
        <v>13279970300</v>
      </c>
      <c r="M2178" s="1520">
        <v>0</v>
      </c>
      <c r="N2178" s="1520">
        <v>0</v>
      </c>
      <c r="O2178" s="1521">
        <v>0</v>
      </c>
    </row>
    <row r="2179" spans="3:15" ht="13.5">
      <c r="C2179" s="1526" t="s">
        <v>6140</v>
      </c>
      <c r="D2179" s="1523">
        <v>0</v>
      </c>
      <c r="E2179" s="1523">
        <v>0</v>
      </c>
      <c r="F2179" s="1524">
        <v>0</v>
      </c>
      <c r="G2179" s="1537" t="s">
        <v>6140</v>
      </c>
      <c r="H2179" s="1521">
        <v>0</v>
      </c>
      <c r="I2179" s="1521">
        <v>0</v>
      </c>
      <c r="J2179" s="1538">
        <v>0</v>
      </c>
      <c r="K2179" s="1525"/>
      <c r="L2179" s="1519">
        <v>13279970400</v>
      </c>
      <c r="M2179" s="1520">
        <v>0</v>
      </c>
      <c r="N2179" s="1520">
        <v>0</v>
      </c>
      <c r="O2179" s="1521">
        <v>0</v>
      </c>
    </row>
    <row r="2180" spans="3:15" ht="13.5">
      <c r="C2180" s="1526" t="s">
        <v>6141</v>
      </c>
      <c r="D2180" s="1523">
        <v>0</v>
      </c>
      <c r="E2180" s="1523">
        <v>0</v>
      </c>
      <c r="F2180" s="1524">
        <v>0</v>
      </c>
      <c r="G2180" s="1537" t="s">
        <v>6141</v>
      </c>
      <c r="H2180" s="1521">
        <v>0</v>
      </c>
      <c r="I2180" s="1521">
        <v>0</v>
      </c>
      <c r="J2180" s="1538">
        <v>0</v>
      </c>
      <c r="K2180" s="1525"/>
      <c r="L2180" s="1519">
        <v>13279970500</v>
      </c>
      <c r="M2180" s="1520">
        <v>0</v>
      </c>
      <c r="N2180" s="1520">
        <v>0</v>
      </c>
      <c r="O2180" s="1521">
        <v>0</v>
      </c>
    </row>
    <row r="2181" spans="3:15" ht="13.5">
      <c r="C2181" s="1526" t="s">
        <v>6142</v>
      </c>
      <c r="D2181" s="1523">
        <v>0</v>
      </c>
      <c r="E2181" s="1523">
        <v>0</v>
      </c>
      <c r="F2181" s="1524">
        <v>0</v>
      </c>
      <c r="G2181" s="1537" t="s">
        <v>6142</v>
      </c>
      <c r="H2181" s="1521">
        <v>0</v>
      </c>
      <c r="I2181" s="1521">
        <v>0</v>
      </c>
      <c r="J2181" s="1538">
        <v>0</v>
      </c>
      <c r="K2181" s="1525"/>
      <c r="L2181" s="1519">
        <v>13279970600</v>
      </c>
      <c r="M2181" s="1520">
        <v>0</v>
      </c>
      <c r="N2181" s="1520">
        <v>0</v>
      </c>
      <c r="O2181" s="1521">
        <v>0</v>
      </c>
    </row>
    <row r="2182" spans="3:15" ht="13.5">
      <c r="C2182" s="1526" t="s">
        <v>6143</v>
      </c>
      <c r="D2182" s="1523">
        <v>0</v>
      </c>
      <c r="E2182" s="1523">
        <v>0</v>
      </c>
      <c r="F2182" s="1524">
        <v>0</v>
      </c>
      <c r="G2182" s="1537" t="s">
        <v>6143</v>
      </c>
      <c r="H2182" s="1521">
        <v>0</v>
      </c>
      <c r="I2182" s="1521">
        <v>1</v>
      </c>
      <c r="J2182" s="1538">
        <v>1</v>
      </c>
      <c r="K2182" s="1525"/>
      <c r="L2182" s="1519">
        <v>13281960100</v>
      </c>
      <c r="M2182" s="1520">
        <v>0</v>
      </c>
      <c r="N2182" s="1520">
        <v>1</v>
      </c>
      <c r="O2182" s="1521">
        <v>1</v>
      </c>
    </row>
    <row r="2183" spans="3:15" ht="13.5">
      <c r="C2183" s="1526" t="s">
        <v>6144</v>
      </c>
      <c r="D2183" s="1523">
        <v>1</v>
      </c>
      <c r="E2183" s="1523">
        <v>1</v>
      </c>
      <c r="F2183" s="1524">
        <v>2</v>
      </c>
      <c r="G2183" s="1537" t="s">
        <v>6144</v>
      </c>
      <c r="H2183" s="1521">
        <v>0</v>
      </c>
      <c r="I2183" s="1521">
        <v>1</v>
      </c>
      <c r="J2183" s="1538">
        <v>1</v>
      </c>
      <c r="K2183" s="1525"/>
      <c r="L2183" s="1519">
        <v>13281960200</v>
      </c>
      <c r="M2183" s="1520">
        <v>1</v>
      </c>
      <c r="N2183" s="1520">
        <v>1</v>
      </c>
      <c r="O2183" s="1521">
        <v>2</v>
      </c>
    </row>
    <row r="2184" spans="3:15" ht="13.5">
      <c r="C2184" s="1526" t="s">
        <v>6145</v>
      </c>
      <c r="D2184" s="1523">
        <v>0</v>
      </c>
      <c r="E2184" s="1523">
        <v>0</v>
      </c>
      <c r="F2184" s="1524">
        <v>0</v>
      </c>
      <c r="G2184" s="1537" t="s">
        <v>6145</v>
      </c>
      <c r="H2184" s="1521">
        <v>0</v>
      </c>
      <c r="I2184" s="1521">
        <v>0</v>
      </c>
      <c r="J2184" s="1538">
        <v>0</v>
      </c>
      <c r="K2184" s="1525"/>
      <c r="L2184" s="1519">
        <v>13281960300</v>
      </c>
      <c r="M2184" s="1520">
        <v>0</v>
      </c>
      <c r="N2184" s="1520">
        <v>0</v>
      </c>
      <c r="O2184" s="1521">
        <v>0</v>
      </c>
    </row>
    <row r="2185" spans="3:15" ht="13.5">
      <c r="C2185" s="1526" t="s">
        <v>6146</v>
      </c>
      <c r="D2185" s="1523">
        <v>0</v>
      </c>
      <c r="E2185" s="1523">
        <v>0</v>
      </c>
      <c r="F2185" s="1524">
        <v>0</v>
      </c>
      <c r="G2185" s="1537" t="s">
        <v>6146</v>
      </c>
      <c r="H2185" s="1521">
        <v>0</v>
      </c>
      <c r="I2185" s="1521">
        <v>0</v>
      </c>
      <c r="J2185" s="1538">
        <v>0</v>
      </c>
      <c r="K2185" s="1525"/>
      <c r="L2185" s="1519">
        <v>13283960100</v>
      </c>
      <c r="M2185" s="1520">
        <v>0</v>
      </c>
      <c r="N2185" s="1520">
        <v>0</v>
      </c>
      <c r="O2185" s="1521">
        <v>0</v>
      </c>
    </row>
    <row r="2186" spans="3:15" ht="13.5">
      <c r="C2186" s="1526" t="s">
        <v>6147</v>
      </c>
      <c r="D2186" s="1523">
        <v>0</v>
      </c>
      <c r="E2186" s="1523">
        <v>0</v>
      </c>
      <c r="F2186" s="1524">
        <v>0</v>
      </c>
      <c r="G2186" s="1537" t="s">
        <v>6147</v>
      </c>
      <c r="H2186" s="1521">
        <v>0</v>
      </c>
      <c r="I2186" s="1521">
        <v>0</v>
      </c>
      <c r="J2186" s="1538">
        <v>0</v>
      </c>
      <c r="K2186" s="1525"/>
      <c r="L2186" s="1519">
        <v>13283960200</v>
      </c>
      <c r="M2186" s="1520">
        <v>0</v>
      </c>
      <c r="N2186" s="1520">
        <v>0</v>
      </c>
      <c r="O2186" s="1521">
        <v>0</v>
      </c>
    </row>
    <row r="2187" spans="3:15" ht="13.5">
      <c r="C2187" s="1526" t="s">
        <v>6148</v>
      </c>
      <c r="D2187" s="1523">
        <v>0</v>
      </c>
      <c r="E2187" s="1523">
        <v>0</v>
      </c>
      <c r="F2187" s="1524">
        <v>0</v>
      </c>
      <c r="G2187" s="1537" t="s">
        <v>6148</v>
      </c>
      <c r="H2187" s="1521">
        <v>0</v>
      </c>
      <c r="I2187" s="1521">
        <v>0</v>
      </c>
      <c r="J2187" s="1538">
        <v>0</v>
      </c>
      <c r="K2187" s="1525"/>
      <c r="L2187" s="1519">
        <v>13285960100</v>
      </c>
      <c r="M2187" s="1520">
        <v>0</v>
      </c>
      <c r="N2187" s="1520">
        <v>0</v>
      </c>
      <c r="O2187" s="1521">
        <v>0</v>
      </c>
    </row>
    <row r="2188" spans="3:15" ht="13.5">
      <c r="C2188" s="1526" t="s">
        <v>6149</v>
      </c>
      <c r="D2188" s="1523">
        <v>1</v>
      </c>
      <c r="E2188" s="1523">
        <v>1</v>
      </c>
      <c r="F2188" s="1524">
        <v>2</v>
      </c>
      <c r="G2188" s="1537" t="s">
        <v>6149</v>
      </c>
      <c r="H2188" s="1521">
        <v>1</v>
      </c>
      <c r="I2188" s="1521">
        <v>1</v>
      </c>
      <c r="J2188" s="1538">
        <v>2</v>
      </c>
      <c r="K2188" s="1525"/>
      <c r="L2188" s="1519">
        <v>13285960201</v>
      </c>
      <c r="M2188" s="1520">
        <v>1</v>
      </c>
      <c r="N2188" s="1520">
        <v>1</v>
      </c>
      <c r="O2188" s="1521">
        <v>2</v>
      </c>
    </row>
    <row r="2189" spans="3:15" ht="13.5">
      <c r="C2189" s="1526" t="s">
        <v>6150</v>
      </c>
      <c r="D2189" s="1523">
        <v>1</v>
      </c>
      <c r="E2189" s="1523">
        <v>1</v>
      </c>
      <c r="F2189" s="1524">
        <v>2</v>
      </c>
      <c r="G2189" s="1537" t="s">
        <v>6150</v>
      </c>
      <c r="H2189" s="1521">
        <v>1</v>
      </c>
      <c r="I2189" s="1521">
        <v>1</v>
      </c>
      <c r="J2189" s="1538">
        <v>2</v>
      </c>
      <c r="K2189" s="1525"/>
      <c r="L2189" s="1519">
        <v>13285960202</v>
      </c>
      <c r="M2189" s="1520">
        <v>1</v>
      </c>
      <c r="N2189" s="1520">
        <v>1</v>
      </c>
      <c r="O2189" s="1521">
        <v>2</v>
      </c>
    </row>
    <row r="2190" spans="3:15" ht="13.5">
      <c r="C2190" s="1526" t="s">
        <v>6151</v>
      </c>
      <c r="D2190" s="1523">
        <v>1</v>
      </c>
      <c r="E2190" s="1523">
        <v>1</v>
      </c>
      <c r="F2190" s="1524">
        <v>2</v>
      </c>
      <c r="G2190" s="1537" t="s">
        <v>6151</v>
      </c>
      <c r="H2190" s="1521">
        <v>1</v>
      </c>
      <c r="I2190" s="1521">
        <v>1</v>
      </c>
      <c r="J2190" s="1538">
        <v>2</v>
      </c>
      <c r="K2190" s="1525"/>
      <c r="L2190" s="1519">
        <v>13285960300</v>
      </c>
      <c r="M2190" s="1520">
        <v>1</v>
      </c>
      <c r="N2190" s="1520">
        <v>1</v>
      </c>
      <c r="O2190" s="1521">
        <v>2</v>
      </c>
    </row>
    <row r="2191" spans="3:15" ht="13.5">
      <c r="C2191" s="1526" t="s">
        <v>6152</v>
      </c>
      <c r="D2191" s="1523">
        <v>0</v>
      </c>
      <c r="E2191" s="1523">
        <v>0</v>
      </c>
      <c r="F2191" s="1524">
        <v>0</v>
      </c>
      <c r="G2191" s="1537" t="s">
        <v>6152</v>
      </c>
      <c r="H2191" s="1521">
        <v>0</v>
      </c>
      <c r="I2191" s="1521">
        <v>0</v>
      </c>
      <c r="J2191" s="1538">
        <v>0</v>
      </c>
      <c r="K2191" s="1525"/>
      <c r="L2191" s="1519">
        <v>13285960400</v>
      </c>
      <c r="M2191" s="1520">
        <v>0</v>
      </c>
      <c r="N2191" s="1520">
        <v>0</v>
      </c>
      <c r="O2191" s="1521">
        <v>0</v>
      </c>
    </row>
    <row r="2192" spans="3:15" ht="13.5">
      <c r="C2192" s="1526" t="s">
        <v>6153</v>
      </c>
      <c r="D2192" s="1523">
        <v>0</v>
      </c>
      <c r="E2192" s="1523">
        <v>0</v>
      </c>
      <c r="F2192" s="1524">
        <v>0</v>
      </c>
      <c r="G2192" s="1537" t="s">
        <v>6153</v>
      </c>
      <c r="H2192" s="1521">
        <v>0</v>
      </c>
      <c r="I2192" s="1521">
        <v>0</v>
      </c>
      <c r="J2192" s="1538">
        <v>0</v>
      </c>
      <c r="K2192" s="1525"/>
      <c r="L2192" s="1519">
        <v>13285960501</v>
      </c>
      <c r="M2192" s="1520">
        <v>0</v>
      </c>
      <c r="N2192" s="1520">
        <v>0</v>
      </c>
      <c r="O2192" s="1521">
        <v>0</v>
      </c>
    </row>
    <row r="2193" spans="3:15" ht="13.5">
      <c r="C2193" s="1526" t="s">
        <v>6154</v>
      </c>
      <c r="D2193" s="1523">
        <v>0</v>
      </c>
      <c r="E2193" s="1523">
        <v>0</v>
      </c>
      <c r="F2193" s="1524">
        <v>0</v>
      </c>
      <c r="G2193" s="1537" t="s">
        <v>6154</v>
      </c>
      <c r="H2193" s="1521">
        <v>0</v>
      </c>
      <c r="I2193" s="1521">
        <v>1</v>
      </c>
      <c r="J2193" s="1538">
        <v>1</v>
      </c>
      <c r="K2193" s="1525"/>
      <c r="L2193" s="1519">
        <v>13285960502</v>
      </c>
      <c r="M2193" s="1520">
        <v>0</v>
      </c>
      <c r="N2193" s="1520">
        <v>1</v>
      </c>
      <c r="O2193" s="1521">
        <v>1</v>
      </c>
    </row>
    <row r="2194" spans="3:15" ht="13.5">
      <c r="C2194" s="1526" t="s">
        <v>6155</v>
      </c>
      <c r="D2194" s="1523">
        <v>0</v>
      </c>
      <c r="E2194" s="1523">
        <v>0</v>
      </c>
      <c r="F2194" s="1524">
        <v>0</v>
      </c>
      <c r="G2194" s="1537" t="s">
        <v>6155</v>
      </c>
      <c r="H2194" s="1521">
        <v>0</v>
      </c>
      <c r="I2194" s="1521">
        <v>0</v>
      </c>
      <c r="J2194" s="1538">
        <v>0</v>
      </c>
      <c r="K2194" s="1525"/>
      <c r="L2194" s="1519">
        <v>13285960600</v>
      </c>
      <c r="M2194" s="1520">
        <v>0</v>
      </c>
      <c r="N2194" s="1520">
        <v>0</v>
      </c>
      <c r="O2194" s="1521">
        <v>0</v>
      </c>
    </row>
    <row r="2195" spans="3:15" ht="13.5">
      <c r="C2195" s="1526" t="s">
        <v>6156</v>
      </c>
      <c r="D2195" s="1523">
        <v>0</v>
      </c>
      <c r="E2195" s="1523">
        <v>0</v>
      </c>
      <c r="F2195" s="1524">
        <v>0</v>
      </c>
      <c r="G2195" s="1537" t="s">
        <v>6156</v>
      </c>
      <c r="H2195" s="1521">
        <v>0</v>
      </c>
      <c r="I2195" s="1521">
        <v>1</v>
      </c>
      <c r="J2195" s="1538">
        <v>1</v>
      </c>
      <c r="K2195" s="1525"/>
      <c r="L2195" s="1519">
        <v>13285960700</v>
      </c>
      <c r="M2195" s="1520">
        <v>0</v>
      </c>
      <c r="N2195" s="1520">
        <v>1</v>
      </c>
      <c r="O2195" s="1521">
        <v>1</v>
      </c>
    </row>
    <row r="2196" spans="3:15" ht="13.5">
      <c r="C2196" s="1526" t="s">
        <v>6157</v>
      </c>
      <c r="D2196" s="1523">
        <v>0</v>
      </c>
      <c r="E2196" s="1523">
        <v>0</v>
      </c>
      <c r="F2196" s="1524">
        <v>0</v>
      </c>
      <c r="G2196" s="1537" t="s">
        <v>6157</v>
      </c>
      <c r="H2196" s="1521">
        <v>0</v>
      </c>
      <c r="I2196" s="1521">
        <v>0</v>
      </c>
      <c r="J2196" s="1538">
        <v>0</v>
      </c>
      <c r="K2196" s="1525"/>
      <c r="L2196" s="1519">
        <v>13285960800</v>
      </c>
      <c r="M2196" s="1520">
        <v>0</v>
      </c>
      <c r="N2196" s="1520">
        <v>0</v>
      </c>
      <c r="O2196" s="1521">
        <v>0</v>
      </c>
    </row>
    <row r="2197" spans="3:15" ht="13.5">
      <c r="C2197" s="1526" t="s">
        <v>6158</v>
      </c>
      <c r="D2197" s="1523">
        <v>0</v>
      </c>
      <c r="E2197" s="1523">
        <v>0</v>
      </c>
      <c r="F2197" s="1524">
        <v>0</v>
      </c>
      <c r="G2197" s="1537" t="s">
        <v>6158</v>
      </c>
      <c r="H2197" s="1521">
        <v>0</v>
      </c>
      <c r="I2197" s="1521">
        <v>0</v>
      </c>
      <c r="J2197" s="1538">
        <v>0</v>
      </c>
      <c r="K2197" s="1525"/>
      <c r="L2197" s="1519">
        <v>13285960901</v>
      </c>
      <c r="M2197" s="1520">
        <v>0</v>
      </c>
      <c r="N2197" s="1520">
        <v>0</v>
      </c>
      <c r="O2197" s="1521">
        <v>0</v>
      </c>
    </row>
    <row r="2198" spans="3:15" ht="13.5">
      <c r="C2198" s="1526" t="s">
        <v>6159</v>
      </c>
      <c r="D2198" s="1523">
        <v>1</v>
      </c>
      <c r="E2198" s="1523">
        <v>1</v>
      </c>
      <c r="F2198" s="1524">
        <v>2</v>
      </c>
      <c r="G2198" s="1537" t="s">
        <v>6159</v>
      </c>
      <c r="H2198" s="1521">
        <v>0</v>
      </c>
      <c r="I2198" s="1521">
        <v>0</v>
      </c>
      <c r="J2198" s="1538">
        <v>0</v>
      </c>
      <c r="K2198" s="1525"/>
      <c r="L2198" s="1519">
        <v>13285960902</v>
      </c>
      <c r="M2198" s="1520">
        <v>1</v>
      </c>
      <c r="N2198" s="1520">
        <v>1</v>
      </c>
      <c r="O2198" s="1521">
        <v>2</v>
      </c>
    </row>
    <row r="2199" spans="3:15" ht="13.5">
      <c r="C2199" s="1526" t="s">
        <v>6160</v>
      </c>
      <c r="D2199" s="1523">
        <v>0</v>
      </c>
      <c r="E2199" s="1523">
        <v>0</v>
      </c>
      <c r="F2199" s="1524">
        <v>0</v>
      </c>
      <c r="G2199" s="1537" t="s">
        <v>6160</v>
      </c>
      <c r="H2199" s="1521">
        <v>0</v>
      </c>
      <c r="I2199" s="1521">
        <v>0</v>
      </c>
      <c r="J2199" s="1538">
        <v>0</v>
      </c>
      <c r="K2199" s="1525"/>
      <c r="L2199" s="1519">
        <v>13285961000</v>
      </c>
      <c r="M2199" s="1520">
        <v>0</v>
      </c>
      <c r="N2199" s="1520">
        <v>0</v>
      </c>
      <c r="O2199" s="1521">
        <v>0</v>
      </c>
    </row>
    <row r="2200" spans="3:15" ht="13.5">
      <c r="C2200" s="1526" t="s">
        <v>6161</v>
      </c>
      <c r="D2200" s="1523">
        <v>1</v>
      </c>
      <c r="E2200" s="1523">
        <v>0</v>
      </c>
      <c r="F2200" s="1524">
        <v>1</v>
      </c>
      <c r="G2200" s="1537" t="s">
        <v>6161</v>
      </c>
      <c r="H2200" s="1521">
        <v>0</v>
      </c>
      <c r="I2200" s="1521">
        <v>1</v>
      </c>
      <c r="J2200" s="1538">
        <v>1</v>
      </c>
      <c r="K2200" s="1525"/>
      <c r="L2200" s="1519">
        <v>13285961100</v>
      </c>
      <c r="M2200" s="1520">
        <v>1</v>
      </c>
      <c r="N2200" s="1520">
        <v>1</v>
      </c>
      <c r="O2200" s="1521">
        <v>1</v>
      </c>
    </row>
    <row r="2201" spans="3:15" ht="13.5">
      <c r="C2201" s="1526" t="s">
        <v>6162</v>
      </c>
      <c r="D2201" s="1523">
        <v>0</v>
      </c>
      <c r="E2201" s="1523">
        <v>0</v>
      </c>
      <c r="F2201" s="1524">
        <v>0</v>
      </c>
      <c r="G2201" s="1537" t="s">
        <v>6162</v>
      </c>
      <c r="H2201" s="1521">
        <v>0</v>
      </c>
      <c r="I2201" s="1521">
        <v>0</v>
      </c>
      <c r="J2201" s="1538">
        <v>0</v>
      </c>
      <c r="K2201" s="1525"/>
      <c r="L2201" s="1519">
        <v>13287970200</v>
      </c>
      <c r="M2201" s="1520">
        <v>0</v>
      </c>
      <c r="N2201" s="1520">
        <v>0</v>
      </c>
      <c r="O2201" s="1521">
        <v>0</v>
      </c>
    </row>
    <row r="2202" spans="3:15" ht="13.5">
      <c r="C2202" s="1526" t="s">
        <v>6163</v>
      </c>
      <c r="D2202" s="1523">
        <v>0</v>
      </c>
      <c r="E2202" s="1523">
        <v>1</v>
      </c>
      <c r="F2202" s="1524">
        <v>1</v>
      </c>
      <c r="G2202" s="1537" t="s">
        <v>6163</v>
      </c>
      <c r="H2202" s="1521">
        <v>0</v>
      </c>
      <c r="I2202" s="1521">
        <v>0</v>
      </c>
      <c r="J2202" s="1538">
        <v>0</v>
      </c>
      <c r="K2202" s="1525"/>
      <c r="L2202" s="1519">
        <v>13287970300</v>
      </c>
      <c r="M2202" s="1520">
        <v>0</v>
      </c>
      <c r="N2202" s="1520">
        <v>1</v>
      </c>
      <c r="O2202" s="1521">
        <v>1</v>
      </c>
    </row>
    <row r="2203" spans="3:15" ht="13.5">
      <c r="C2203" s="1526" t="s">
        <v>6164</v>
      </c>
      <c r="D2203" s="1523">
        <v>0</v>
      </c>
      <c r="E2203" s="1523">
        <v>0</v>
      </c>
      <c r="F2203" s="1524">
        <v>0</v>
      </c>
      <c r="G2203" s="1537" t="s">
        <v>6164</v>
      </c>
      <c r="H2203" s="1521">
        <v>0</v>
      </c>
      <c r="I2203" s="1521">
        <v>0</v>
      </c>
      <c r="J2203" s="1538">
        <v>0</v>
      </c>
      <c r="K2203" s="1525"/>
      <c r="L2203" s="1519">
        <v>13289060100</v>
      </c>
      <c r="M2203" s="1520">
        <v>0</v>
      </c>
      <c r="N2203" s="1520">
        <v>0</v>
      </c>
      <c r="O2203" s="1521">
        <v>0</v>
      </c>
    </row>
    <row r="2204" spans="3:15" ht="13.5">
      <c r="C2204" s="1526" t="s">
        <v>6165</v>
      </c>
      <c r="D2204" s="1523">
        <v>0</v>
      </c>
      <c r="E2204" s="1523">
        <v>0</v>
      </c>
      <c r="F2204" s="1524">
        <v>0</v>
      </c>
      <c r="G2204" s="1537" t="s">
        <v>6165</v>
      </c>
      <c r="H2204" s="1521">
        <v>0</v>
      </c>
      <c r="I2204" s="1521">
        <v>0</v>
      </c>
      <c r="J2204" s="1538">
        <v>0</v>
      </c>
      <c r="K2204" s="1525"/>
      <c r="L2204" s="1519">
        <v>13289060200</v>
      </c>
      <c r="M2204" s="1520">
        <v>0</v>
      </c>
      <c r="N2204" s="1520">
        <v>0</v>
      </c>
      <c r="O2204" s="1521">
        <v>0</v>
      </c>
    </row>
    <row r="2205" spans="3:15" ht="13.5">
      <c r="C2205" s="1526" t="s">
        <v>6166</v>
      </c>
      <c r="D2205" s="1523">
        <v>0</v>
      </c>
      <c r="E2205" s="1523">
        <v>0</v>
      </c>
      <c r="F2205" s="1524">
        <v>0</v>
      </c>
      <c r="G2205" s="1537" t="s">
        <v>6166</v>
      </c>
      <c r="H2205" s="1521">
        <v>0</v>
      </c>
      <c r="I2205" s="1521">
        <v>0</v>
      </c>
      <c r="J2205" s="1538">
        <v>0</v>
      </c>
      <c r="K2205" s="1525"/>
      <c r="L2205" s="1519">
        <v>13291000101</v>
      </c>
      <c r="M2205" s="1520">
        <v>0</v>
      </c>
      <c r="N2205" s="1520">
        <v>0</v>
      </c>
      <c r="O2205" s="1521">
        <v>0</v>
      </c>
    </row>
    <row r="2206" spans="3:15" ht="13.5">
      <c r="C2206" s="1526" t="s">
        <v>6167</v>
      </c>
      <c r="D2206" s="1523">
        <v>0</v>
      </c>
      <c r="E2206" s="1523">
        <v>1</v>
      </c>
      <c r="F2206" s="1524">
        <v>1</v>
      </c>
      <c r="G2206" s="1537" t="s">
        <v>6167</v>
      </c>
      <c r="H2206" s="1521">
        <v>0</v>
      </c>
      <c r="I2206" s="1521" t="s">
        <v>4099</v>
      </c>
      <c r="J2206" s="1538">
        <v>0</v>
      </c>
      <c r="K2206" s="1525"/>
      <c r="L2206" s="1519">
        <v>13291000102</v>
      </c>
      <c r="M2206" s="1520">
        <v>0</v>
      </c>
      <c r="N2206" s="1520">
        <v>1</v>
      </c>
      <c r="O2206" s="1521">
        <v>1</v>
      </c>
    </row>
    <row r="2207" spans="3:15" ht="13.5">
      <c r="C2207" s="1526" t="s">
        <v>6168</v>
      </c>
      <c r="D2207" s="1523">
        <v>1</v>
      </c>
      <c r="E2207" s="1523">
        <v>1</v>
      </c>
      <c r="F2207" s="1524">
        <v>2</v>
      </c>
      <c r="G2207" s="1537" t="s">
        <v>6168</v>
      </c>
      <c r="H2207" s="1521">
        <v>0</v>
      </c>
      <c r="I2207" s="1521">
        <v>1</v>
      </c>
      <c r="J2207" s="1538">
        <v>1</v>
      </c>
      <c r="K2207" s="1525"/>
      <c r="L2207" s="1519">
        <v>13291000201</v>
      </c>
      <c r="M2207" s="1520">
        <v>1</v>
      </c>
      <c r="N2207" s="1520">
        <v>1</v>
      </c>
      <c r="O2207" s="1521">
        <v>2</v>
      </c>
    </row>
    <row r="2208" spans="3:15" ht="13.5">
      <c r="C2208" s="1526" t="s">
        <v>6169</v>
      </c>
      <c r="D2208" s="1523">
        <v>0</v>
      </c>
      <c r="E2208" s="1523">
        <v>1</v>
      </c>
      <c r="F2208" s="1524">
        <v>1</v>
      </c>
      <c r="G2208" s="1537" t="s">
        <v>6169</v>
      </c>
      <c r="H2208" s="1521">
        <v>0</v>
      </c>
      <c r="I2208" s="1521" t="s">
        <v>4099</v>
      </c>
      <c r="J2208" s="1538">
        <v>0</v>
      </c>
      <c r="K2208" s="1525"/>
      <c r="L2208" s="1519">
        <v>13291000203</v>
      </c>
      <c r="M2208" s="1520">
        <v>0</v>
      </c>
      <c r="N2208" s="1520">
        <v>1</v>
      </c>
      <c r="O2208" s="1521">
        <v>1</v>
      </c>
    </row>
    <row r="2209" spans="3:15" ht="13.5">
      <c r="C2209" s="1526" t="s">
        <v>6170</v>
      </c>
      <c r="D2209" s="1523">
        <v>0</v>
      </c>
      <c r="E2209" s="1523">
        <v>0</v>
      </c>
      <c r="F2209" s="1524">
        <v>0</v>
      </c>
      <c r="G2209" s="1537" t="s">
        <v>6170</v>
      </c>
      <c r="H2209" s="1521">
        <v>1</v>
      </c>
      <c r="I2209" s="1521">
        <v>0</v>
      </c>
      <c r="J2209" s="1538">
        <v>1</v>
      </c>
      <c r="K2209" s="1525"/>
      <c r="L2209" s="1519">
        <v>13291000204</v>
      </c>
      <c r="M2209" s="1520">
        <v>1</v>
      </c>
      <c r="N2209" s="1520">
        <v>0</v>
      </c>
      <c r="O2209" s="1521">
        <v>1</v>
      </c>
    </row>
    <row r="2210" spans="3:15" ht="13.5">
      <c r="C2210" s="1526" t="s">
        <v>6171</v>
      </c>
      <c r="D2210" s="1523">
        <v>0</v>
      </c>
      <c r="E2210" s="1523">
        <v>0</v>
      </c>
      <c r="F2210" s="1524">
        <v>0</v>
      </c>
      <c r="G2210" s="1537" t="s">
        <v>6171</v>
      </c>
      <c r="H2210" s="1521">
        <v>1</v>
      </c>
      <c r="I2210" s="1521">
        <v>0</v>
      </c>
      <c r="J2210" s="1538">
        <v>1</v>
      </c>
      <c r="K2210" s="1525"/>
      <c r="L2210" s="1519">
        <v>13291000205</v>
      </c>
      <c r="M2210" s="1520">
        <v>1</v>
      </c>
      <c r="N2210" s="1520">
        <v>0</v>
      </c>
      <c r="O2210" s="1521">
        <v>1</v>
      </c>
    </row>
    <row r="2211" spans="3:15" ht="13.5">
      <c r="C2211" s="1526" t="s">
        <v>6172</v>
      </c>
      <c r="D2211" s="1523">
        <v>0</v>
      </c>
      <c r="E2211" s="1523">
        <v>0</v>
      </c>
      <c r="F2211" s="1524">
        <v>0</v>
      </c>
      <c r="G2211" s="1537" t="s">
        <v>6172</v>
      </c>
      <c r="H2211" s="1521">
        <v>0</v>
      </c>
      <c r="I2211" s="1521">
        <v>0</v>
      </c>
      <c r="J2211" s="1538">
        <v>0</v>
      </c>
      <c r="K2211" s="1525"/>
      <c r="L2211" s="1519">
        <v>13293010100</v>
      </c>
      <c r="M2211" s="1520">
        <v>0</v>
      </c>
      <c r="N2211" s="1520">
        <v>0</v>
      </c>
      <c r="O2211" s="1521">
        <v>0</v>
      </c>
    </row>
    <row r="2212" spans="3:15" ht="13.5">
      <c r="C2212" s="1526" t="s">
        <v>6173</v>
      </c>
      <c r="D2212" s="1523">
        <v>0</v>
      </c>
      <c r="E2212" s="1523">
        <v>0</v>
      </c>
      <c r="F2212" s="1524">
        <v>0</v>
      </c>
      <c r="G2212" s="1537" t="s">
        <v>6173</v>
      </c>
      <c r="H2212" s="1521">
        <v>0</v>
      </c>
      <c r="I2212" s="1521">
        <v>0</v>
      </c>
      <c r="J2212" s="1538">
        <v>0</v>
      </c>
      <c r="K2212" s="1525"/>
      <c r="L2212" s="1519">
        <v>13293010201</v>
      </c>
      <c r="M2212" s="1520">
        <v>0</v>
      </c>
      <c r="N2212" s="1520">
        <v>0</v>
      </c>
      <c r="O2212" s="1521">
        <v>0</v>
      </c>
    </row>
    <row r="2213" spans="3:15" ht="13.5">
      <c r="C2213" s="1526" t="s">
        <v>6174</v>
      </c>
      <c r="D2213" s="1523">
        <v>0</v>
      </c>
      <c r="E2213" s="1523">
        <v>0</v>
      </c>
      <c r="F2213" s="1524">
        <v>0</v>
      </c>
      <c r="G2213" s="1537" t="s">
        <v>6174</v>
      </c>
      <c r="H2213" s="1521">
        <v>0</v>
      </c>
      <c r="I2213" s="1521">
        <v>1</v>
      </c>
      <c r="J2213" s="1538">
        <v>1</v>
      </c>
      <c r="K2213" s="1525"/>
      <c r="L2213" s="1519">
        <v>13293010202</v>
      </c>
      <c r="M2213" s="1520">
        <v>0</v>
      </c>
      <c r="N2213" s="1520">
        <v>1</v>
      </c>
      <c r="O2213" s="1521">
        <v>1</v>
      </c>
    </row>
    <row r="2214" spans="3:15" ht="13.5">
      <c r="C2214" s="1526" t="s">
        <v>6175</v>
      </c>
      <c r="D2214" s="1523">
        <v>0</v>
      </c>
      <c r="E2214" s="1523">
        <v>1</v>
      </c>
      <c r="F2214" s="1524">
        <v>1</v>
      </c>
      <c r="G2214" s="1537" t="s">
        <v>6175</v>
      </c>
      <c r="H2214" s="1521">
        <v>0</v>
      </c>
      <c r="I2214" s="1521">
        <v>0</v>
      </c>
      <c r="J2214" s="1538">
        <v>0</v>
      </c>
      <c r="K2214" s="1525"/>
      <c r="L2214" s="1519">
        <v>13293010300</v>
      </c>
      <c r="M2214" s="1520">
        <v>0</v>
      </c>
      <c r="N2214" s="1520">
        <v>1</v>
      </c>
      <c r="O2214" s="1521">
        <v>1</v>
      </c>
    </row>
    <row r="2215" spans="3:15" ht="13.5">
      <c r="C2215" s="1526" t="s">
        <v>6176</v>
      </c>
      <c r="D2215" s="1523">
        <v>0</v>
      </c>
      <c r="E2215" s="1523">
        <v>0</v>
      </c>
      <c r="F2215" s="1524">
        <v>0</v>
      </c>
      <c r="G2215" s="1537" t="s">
        <v>6176</v>
      </c>
      <c r="H2215" s="1521">
        <v>0</v>
      </c>
      <c r="I2215" s="1521">
        <v>0</v>
      </c>
      <c r="J2215" s="1538">
        <v>0</v>
      </c>
      <c r="K2215" s="1525"/>
      <c r="L2215" s="1519">
        <v>13293010400</v>
      </c>
      <c r="M2215" s="1520">
        <v>0</v>
      </c>
      <c r="N2215" s="1520">
        <v>0</v>
      </c>
      <c r="O2215" s="1521">
        <v>0</v>
      </c>
    </row>
    <row r="2216" spans="3:15" ht="13.5">
      <c r="C2216" s="1526" t="s">
        <v>6177</v>
      </c>
      <c r="D2216" s="1523">
        <v>0</v>
      </c>
      <c r="E2216" s="1523">
        <v>0</v>
      </c>
      <c r="F2216" s="1524">
        <v>0</v>
      </c>
      <c r="G2216" s="1537" t="s">
        <v>6177</v>
      </c>
      <c r="H2216" s="1521">
        <v>0</v>
      </c>
      <c r="I2216" s="1521">
        <v>0</v>
      </c>
      <c r="J2216" s="1538">
        <v>0</v>
      </c>
      <c r="K2216" s="1525"/>
      <c r="L2216" s="1519">
        <v>13293010500</v>
      </c>
      <c r="M2216" s="1520">
        <v>0</v>
      </c>
      <c r="N2216" s="1520">
        <v>0</v>
      </c>
      <c r="O2216" s="1521">
        <v>0</v>
      </c>
    </row>
    <row r="2217" spans="3:15" ht="13.5">
      <c r="C2217" s="1526" t="s">
        <v>6178</v>
      </c>
      <c r="D2217" s="1523">
        <v>0</v>
      </c>
      <c r="E2217" s="1523">
        <v>0</v>
      </c>
      <c r="F2217" s="1524">
        <v>0</v>
      </c>
      <c r="G2217" s="1537" t="s">
        <v>6178</v>
      </c>
      <c r="H2217" s="1521">
        <v>0</v>
      </c>
      <c r="I2217" s="1521">
        <v>0</v>
      </c>
      <c r="J2217" s="1538">
        <v>0</v>
      </c>
      <c r="K2217" s="1525"/>
      <c r="L2217" s="1519">
        <v>13293010600</v>
      </c>
      <c r="M2217" s="1520">
        <v>0</v>
      </c>
      <c r="N2217" s="1520">
        <v>0</v>
      </c>
      <c r="O2217" s="1521">
        <v>0</v>
      </c>
    </row>
    <row r="2218" spans="3:15" ht="13.5">
      <c r="C2218" s="1526" t="s">
        <v>6179</v>
      </c>
      <c r="D2218" s="1523">
        <v>0</v>
      </c>
      <c r="E2218" s="1523">
        <v>0</v>
      </c>
      <c r="F2218" s="1524">
        <v>0</v>
      </c>
      <c r="G2218" s="1537" t="s">
        <v>6179</v>
      </c>
      <c r="H2218" s="1521">
        <v>0</v>
      </c>
      <c r="I2218" s="1521">
        <v>0</v>
      </c>
      <c r="J2218" s="1538">
        <v>0</v>
      </c>
      <c r="K2218" s="1525"/>
      <c r="L2218" s="1519">
        <v>13295020100</v>
      </c>
      <c r="M2218" s="1520">
        <v>0</v>
      </c>
      <c r="N2218" s="1520">
        <v>0</v>
      </c>
      <c r="O2218" s="1521">
        <v>0</v>
      </c>
    </row>
    <row r="2219" spans="3:15" ht="13.5">
      <c r="C2219" s="1526" t="s">
        <v>6180</v>
      </c>
      <c r="D2219" s="1523">
        <v>0</v>
      </c>
      <c r="E2219" s="1523">
        <v>0</v>
      </c>
      <c r="F2219" s="1524">
        <v>0</v>
      </c>
      <c r="G2219" s="1537" t="s">
        <v>6180</v>
      </c>
      <c r="H2219" s="1521">
        <v>0</v>
      </c>
      <c r="I2219" s="1521">
        <v>0</v>
      </c>
      <c r="J2219" s="1538">
        <v>0</v>
      </c>
      <c r="K2219" s="1525"/>
      <c r="L2219" s="1519">
        <v>13295020200</v>
      </c>
      <c r="M2219" s="1520">
        <v>0</v>
      </c>
      <c r="N2219" s="1520">
        <v>0</v>
      </c>
      <c r="O2219" s="1521">
        <v>0</v>
      </c>
    </row>
    <row r="2220" spans="3:15" ht="13.5">
      <c r="C2220" s="1526" t="s">
        <v>6181</v>
      </c>
      <c r="D2220" s="1523">
        <v>0</v>
      </c>
      <c r="E2220" s="1523">
        <v>0</v>
      </c>
      <c r="F2220" s="1524">
        <v>0</v>
      </c>
      <c r="G2220" s="1537" t="s">
        <v>6181</v>
      </c>
      <c r="H2220" s="1521">
        <v>0</v>
      </c>
      <c r="I2220" s="1521">
        <v>0</v>
      </c>
      <c r="J2220" s="1538">
        <v>0</v>
      </c>
      <c r="K2220" s="1525"/>
      <c r="L2220" s="1519">
        <v>13295020301</v>
      </c>
      <c r="M2220" s="1520">
        <v>0</v>
      </c>
      <c r="N2220" s="1520">
        <v>0</v>
      </c>
      <c r="O2220" s="1521">
        <v>0</v>
      </c>
    </row>
    <row r="2221" spans="3:15" ht="13.5">
      <c r="C2221" s="1526" t="s">
        <v>6182</v>
      </c>
      <c r="D2221" s="1523">
        <v>0</v>
      </c>
      <c r="E2221" s="1523">
        <v>0</v>
      </c>
      <c r="F2221" s="1524">
        <v>0</v>
      </c>
      <c r="G2221" s="1537" t="s">
        <v>6182</v>
      </c>
      <c r="H2221" s="1521">
        <v>0</v>
      </c>
      <c r="I2221" s="1521">
        <v>0</v>
      </c>
      <c r="J2221" s="1538">
        <v>0</v>
      </c>
      <c r="K2221" s="1525"/>
      <c r="L2221" s="1519">
        <v>13295020302</v>
      </c>
      <c r="M2221" s="1520">
        <v>0</v>
      </c>
      <c r="N2221" s="1520">
        <v>0</v>
      </c>
      <c r="O2221" s="1521">
        <v>0</v>
      </c>
    </row>
    <row r="2222" spans="3:15" ht="13.5">
      <c r="C2222" s="1526" t="s">
        <v>6183</v>
      </c>
      <c r="D2222" s="1523">
        <v>1</v>
      </c>
      <c r="E2222" s="1523">
        <v>1</v>
      </c>
      <c r="F2222" s="1524">
        <v>2</v>
      </c>
      <c r="G2222" s="1537" t="s">
        <v>6183</v>
      </c>
      <c r="H2222" s="1521">
        <v>1</v>
      </c>
      <c r="I2222" s="1521">
        <v>1</v>
      </c>
      <c r="J2222" s="1538">
        <v>2</v>
      </c>
      <c r="K2222" s="1525"/>
      <c r="L2222" s="1519">
        <v>13295020400</v>
      </c>
      <c r="M2222" s="1520">
        <v>1</v>
      </c>
      <c r="N2222" s="1520">
        <v>1</v>
      </c>
      <c r="O2222" s="1521">
        <v>2</v>
      </c>
    </row>
    <row r="2223" spans="3:15" ht="13.5">
      <c r="C2223" s="1526" t="s">
        <v>6184</v>
      </c>
      <c r="D2223" s="1523">
        <v>1</v>
      </c>
      <c r="E2223" s="1523">
        <v>0</v>
      </c>
      <c r="F2223" s="1524">
        <v>1</v>
      </c>
      <c r="G2223" s="1537" t="s">
        <v>6184</v>
      </c>
      <c r="H2223" s="1521">
        <v>0</v>
      </c>
      <c r="I2223" s="1521">
        <v>0</v>
      </c>
      <c r="J2223" s="1538">
        <v>0</v>
      </c>
      <c r="K2223" s="1525"/>
      <c r="L2223" s="1519">
        <v>13295020501</v>
      </c>
      <c r="M2223" s="1520">
        <v>1</v>
      </c>
      <c r="N2223" s="1520">
        <v>0</v>
      </c>
      <c r="O2223" s="1521">
        <v>1</v>
      </c>
    </row>
    <row r="2224" spans="3:15" ht="13.5">
      <c r="C2224" s="1526" t="s">
        <v>6185</v>
      </c>
      <c r="D2224" s="1523">
        <v>0</v>
      </c>
      <c r="E2224" s="1523">
        <v>1</v>
      </c>
      <c r="F2224" s="1524">
        <v>1</v>
      </c>
      <c r="G2224" s="1537" t="s">
        <v>6185</v>
      </c>
      <c r="H2224" s="1521">
        <v>1</v>
      </c>
      <c r="I2224" s="1521">
        <v>1</v>
      </c>
      <c r="J2224" s="1538">
        <v>2</v>
      </c>
      <c r="K2224" s="1525"/>
      <c r="L2224" s="1519">
        <v>13295020502</v>
      </c>
      <c r="M2224" s="1520">
        <v>1</v>
      </c>
      <c r="N2224" s="1520">
        <v>1</v>
      </c>
      <c r="O2224" s="1521">
        <v>2</v>
      </c>
    </row>
    <row r="2225" spans="3:15" ht="13.5">
      <c r="C2225" s="1526" t="s">
        <v>6186</v>
      </c>
      <c r="D2225" s="1523">
        <v>0</v>
      </c>
      <c r="E2225" s="1523">
        <v>1</v>
      </c>
      <c r="F2225" s="1524">
        <v>1</v>
      </c>
      <c r="G2225" s="1537" t="s">
        <v>6186</v>
      </c>
      <c r="H2225" s="1521">
        <v>0</v>
      </c>
      <c r="I2225" s="1521">
        <v>1</v>
      </c>
      <c r="J2225" s="1538">
        <v>1</v>
      </c>
      <c r="K2225" s="1525"/>
      <c r="L2225" s="1519">
        <v>13295020601</v>
      </c>
      <c r="M2225" s="1520">
        <v>0</v>
      </c>
      <c r="N2225" s="1520">
        <v>1</v>
      </c>
      <c r="O2225" s="1521">
        <v>1</v>
      </c>
    </row>
    <row r="2226" spans="3:15" ht="13.5">
      <c r="C2226" s="1526" t="s">
        <v>6187</v>
      </c>
      <c r="D2226" s="1523">
        <v>0</v>
      </c>
      <c r="E2226" s="1523">
        <v>0</v>
      </c>
      <c r="F2226" s="1524">
        <v>0</v>
      </c>
      <c r="G2226" s="1537" t="s">
        <v>6187</v>
      </c>
      <c r="H2226" s="1521">
        <v>0</v>
      </c>
      <c r="I2226" s="1521">
        <v>0</v>
      </c>
      <c r="J2226" s="1538">
        <v>0</v>
      </c>
      <c r="K2226" s="1525"/>
      <c r="L2226" s="1519">
        <v>13295020602</v>
      </c>
      <c r="M2226" s="1520">
        <v>0</v>
      </c>
      <c r="N2226" s="1520">
        <v>0</v>
      </c>
      <c r="O2226" s="1521">
        <v>0</v>
      </c>
    </row>
    <row r="2227" spans="3:15" ht="13.5">
      <c r="C2227" s="1526" t="s">
        <v>6188</v>
      </c>
      <c r="D2227" s="1523">
        <v>0</v>
      </c>
      <c r="E2227" s="1523">
        <v>0</v>
      </c>
      <c r="F2227" s="1524">
        <v>0</v>
      </c>
      <c r="G2227" s="1537" t="s">
        <v>6188</v>
      </c>
      <c r="H2227" s="1521">
        <v>0</v>
      </c>
      <c r="I2227" s="1521">
        <v>0</v>
      </c>
      <c r="J2227" s="1538">
        <v>0</v>
      </c>
      <c r="K2227" s="1525"/>
      <c r="L2227" s="1519">
        <v>13295020700</v>
      </c>
      <c r="M2227" s="1520">
        <v>0</v>
      </c>
      <c r="N2227" s="1520">
        <v>0</v>
      </c>
      <c r="O2227" s="1521">
        <v>0</v>
      </c>
    </row>
    <row r="2228" spans="3:15" ht="13.5">
      <c r="C2228" s="1526" t="s">
        <v>6189</v>
      </c>
      <c r="D2228" s="1523">
        <v>0</v>
      </c>
      <c r="E2228" s="1523">
        <v>0</v>
      </c>
      <c r="F2228" s="1524">
        <v>0</v>
      </c>
      <c r="G2228" s="1537" t="s">
        <v>6189</v>
      </c>
      <c r="H2228" s="1521">
        <v>0</v>
      </c>
      <c r="I2228" s="1521">
        <v>0</v>
      </c>
      <c r="J2228" s="1538">
        <v>0</v>
      </c>
      <c r="K2228" s="1525"/>
      <c r="L2228" s="1519">
        <v>13295020800</v>
      </c>
      <c r="M2228" s="1520">
        <v>0</v>
      </c>
      <c r="N2228" s="1520">
        <v>0</v>
      </c>
      <c r="O2228" s="1521">
        <v>0</v>
      </c>
    </row>
    <row r="2229" spans="3:15" ht="13.5">
      <c r="C2229" s="1526" t="s">
        <v>6190</v>
      </c>
      <c r="D2229" s="1523">
        <v>0</v>
      </c>
      <c r="E2229" s="1523">
        <v>0</v>
      </c>
      <c r="F2229" s="1524">
        <v>0</v>
      </c>
      <c r="G2229" s="1537" t="s">
        <v>6190</v>
      </c>
      <c r="H2229" s="1521">
        <v>1</v>
      </c>
      <c r="I2229" s="1521">
        <v>1</v>
      </c>
      <c r="J2229" s="1538">
        <v>2</v>
      </c>
      <c r="K2229" s="1525"/>
      <c r="L2229" s="1519">
        <v>13295020901</v>
      </c>
      <c r="M2229" s="1520">
        <v>1</v>
      </c>
      <c r="N2229" s="1520">
        <v>1</v>
      </c>
      <c r="O2229" s="1521">
        <v>2</v>
      </c>
    </row>
    <row r="2230" spans="3:15" ht="13.5">
      <c r="C2230" s="1526" t="s">
        <v>6191</v>
      </c>
      <c r="D2230" s="1523">
        <v>0</v>
      </c>
      <c r="E2230" s="1523">
        <v>0</v>
      </c>
      <c r="F2230" s="1524">
        <v>0</v>
      </c>
      <c r="G2230" s="1537" t="s">
        <v>6191</v>
      </c>
      <c r="H2230" s="1521">
        <v>0</v>
      </c>
      <c r="I2230" s="1521">
        <v>1</v>
      </c>
      <c r="J2230" s="1538">
        <v>1</v>
      </c>
      <c r="K2230" s="1525"/>
      <c r="L2230" s="1519">
        <v>13295020902</v>
      </c>
      <c r="M2230" s="1520">
        <v>0</v>
      </c>
      <c r="N2230" s="1520">
        <v>1</v>
      </c>
      <c r="O2230" s="1521">
        <v>1</v>
      </c>
    </row>
    <row r="2231" spans="3:15" ht="13.5">
      <c r="C2231" s="1526" t="s">
        <v>6192</v>
      </c>
      <c r="D2231" s="1523">
        <v>1</v>
      </c>
      <c r="E2231" s="1523">
        <v>1</v>
      </c>
      <c r="F2231" s="1524">
        <v>2</v>
      </c>
      <c r="G2231" s="1537" t="s">
        <v>6192</v>
      </c>
      <c r="H2231" s="1521">
        <v>1</v>
      </c>
      <c r="I2231" s="1521">
        <v>1</v>
      </c>
      <c r="J2231" s="1538">
        <v>2</v>
      </c>
      <c r="K2231" s="1525"/>
      <c r="L2231" s="1519">
        <v>13297110100</v>
      </c>
      <c r="M2231" s="1520">
        <v>1</v>
      </c>
      <c r="N2231" s="1520">
        <v>1</v>
      </c>
      <c r="O2231" s="1521">
        <v>2</v>
      </c>
    </row>
    <row r="2232" spans="3:15" ht="13.5">
      <c r="C2232" s="1526" t="s">
        <v>6193</v>
      </c>
      <c r="D2232" s="1523">
        <v>1</v>
      </c>
      <c r="E2232" s="1523">
        <v>1</v>
      </c>
      <c r="F2232" s="1524">
        <v>2</v>
      </c>
      <c r="G2232" s="1537" t="s">
        <v>6193</v>
      </c>
      <c r="H2232" s="1521">
        <v>1</v>
      </c>
      <c r="I2232" s="1521">
        <v>0</v>
      </c>
      <c r="J2232" s="1538">
        <v>1</v>
      </c>
      <c r="K2232" s="1525"/>
      <c r="L2232" s="1519">
        <v>13297110200</v>
      </c>
      <c r="M2232" s="1520">
        <v>1</v>
      </c>
      <c r="N2232" s="1520">
        <v>1</v>
      </c>
      <c r="O2232" s="1521">
        <v>2</v>
      </c>
    </row>
    <row r="2233" spans="3:15" ht="13.5">
      <c r="C2233" s="1526" t="s">
        <v>6194</v>
      </c>
      <c r="D2233" s="1523">
        <v>0</v>
      </c>
      <c r="E2233" s="1523">
        <v>0</v>
      </c>
      <c r="F2233" s="1524">
        <v>0</v>
      </c>
      <c r="G2233" s="1537" t="s">
        <v>6194</v>
      </c>
      <c r="H2233" s="1521">
        <v>0</v>
      </c>
      <c r="I2233" s="1521">
        <v>0</v>
      </c>
      <c r="J2233" s="1538">
        <v>0</v>
      </c>
      <c r="K2233" s="1525"/>
      <c r="L2233" s="1519">
        <v>13297110300</v>
      </c>
      <c r="M2233" s="1520">
        <v>0</v>
      </c>
      <c r="N2233" s="1520">
        <v>0</v>
      </c>
      <c r="O2233" s="1521">
        <v>0</v>
      </c>
    </row>
    <row r="2234" spans="3:15" ht="13.5">
      <c r="C2234" s="1526" t="s">
        <v>6195</v>
      </c>
      <c r="D2234" s="1523">
        <v>0</v>
      </c>
      <c r="E2234" s="1523">
        <v>0</v>
      </c>
      <c r="F2234" s="1524">
        <v>0</v>
      </c>
      <c r="G2234" s="1537" t="s">
        <v>6195</v>
      </c>
      <c r="H2234" s="1521">
        <v>0</v>
      </c>
      <c r="I2234" s="1521">
        <v>0</v>
      </c>
      <c r="J2234" s="1538">
        <v>0</v>
      </c>
      <c r="K2234" s="1525"/>
      <c r="L2234" s="1519">
        <v>13297110400</v>
      </c>
      <c r="M2234" s="1520">
        <v>0</v>
      </c>
      <c r="N2234" s="1520">
        <v>0</v>
      </c>
      <c r="O2234" s="1521">
        <v>0</v>
      </c>
    </row>
    <row r="2235" spans="3:15" ht="13.5">
      <c r="C2235" s="1526" t="s">
        <v>6196</v>
      </c>
      <c r="D2235" s="1523">
        <v>1</v>
      </c>
      <c r="E2235" s="1523">
        <v>1</v>
      </c>
      <c r="F2235" s="1524">
        <v>2</v>
      </c>
      <c r="G2235" s="1537" t="s">
        <v>6196</v>
      </c>
      <c r="H2235" s="1521">
        <v>1</v>
      </c>
      <c r="I2235" s="1521">
        <v>1</v>
      </c>
      <c r="J2235" s="1538">
        <v>2</v>
      </c>
      <c r="K2235" s="1525"/>
      <c r="L2235" s="1519">
        <v>13297110503</v>
      </c>
      <c r="M2235" s="1520">
        <v>1</v>
      </c>
      <c r="N2235" s="1520">
        <v>1</v>
      </c>
      <c r="O2235" s="1521">
        <v>2</v>
      </c>
    </row>
    <row r="2236" spans="3:15" ht="13.5">
      <c r="C2236" s="1526" t="s">
        <v>6197</v>
      </c>
      <c r="D2236" s="1523">
        <v>1</v>
      </c>
      <c r="E2236" s="1523">
        <v>1</v>
      </c>
      <c r="F2236" s="1524">
        <v>2</v>
      </c>
      <c r="G2236" s="1537" t="s">
        <v>6197</v>
      </c>
      <c r="H2236" s="1521">
        <v>1</v>
      </c>
      <c r="I2236" s="1521">
        <v>1</v>
      </c>
      <c r="J2236" s="1538">
        <v>2</v>
      </c>
      <c r="K2236" s="1525"/>
      <c r="L2236" s="1519">
        <v>13297110504</v>
      </c>
      <c r="M2236" s="1520">
        <v>1</v>
      </c>
      <c r="N2236" s="1520">
        <v>1</v>
      </c>
      <c r="O2236" s="1521">
        <v>2</v>
      </c>
    </row>
    <row r="2237" spans="3:15" ht="13.5">
      <c r="C2237" s="1526" t="s">
        <v>6198</v>
      </c>
      <c r="D2237" s="1523">
        <v>1</v>
      </c>
      <c r="E2237" s="1523">
        <v>1</v>
      </c>
      <c r="F2237" s="1524">
        <v>2</v>
      </c>
      <c r="G2237" s="1537" t="s">
        <v>6198</v>
      </c>
      <c r="H2237" s="1521">
        <v>1</v>
      </c>
      <c r="I2237" s="1521">
        <v>0</v>
      </c>
      <c r="J2237" s="1538">
        <v>1</v>
      </c>
      <c r="K2237" s="1525"/>
      <c r="L2237" s="1519">
        <v>13297110505</v>
      </c>
      <c r="M2237" s="1520">
        <v>1</v>
      </c>
      <c r="N2237" s="1520">
        <v>1</v>
      </c>
      <c r="O2237" s="1521">
        <v>2</v>
      </c>
    </row>
    <row r="2238" spans="3:15" ht="13.5">
      <c r="C2238" s="1526" t="s">
        <v>6199</v>
      </c>
      <c r="D2238" s="1523">
        <v>1</v>
      </c>
      <c r="E2238" s="1523">
        <v>1</v>
      </c>
      <c r="F2238" s="1524">
        <v>2</v>
      </c>
      <c r="G2238" s="1537" t="s">
        <v>6199</v>
      </c>
      <c r="H2238" s="1521">
        <v>1</v>
      </c>
      <c r="I2238" s="1521">
        <v>1</v>
      </c>
      <c r="J2238" s="1538">
        <v>2</v>
      </c>
      <c r="K2238" s="1525"/>
      <c r="L2238" s="1519">
        <v>13297110506</v>
      </c>
      <c r="M2238" s="1520">
        <v>1</v>
      </c>
      <c r="N2238" s="1520">
        <v>1</v>
      </c>
      <c r="O2238" s="1521">
        <v>2</v>
      </c>
    </row>
    <row r="2239" spans="3:15" ht="13.5">
      <c r="C2239" s="1526" t="s">
        <v>6200</v>
      </c>
      <c r="D2239" s="1523">
        <v>1</v>
      </c>
      <c r="E2239" s="1523">
        <v>1</v>
      </c>
      <c r="F2239" s="1524">
        <v>2</v>
      </c>
      <c r="G2239" s="1537" t="s">
        <v>6200</v>
      </c>
      <c r="H2239" s="1521">
        <v>1</v>
      </c>
      <c r="I2239" s="1521">
        <v>1</v>
      </c>
      <c r="J2239" s="1538">
        <v>2</v>
      </c>
      <c r="K2239" s="1525"/>
      <c r="L2239" s="1519">
        <v>13297110507</v>
      </c>
      <c r="M2239" s="1520">
        <v>1</v>
      </c>
      <c r="N2239" s="1520">
        <v>1</v>
      </c>
      <c r="O2239" s="1521">
        <v>2</v>
      </c>
    </row>
    <row r="2240" spans="3:15" ht="13.5">
      <c r="C2240" s="1526" t="s">
        <v>6201</v>
      </c>
      <c r="D2240" s="1523">
        <v>1</v>
      </c>
      <c r="E2240" s="1523">
        <v>1</v>
      </c>
      <c r="F2240" s="1524">
        <v>2</v>
      </c>
      <c r="G2240" s="1537" t="s">
        <v>6201</v>
      </c>
      <c r="H2240" s="1521">
        <v>0</v>
      </c>
      <c r="I2240" s="1521">
        <v>1</v>
      </c>
      <c r="J2240" s="1538">
        <v>1</v>
      </c>
      <c r="K2240" s="1525"/>
      <c r="L2240" s="1519">
        <v>13297110508</v>
      </c>
      <c r="M2240" s="1520">
        <v>1</v>
      </c>
      <c r="N2240" s="1520">
        <v>1</v>
      </c>
      <c r="O2240" s="1521">
        <v>2</v>
      </c>
    </row>
    <row r="2241" spans="3:15" ht="13.5">
      <c r="C2241" s="1526" t="s">
        <v>6202</v>
      </c>
      <c r="D2241" s="1523">
        <v>1</v>
      </c>
      <c r="E2241" s="1523">
        <v>1</v>
      </c>
      <c r="F2241" s="1524">
        <v>2</v>
      </c>
      <c r="G2241" s="1537" t="s">
        <v>6202</v>
      </c>
      <c r="H2241" s="1521">
        <v>1</v>
      </c>
      <c r="I2241" s="1521">
        <v>1</v>
      </c>
      <c r="J2241" s="1538">
        <v>2</v>
      </c>
      <c r="K2241" s="1525"/>
      <c r="L2241" s="1519">
        <v>13297110601</v>
      </c>
      <c r="M2241" s="1520">
        <v>1</v>
      </c>
      <c r="N2241" s="1520">
        <v>1</v>
      </c>
      <c r="O2241" s="1521">
        <v>2</v>
      </c>
    </row>
    <row r="2242" spans="3:15" ht="13.5">
      <c r="C2242" s="1526" t="s">
        <v>6203</v>
      </c>
      <c r="D2242" s="1523">
        <v>1</v>
      </c>
      <c r="E2242" s="1523">
        <v>1</v>
      </c>
      <c r="F2242" s="1524">
        <v>2</v>
      </c>
      <c r="G2242" s="1537" t="s">
        <v>6203</v>
      </c>
      <c r="H2242" s="1521">
        <v>1</v>
      </c>
      <c r="I2242" s="1521">
        <v>1</v>
      </c>
      <c r="J2242" s="1538">
        <v>2</v>
      </c>
      <c r="K2242" s="1525"/>
      <c r="L2242" s="1519">
        <v>13297110602</v>
      </c>
      <c r="M2242" s="1520">
        <v>1</v>
      </c>
      <c r="N2242" s="1520">
        <v>1</v>
      </c>
      <c r="O2242" s="1521">
        <v>2</v>
      </c>
    </row>
    <row r="2243" spans="3:15" ht="13.5">
      <c r="C2243" s="1526" t="s">
        <v>6204</v>
      </c>
      <c r="D2243" s="1523">
        <v>0</v>
      </c>
      <c r="E2243" s="1523">
        <v>1</v>
      </c>
      <c r="F2243" s="1524">
        <v>1</v>
      </c>
      <c r="G2243" s="1537" t="s">
        <v>6204</v>
      </c>
      <c r="H2243" s="1521">
        <v>0</v>
      </c>
      <c r="I2243" s="1521">
        <v>0</v>
      </c>
      <c r="J2243" s="1538">
        <v>0</v>
      </c>
      <c r="K2243" s="1525"/>
      <c r="L2243" s="1519">
        <v>13297110603</v>
      </c>
      <c r="M2243" s="1520">
        <v>0</v>
      </c>
      <c r="N2243" s="1520">
        <v>1</v>
      </c>
      <c r="O2243" s="1521">
        <v>1</v>
      </c>
    </row>
    <row r="2244" spans="3:15" ht="13.5">
      <c r="C2244" s="1526" t="s">
        <v>6205</v>
      </c>
      <c r="D2244" s="1523">
        <v>0</v>
      </c>
      <c r="E2244" s="1523">
        <v>0</v>
      </c>
      <c r="F2244" s="1524">
        <v>0</v>
      </c>
      <c r="G2244" s="1537" t="s">
        <v>6205</v>
      </c>
      <c r="H2244" s="1521">
        <v>0</v>
      </c>
      <c r="I2244" s="1521">
        <v>0</v>
      </c>
      <c r="J2244" s="1538">
        <v>0</v>
      </c>
      <c r="K2244" s="1525"/>
      <c r="L2244" s="1519">
        <v>13297110700</v>
      </c>
      <c r="M2244" s="1520">
        <v>0</v>
      </c>
      <c r="N2244" s="1520">
        <v>0</v>
      </c>
      <c r="O2244" s="1521">
        <v>0</v>
      </c>
    </row>
    <row r="2245" spans="3:15" ht="13.5">
      <c r="C2245" s="1526" t="s">
        <v>6206</v>
      </c>
      <c r="D2245" s="1523">
        <v>1</v>
      </c>
      <c r="E2245" s="1523">
        <v>0</v>
      </c>
      <c r="F2245" s="1524">
        <v>1</v>
      </c>
      <c r="G2245" s="1537" t="s">
        <v>6206</v>
      </c>
      <c r="H2245" s="1521">
        <v>1</v>
      </c>
      <c r="I2245" s="1521">
        <v>0</v>
      </c>
      <c r="J2245" s="1538">
        <v>1</v>
      </c>
      <c r="K2245" s="1525"/>
      <c r="L2245" s="1519">
        <v>13297110800</v>
      </c>
      <c r="M2245" s="1520">
        <v>1</v>
      </c>
      <c r="N2245" s="1520">
        <v>0</v>
      </c>
      <c r="O2245" s="1521">
        <v>1</v>
      </c>
    </row>
    <row r="2246" spans="3:15" ht="13.5">
      <c r="C2246" s="1526" t="s">
        <v>6207</v>
      </c>
      <c r="D2246" s="1523">
        <v>1</v>
      </c>
      <c r="E2246" s="1523">
        <v>0</v>
      </c>
      <c r="F2246" s="1524">
        <v>1</v>
      </c>
      <c r="G2246" s="1537" t="s">
        <v>6207</v>
      </c>
      <c r="H2246" s="1521">
        <v>0</v>
      </c>
      <c r="I2246" s="1521">
        <v>0</v>
      </c>
      <c r="J2246" s="1538">
        <v>0</v>
      </c>
      <c r="K2246" s="1525"/>
      <c r="L2246" s="1519">
        <v>13299950100</v>
      </c>
      <c r="M2246" s="1520">
        <v>1</v>
      </c>
      <c r="N2246" s="1520">
        <v>0</v>
      </c>
      <c r="O2246" s="1521">
        <v>1</v>
      </c>
    </row>
    <row r="2247" spans="3:15" ht="13.5">
      <c r="C2247" s="1526" t="s">
        <v>6208</v>
      </c>
      <c r="D2247" s="1523">
        <v>0</v>
      </c>
      <c r="E2247" s="1523">
        <v>0</v>
      </c>
      <c r="F2247" s="1524">
        <v>0</v>
      </c>
      <c r="G2247" s="1537" t="s">
        <v>6208</v>
      </c>
      <c r="H2247" s="1521">
        <v>0</v>
      </c>
      <c r="I2247" s="1521">
        <v>0</v>
      </c>
      <c r="J2247" s="1538">
        <v>0</v>
      </c>
      <c r="K2247" s="1525"/>
      <c r="L2247" s="1519">
        <v>13299950200</v>
      </c>
      <c r="M2247" s="1520">
        <v>0</v>
      </c>
      <c r="N2247" s="1520">
        <v>0</v>
      </c>
      <c r="O2247" s="1521">
        <v>0</v>
      </c>
    </row>
    <row r="2248" spans="3:15" ht="13.5">
      <c r="C2248" s="1526" t="s">
        <v>6209</v>
      </c>
      <c r="D2248" s="1523">
        <v>0</v>
      </c>
      <c r="E2248" s="1523">
        <v>0</v>
      </c>
      <c r="F2248" s="1524">
        <v>0</v>
      </c>
      <c r="G2248" s="1537" t="s">
        <v>6209</v>
      </c>
      <c r="H2248" s="1521">
        <v>0</v>
      </c>
      <c r="I2248" s="1521">
        <v>0</v>
      </c>
      <c r="J2248" s="1538">
        <v>0</v>
      </c>
      <c r="K2248" s="1525"/>
      <c r="L2248" s="1519">
        <v>13299950300</v>
      </c>
      <c r="M2248" s="1520">
        <v>0</v>
      </c>
      <c r="N2248" s="1520">
        <v>0</v>
      </c>
      <c r="O2248" s="1521">
        <v>0</v>
      </c>
    </row>
    <row r="2249" spans="3:15" ht="13.5">
      <c r="C2249" s="1526" t="s">
        <v>6210</v>
      </c>
      <c r="D2249" s="1523">
        <v>0</v>
      </c>
      <c r="E2249" s="1523">
        <v>0</v>
      </c>
      <c r="F2249" s="1524">
        <v>0</v>
      </c>
      <c r="G2249" s="1537" t="s">
        <v>6210</v>
      </c>
      <c r="H2249" s="1521">
        <v>0</v>
      </c>
      <c r="I2249" s="1521">
        <v>0</v>
      </c>
      <c r="J2249" s="1538">
        <v>0</v>
      </c>
      <c r="K2249" s="1525"/>
      <c r="L2249" s="1519">
        <v>13299950400</v>
      </c>
      <c r="M2249" s="1520">
        <v>0</v>
      </c>
      <c r="N2249" s="1520">
        <v>0</v>
      </c>
      <c r="O2249" s="1521">
        <v>0</v>
      </c>
    </row>
    <row r="2250" spans="3:15" ht="13.5">
      <c r="C2250" s="1526" t="s">
        <v>6211</v>
      </c>
      <c r="D2250" s="1523">
        <v>1</v>
      </c>
      <c r="E2250" s="1523">
        <v>0</v>
      </c>
      <c r="F2250" s="1524">
        <v>1</v>
      </c>
      <c r="G2250" s="1537" t="s">
        <v>6211</v>
      </c>
      <c r="H2250" s="1521">
        <v>1</v>
      </c>
      <c r="I2250" s="1521">
        <v>0</v>
      </c>
      <c r="J2250" s="1538">
        <v>1</v>
      </c>
      <c r="K2250" s="1525"/>
      <c r="L2250" s="1519">
        <v>13299950500</v>
      </c>
      <c r="M2250" s="1520">
        <v>1</v>
      </c>
      <c r="N2250" s="1520">
        <v>0</v>
      </c>
      <c r="O2250" s="1521">
        <v>1</v>
      </c>
    </row>
    <row r="2251" spans="3:15" ht="13.5">
      <c r="C2251" s="1526" t="s">
        <v>6212</v>
      </c>
      <c r="D2251" s="1523">
        <v>1</v>
      </c>
      <c r="E2251" s="1523">
        <v>0</v>
      </c>
      <c r="F2251" s="1524">
        <v>1</v>
      </c>
      <c r="G2251" s="1537" t="s">
        <v>6212</v>
      </c>
      <c r="H2251" s="1521">
        <v>1</v>
      </c>
      <c r="I2251" s="1521">
        <v>0</v>
      </c>
      <c r="J2251" s="1538">
        <v>1</v>
      </c>
      <c r="K2251" s="1525"/>
      <c r="L2251" s="1519">
        <v>13299950600</v>
      </c>
      <c r="M2251" s="1520">
        <v>1</v>
      </c>
      <c r="N2251" s="1520">
        <v>0</v>
      </c>
      <c r="O2251" s="1521">
        <v>1</v>
      </c>
    </row>
    <row r="2252" spans="3:15" ht="13.5">
      <c r="C2252" s="1526" t="s">
        <v>6213</v>
      </c>
      <c r="D2252" s="1523">
        <v>0</v>
      </c>
      <c r="E2252" s="1523">
        <v>0</v>
      </c>
      <c r="F2252" s="1524">
        <v>0</v>
      </c>
      <c r="G2252" s="1537" t="s">
        <v>6213</v>
      </c>
      <c r="H2252" s="1521">
        <v>0</v>
      </c>
      <c r="I2252" s="1521">
        <v>0</v>
      </c>
      <c r="J2252" s="1538">
        <v>0</v>
      </c>
      <c r="K2252" s="1525"/>
      <c r="L2252" s="1519">
        <v>13299950700</v>
      </c>
      <c r="M2252" s="1520">
        <v>0</v>
      </c>
      <c r="N2252" s="1520">
        <v>0</v>
      </c>
      <c r="O2252" s="1521">
        <v>0</v>
      </c>
    </row>
    <row r="2253" spans="3:15" ht="13.5">
      <c r="C2253" s="1526" t="s">
        <v>6214</v>
      </c>
      <c r="D2253" s="1523">
        <v>0</v>
      </c>
      <c r="E2253" s="1523">
        <v>0</v>
      </c>
      <c r="F2253" s="1524">
        <v>0</v>
      </c>
      <c r="G2253" s="1537" t="s">
        <v>6214</v>
      </c>
      <c r="H2253" s="1521">
        <v>0</v>
      </c>
      <c r="I2253" s="1521">
        <v>0</v>
      </c>
      <c r="J2253" s="1538">
        <v>0</v>
      </c>
      <c r="K2253" s="1525"/>
      <c r="L2253" s="1519">
        <v>13299950800</v>
      </c>
      <c r="M2253" s="1520">
        <v>0</v>
      </c>
      <c r="N2253" s="1520">
        <v>0</v>
      </c>
      <c r="O2253" s="1521">
        <v>0</v>
      </c>
    </row>
    <row r="2254" spans="3:15" ht="13.5">
      <c r="C2254" s="1526" t="s">
        <v>6215</v>
      </c>
      <c r="D2254" s="1523">
        <v>0</v>
      </c>
      <c r="E2254" s="1523">
        <v>0</v>
      </c>
      <c r="F2254" s="1524">
        <v>0</v>
      </c>
      <c r="G2254" s="1537" t="s">
        <v>6215</v>
      </c>
      <c r="H2254" s="1521">
        <v>0</v>
      </c>
      <c r="I2254" s="1521">
        <v>0</v>
      </c>
      <c r="J2254" s="1538">
        <v>0</v>
      </c>
      <c r="K2254" s="1525"/>
      <c r="L2254" s="1519">
        <v>13299950900</v>
      </c>
      <c r="M2254" s="1520">
        <v>0</v>
      </c>
      <c r="N2254" s="1520">
        <v>0</v>
      </c>
      <c r="O2254" s="1521">
        <v>0</v>
      </c>
    </row>
    <row r="2255" spans="3:15" ht="13.5">
      <c r="C2255" s="1526" t="s">
        <v>6216</v>
      </c>
      <c r="D2255" s="1523">
        <v>0</v>
      </c>
      <c r="E2255" s="1523">
        <v>0</v>
      </c>
      <c r="F2255" s="1524">
        <v>0</v>
      </c>
      <c r="G2255" s="1537" t="s">
        <v>6216</v>
      </c>
      <c r="H2255" s="1521">
        <v>0</v>
      </c>
      <c r="I2255" s="1521">
        <v>0</v>
      </c>
      <c r="J2255" s="1538">
        <v>0</v>
      </c>
      <c r="K2255" s="1525"/>
      <c r="L2255" s="1519">
        <v>13301970400</v>
      </c>
      <c r="M2255" s="1520">
        <v>0</v>
      </c>
      <c r="N2255" s="1520">
        <v>0</v>
      </c>
      <c r="O2255" s="1521">
        <v>0</v>
      </c>
    </row>
    <row r="2256" spans="3:15" ht="13.5">
      <c r="C2256" s="1526" t="s">
        <v>6217</v>
      </c>
      <c r="D2256" s="1523">
        <v>0</v>
      </c>
      <c r="E2256" s="1523">
        <v>0</v>
      </c>
      <c r="F2256" s="1524">
        <v>0</v>
      </c>
      <c r="G2256" s="1537" t="s">
        <v>6217</v>
      </c>
      <c r="H2256" s="1521">
        <v>0</v>
      </c>
      <c r="I2256" s="1521">
        <v>0</v>
      </c>
      <c r="J2256" s="1538">
        <v>0</v>
      </c>
      <c r="K2256" s="1525"/>
      <c r="L2256" s="1519">
        <v>13301970500</v>
      </c>
      <c r="M2256" s="1520">
        <v>0</v>
      </c>
      <c r="N2256" s="1520">
        <v>0</v>
      </c>
      <c r="O2256" s="1521">
        <v>0</v>
      </c>
    </row>
    <row r="2257" spans="3:15" ht="13.5">
      <c r="C2257" s="1526" t="s">
        <v>6218</v>
      </c>
      <c r="D2257" s="1523">
        <v>0</v>
      </c>
      <c r="E2257" s="1523">
        <v>0</v>
      </c>
      <c r="F2257" s="1524">
        <v>0</v>
      </c>
      <c r="G2257" s="1537" t="s">
        <v>6218</v>
      </c>
      <c r="H2257" s="1521">
        <v>0</v>
      </c>
      <c r="I2257" s="1521">
        <v>1</v>
      </c>
      <c r="J2257" s="1538">
        <v>1</v>
      </c>
      <c r="K2257" s="1525"/>
      <c r="L2257" s="1519">
        <v>13303950100</v>
      </c>
      <c r="M2257" s="1520">
        <v>0</v>
      </c>
      <c r="N2257" s="1520">
        <v>1</v>
      </c>
      <c r="O2257" s="1521">
        <v>1</v>
      </c>
    </row>
    <row r="2258" spans="3:15" ht="13.5">
      <c r="C2258" s="1526" t="s">
        <v>6219</v>
      </c>
      <c r="D2258" s="1523">
        <v>0</v>
      </c>
      <c r="E2258" s="1523">
        <v>0</v>
      </c>
      <c r="F2258" s="1524">
        <v>0</v>
      </c>
      <c r="G2258" s="1537" t="s">
        <v>6219</v>
      </c>
      <c r="H2258" s="1521">
        <v>0</v>
      </c>
      <c r="I2258" s="1521">
        <v>0</v>
      </c>
      <c r="J2258" s="1538">
        <v>0</v>
      </c>
      <c r="K2258" s="1525"/>
      <c r="L2258" s="1519">
        <v>13303950300</v>
      </c>
      <c r="M2258" s="1520">
        <v>0</v>
      </c>
      <c r="N2258" s="1520">
        <v>0</v>
      </c>
      <c r="O2258" s="1521">
        <v>0</v>
      </c>
    </row>
    <row r="2259" spans="3:15" ht="13.5">
      <c r="C2259" s="1526" t="s">
        <v>6220</v>
      </c>
      <c r="D2259" s="1523">
        <v>0</v>
      </c>
      <c r="E2259" s="1523">
        <v>0</v>
      </c>
      <c r="F2259" s="1524">
        <v>0</v>
      </c>
      <c r="G2259" s="1537" t="s">
        <v>6220</v>
      </c>
      <c r="H2259" s="1521">
        <v>0</v>
      </c>
      <c r="I2259" s="1521">
        <v>0</v>
      </c>
      <c r="J2259" s="1538">
        <v>0</v>
      </c>
      <c r="K2259" s="1525"/>
      <c r="L2259" s="1519">
        <v>13303950400</v>
      </c>
      <c r="M2259" s="1520">
        <v>0</v>
      </c>
      <c r="N2259" s="1520">
        <v>0</v>
      </c>
      <c r="O2259" s="1521">
        <v>0</v>
      </c>
    </row>
    <row r="2260" spans="3:15" ht="13.5">
      <c r="C2260" s="1526" t="s">
        <v>6221</v>
      </c>
      <c r="D2260" s="1523">
        <v>0</v>
      </c>
      <c r="E2260" s="1523">
        <v>0</v>
      </c>
      <c r="F2260" s="1524">
        <v>0</v>
      </c>
      <c r="G2260" s="1537" t="s">
        <v>6221</v>
      </c>
      <c r="H2260" s="1521">
        <v>0</v>
      </c>
      <c r="I2260" s="1521">
        <v>0</v>
      </c>
      <c r="J2260" s="1538">
        <v>0</v>
      </c>
      <c r="K2260" s="1525"/>
      <c r="L2260" s="1519">
        <v>13303950500</v>
      </c>
      <c r="M2260" s="1520">
        <v>0</v>
      </c>
      <c r="N2260" s="1520">
        <v>0</v>
      </c>
      <c r="O2260" s="1521">
        <v>0</v>
      </c>
    </row>
    <row r="2261" spans="3:15" ht="13.5">
      <c r="C2261" s="1526" t="s">
        <v>6222</v>
      </c>
      <c r="D2261" s="1523">
        <v>0</v>
      </c>
      <c r="E2261" s="1523">
        <v>0</v>
      </c>
      <c r="F2261" s="1524">
        <v>0</v>
      </c>
      <c r="G2261" s="1537" t="s">
        <v>6222</v>
      </c>
      <c r="H2261" s="1521">
        <v>0</v>
      </c>
      <c r="I2261" s="1521">
        <v>1</v>
      </c>
      <c r="J2261" s="1538">
        <v>1</v>
      </c>
      <c r="K2261" s="1525"/>
      <c r="L2261" s="1519">
        <v>13303950700</v>
      </c>
      <c r="M2261" s="1520">
        <v>0</v>
      </c>
      <c r="N2261" s="1520">
        <v>1</v>
      </c>
      <c r="O2261" s="1521">
        <v>1</v>
      </c>
    </row>
    <row r="2262" spans="3:15" ht="13.5">
      <c r="C2262" s="1526" t="s">
        <v>6223</v>
      </c>
      <c r="D2262" s="1523">
        <v>0</v>
      </c>
      <c r="E2262" s="1523">
        <v>0</v>
      </c>
      <c r="F2262" s="1524">
        <v>0</v>
      </c>
      <c r="G2262" s="1537" t="s">
        <v>6223</v>
      </c>
      <c r="H2262" s="1521">
        <v>0</v>
      </c>
      <c r="I2262" s="1521">
        <v>0</v>
      </c>
      <c r="J2262" s="1538">
        <v>0</v>
      </c>
      <c r="K2262" s="1525"/>
      <c r="L2262" s="1519">
        <v>13305970100</v>
      </c>
      <c r="M2262" s="1520">
        <v>0</v>
      </c>
      <c r="N2262" s="1520">
        <v>0</v>
      </c>
      <c r="O2262" s="1521">
        <v>0</v>
      </c>
    </row>
    <row r="2263" spans="3:15" ht="13.5">
      <c r="C2263" s="1526" t="s">
        <v>6224</v>
      </c>
      <c r="D2263" s="1523">
        <v>0</v>
      </c>
      <c r="E2263" s="1523">
        <v>0</v>
      </c>
      <c r="F2263" s="1524">
        <v>0</v>
      </c>
      <c r="G2263" s="1537" t="s">
        <v>6224</v>
      </c>
      <c r="H2263" s="1521">
        <v>0</v>
      </c>
      <c r="I2263" s="1521">
        <v>0</v>
      </c>
      <c r="J2263" s="1538">
        <v>0</v>
      </c>
      <c r="K2263" s="1525"/>
      <c r="L2263" s="1519">
        <v>13305970200</v>
      </c>
      <c r="M2263" s="1520">
        <v>0</v>
      </c>
      <c r="N2263" s="1520">
        <v>0</v>
      </c>
      <c r="O2263" s="1521">
        <v>0</v>
      </c>
    </row>
    <row r="2264" spans="3:15" ht="13.5">
      <c r="C2264" s="1526" t="s">
        <v>6225</v>
      </c>
      <c r="D2264" s="1523">
        <v>0</v>
      </c>
      <c r="E2264" s="1523">
        <v>0</v>
      </c>
      <c r="F2264" s="1524">
        <v>0</v>
      </c>
      <c r="G2264" s="1537" t="s">
        <v>6225</v>
      </c>
      <c r="H2264" s="1521">
        <v>0</v>
      </c>
      <c r="I2264" s="1521">
        <v>0</v>
      </c>
      <c r="J2264" s="1538">
        <v>0</v>
      </c>
      <c r="K2264" s="1525"/>
      <c r="L2264" s="1519">
        <v>13305970300</v>
      </c>
      <c r="M2264" s="1520">
        <v>0</v>
      </c>
      <c r="N2264" s="1520">
        <v>0</v>
      </c>
      <c r="O2264" s="1521">
        <v>0</v>
      </c>
    </row>
    <row r="2265" spans="3:15" ht="13.5">
      <c r="C2265" s="1526" t="s">
        <v>6226</v>
      </c>
      <c r="D2265" s="1523">
        <v>0</v>
      </c>
      <c r="E2265" s="1523">
        <v>0</v>
      </c>
      <c r="F2265" s="1524">
        <v>0</v>
      </c>
      <c r="G2265" s="1537" t="s">
        <v>6226</v>
      </c>
      <c r="H2265" s="1521">
        <v>0</v>
      </c>
      <c r="I2265" s="1521">
        <v>0</v>
      </c>
      <c r="J2265" s="1538">
        <v>0</v>
      </c>
      <c r="K2265" s="1525"/>
      <c r="L2265" s="1519">
        <v>13305970400</v>
      </c>
      <c r="M2265" s="1520">
        <v>0</v>
      </c>
      <c r="N2265" s="1520">
        <v>0</v>
      </c>
      <c r="O2265" s="1521">
        <v>0</v>
      </c>
    </row>
    <row r="2266" spans="3:15" ht="13.5">
      <c r="C2266" s="1526" t="s">
        <v>6227</v>
      </c>
      <c r="D2266" s="1523">
        <v>0</v>
      </c>
      <c r="E2266" s="1523">
        <v>0</v>
      </c>
      <c r="F2266" s="1524">
        <v>0</v>
      </c>
      <c r="G2266" s="1537" t="s">
        <v>6227</v>
      </c>
      <c r="H2266" s="1521">
        <v>0</v>
      </c>
      <c r="I2266" s="1521">
        <v>0</v>
      </c>
      <c r="J2266" s="1538">
        <v>0</v>
      </c>
      <c r="K2266" s="1525"/>
      <c r="L2266" s="1519">
        <v>13305970500</v>
      </c>
      <c r="M2266" s="1520">
        <v>0</v>
      </c>
      <c r="N2266" s="1520">
        <v>0</v>
      </c>
      <c r="O2266" s="1521">
        <v>0</v>
      </c>
    </row>
    <row r="2267" spans="3:15" ht="13.5">
      <c r="C2267" s="1526" t="s">
        <v>6228</v>
      </c>
      <c r="D2267" s="1523">
        <v>0</v>
      </c>
      <c r="E2267" s="1523">
        <v>0</v>
      </c>
      <c r="F2267" s="1524">
        <v>0</v>
      </c>
      <c r="G2267" s="1537" t="s">
        <v>6228</v>
      </c>
      <c r="H2267" s="1521">
        <v>0</v>
      </c>
      <c r="I2267" s="1521">
        <v>0</v>
      </c>
      <c r="J2267" s="1538">
        <v>0</v>
      </c>
      <c r="K2267" s="1525"/>
      <c r="L2267" s="1519">
        <v>13305970600</v>
      </c>
      <c r="M2267" s="1520">
        <v>0</v>
      </c>
      <c r="N2267" s="1520">
        <v>0</v>
      </c>
      <c r="O2267" s="1521">
        <v>0</v>
      </c>
    </row>
    <row r="2268" spans="3:15" ht="13.5">
      <c r="C2268" s="1526" t="s">
        <v>6229</v>
      </c>
      <c r="D2268" s="1523">
        <v>0</v>
      </c>
      <c r="E2268" s="1523">
        <v>0</v>
      </c>
      <c r="F2268" s="1524">
        <v>0</v>
      </c>
      <c r="G2268" s="1537" t="s">
        <v>6229</v>
      </c>
      <c r="H2268" s="1521">
        <v>0</v>
      </c>
      <c r="I2268" s="1521">
        <v>1</v>
      </c>
      <c r="J2268" s="1538">
        <v>1</v>
      </c>
      <c r="K2268" s="1525"/>
      <c r="L2268" s="1519">
        <v>13307960100</v>
      </c>
      <c r="M2268" s="1520">
        <v>0</v>
      </c>
      <c r="N2268" s="1520">
        <v>1</v>
      </c>
      <c r="O2268" s="1521">
        <v>1</v>
      </c>
    </row>
    <row r="2269" spans="3:15" ht="13.5">
      <c r="C2269" s="1526" t="s">
        <v>6230</v>
      </c>
      <c r="D2269" s="1523">
        <v>0</v>
      </c>
      <c r="E2269" s="1523">
        <v>0</v>
      </c>
      <c r="F2269" s="1524">
        <v>0</v>
      </c>
      <c r="G2269" s="1537" t="s">
        <v>6230</v>
      </c>
      <c r="H2269" s="1521">
        <v>0</v>
      </c>
      <c r="I2269" s="1521">
        <v>0</v>
      </c>
      <c r="J2269" s="1538">
        <v>0</v>
      </c>
      <c r="K2269" s="1525"/>
      <c r="L2269" s="1519">
        <v>13307960200</v>
      </c>
      <c r="M2269" s="1520">
        <v>0</v>
      </c>
      <c r="N2269" s="1520">
        <v>0</v>
      </c>
      <c r="O2269" s="1521">
        <v>0</v>
      </c>
    </row>
    <row r="2270" spans="3:15" ht="13.5">
      <c r="C2270" s="1526" t="s">
        <v>6231</v>
      </c>
      <c r="D2270" s="1523">
        <v>0</v>
      </c>
      <c r="E2270" s="1523">
        <v>0</v>
      </c>
      <c r="F2270" s="1524">
        <v>0</v>
      </c>
      <c r="G2270" s="1537" t="s">
        <v>6231</v>
      </c>
      <c r="H2270" s="1521">
        <v>0</v>
      </c>
      <c r="I2270" s="1521">
        <v>0</v>
      </c>
      <c r="J2270" s="1538">
        <v>0</v>
      </c>
      <c r="K2270" s="1525"/>
      <c r="L2270" s="1519">
        <v>13309780100</v>
      </c>
      <c r="M2270" s="1520">
        <v>0</v>
      </c>
      <c r="N2270" s="1520">
        <v>0</v>
      </c>
      <c r="O2270" s="1521">
        <v>0</v>
      </c>
    </row>
    <row r="2271" spans="3:15" ht="13.5">
      <c r="C2271" s="1526" t="s">
        <v>6232</v>
      </c>
      <c r="D2271" s="1523">
        <v>0</v>
      </c>
      <c r="E2271" s="1523">
        <v>0</v>
      </c>
      <c r="F2271" s="1524">
        <v>0</v>
      </c>
      <c r="G2271" s="1537" t="s">
        <v>6232</v>
      </c>
      <c r="H2271" s="1521">
        <v>0</v>
      </c>
      <c r="I2271" s="1521">
        <v>1</v>
      </c>
      <c r="J2271" s="1538">
        <v>1</v>
      </c>
      <c r="K2271" s="1525"/>
      <c r="L2271" s="1519">
        <v>13309780200</v>
      </c>
      <c r="M2271" s="1520">
        <v>0</v>
      </c>
      <c r="N2271" s="1520">
        <v>1</v>
      </c>
      <c r="O2271" s="1521">
        <v>1</v>
      </c>
    </row>
    <row r="2272" spans="3:15" ht="13.5">
      <c r="C2272" s="1526" t="s">
        <v>6233</v>
      </c>
      <c r="D2272" s="1523">
        <v>1</v>
      </c>
      <c r="E2272" s="1523">
        <v>0</v>
      </c>
      <c r="F2272" s="1524">
        <v>1</v>
      </c>
      <c r="G2272" s="1537" t="s">
        <v>6233</v>
      </c>
      <c r="H2272" s="1521">
        <v>1</v>
      </c>
      <c r="I2272" s="1521">
        <v>0</v>
      </c>
      <c r="J2272" s="1538">
        <v>1</v>
      </c>
      <c r="K2272" s="1525"/>
      <c r="L2272" s="1519">
        <v>13311950100</v>
      </c>
      <c r="M2272" s="1520">
        <v>1</v>
      </c>
      <c r="N2272" s="1520">
        <v>0</v>
      </c>
      <c r="O2272" s="1521">
        <v>1</v>
      </c>
    </row>
    <row r="2273" spans="3:15" ht="13.5">
      <c r="C2273" s="1526" t="s">
        <v>6234</v>
      </c>
      <c r="D2273" s="1523">
        <v>0</v>
      </c>
      <c r="E2273" s="1523">
        <v>0</v>
      </c>
      <c r="F2273" s="1524">
        <v>0</v>
      </c>
      <c r="G2273" s="1537" t="s">
        <v>6234</v>
      </c>
      <c r="H2273" s="1521">
        <v>0</v>
      </c>
      <c r="I2273" s="1521">
        <v>0</v>
      </c>
      <c r="J2273" s="1538">
        <v>0</v>
      </c>
      <c r="K2273" s="1525"/>
      <c r="L2273" s="1519">
        <v>13311950201</v>
      </c>
      <c r="M2273" s="1520">
        <v>0</v>
      </c>
      <c r="N2273" s="1520">
        <v>0</v>
      </c>
      <c r="O2273" s="1521">
        <v>0</v>
      </c>
    </row>
    <row r="2274" spans="3:15" ht="13.5">
      <c r="C2274" s="1526" t="s">
        <v>6235</v>
      </c>
      <c r="D2274" s="1523">
        <v>1</v>
      </c>
      <c r="E2274" s="1523">
        <v>1</v>
      </c>
      <c r="F2274" s="1524">
        <v>2</v>
      </c>
      <c r="G2274" s="1537" t="s">
        <v>6235</v>
      </c>
      <c r="H2274" s="1521">
        <v>0</v>
      </c>
      <c r="I2274" s="1521">
        <v>1</v>
      </c>
      <c r="J2274" s="1538">
        <v>1</v>
      </c>
      <c r="K2274" s="1525"/>
      <c r="L2274" s="1519">
        <v>13311950202</v>
      </c>
      <c r="M2274" s="1520">
        <v>1</v>
      </c>
      <c r="N2274" s="1520">
        <v>1</v>
      </c>
      <c r="O2274" s="1521">
        <v>2</v>
      </c>
    </row>
    <row r="2275" spans="3:15" ht="13.5">
      <c r="C2275" s="1526" t="s">
        <v>6236</v>
      </c>
      <c r="D2275" s="1523">
        <v>1</v>
      </c>
      <c r="E2275" s="1523">
        <v>0</v>
      </c>
      <c r="F2275" s="1524">
        <v>1</v>
      </c>
      <c r="G2275" s="1537" t="s">
        <v>6236</v>
      </c>
      <c r="H2275" s="1521">
        <v>0</v>
      </c>
      <c r="I2275" s="1521">
        <v>1</v>
      </c>
      <c r="J2275" s="1538">
        <v>1</v>
      </c>
      <c r="K2275" s="1525"/>
      <c r="L2275" s="1519">
        <v>13311950203</v>
      </c>
      <c r="M2275" s="1520">
        <v>1</v>
      </c>
      <c r="N2275" s="1520">
        <v>1</v>
      </c>
      <c r="O2275" s="1521">
        <v>1</v>
      </c>
    </row>
    <row r="2276" spans="3:15" ht="13.5">
      <c r="C2276" s="1526" t="s">
        <v>6237</v>
      </c>
      <c r="D2276" s="1523">
        <v>0</v>
      </c>
      <c r="E2276" s="1523">
        <v>1</v>
      </c>
      <c r="F2276" s="1524">
        <v>1</v>
      </c>
      <c r="G2276" s="1537" t="s">
        <v>6237</v>
      </c>
      <c r="H2276" s="1521">
        <v>0</v>
      </c>
      <c r="I2276" s="1521">
        <v>1</v>
      </c>
      <c r="J2276" s="1538">
        <v>1</v>
      </c>
      <c r="K2276" s="1525"/>
      <c r="L2276" s="1519">
        <v>13311950300</v>
      </c>
      <c r="M2276" s="1520">
        <v>0</v>
      </c>
      <c r="N2276" s="1520">
        <v>1</v>
      </c>
      <c r="O2276" s="1521">
        <v>1</v>
      </c>
    </row>
    <row r="2277" spans="3:15" ht="13.5">
      <c r="C2277" s="1526" t="s">
        <v>6238</v>
      </c>
      <c r="D2277" s="1523">
        <v>0</v>
      </c>
      <c r="E2277" s="1523">
        <v>0</v>
      </c>
      <c r="F2277" s="1524">
        <v>0</v>
      </c>
      <c r="G2277" s="1537" t="s">
        <v>6238</v>
      </c>
      <c r="H2277" s="1521">
        <v>0</v>
      </c>
      <c r="I2277" s="1521">
        <v>1</v>
      </c>
      <c r="J2277" s="1538">
        <v>1</v>
      </c>
      <c r="K2277" s="1525"/>
      <c r="L2277" s="1519">
        <v>13313000101</v>
      </c>
      <c r="M2277" s="1520">
        <v>0</v>
      </c>
      <c r="N2277" s="1520">
        <v>1</v>
      </c>
      <c r="O2277" s="1521">
        <v>1</v>
      </c>
    </row>
    <row r="2278" spans="3:15" ht="13.5">
      <c r="C2278" s="1526" t="s">
        <v>6239</v>
      </c>
      <c r="D2278" s="1523">
        <v>0</v>
      </c>
      <c r="E2278" s="1523">
        <v>1</v>
      </c>
      <c r="F2278" s="1524">
        <v>1</v>
      </c>
      <c r="G2278" s="1537" t="s">
        <v>6239</v>
      </c>
      <c r="H2278" s="1521">
        <v>0</v>
      </c>
      <c r="I2278" s="1521">
        <v>0</v>
      </c>
      <c r="J2278" s="1538">
        <v>0</v>
      </c>
      <c r="K2278" s="1525"/>
      <c r="L2278" s="1519">
        <v>13313000102</v>
      </c>
      <c r="M2278" s="1520">
        <v>0</v>
      </c>
      <c r="N2278" s="1520">
        <v>1</v>
      </c>
      <c r="O2278" s="1521">
        <v>1</v>
      </c>
    </row>
    <row r="2279" spans="3:15" ht="13.5">
      <c r="C2279" s="1526" t="s">
        <v>6240</v>
      </c>
      <c r="D2279" s="1523">
        <v>0</v>
      </c>
      <c r="E2279" s="1523">
        <v>1</v>
      </c>
      <c r="F2279" s="1524">
        <v>1</v>
      </c>
      <c r="G2279" s="1537" t="s">
        <v>6240</v>
      </c>
      <c r="H2279" s="1521">
        <v>0</v>
      </c>
      <c r="I2279" s="1521">
        <v>1</v>
      </c>
      <c r="J2279" s="1538">
        <v>1</v>
      </c>
      <c r="K2279" s="1525"/>
      <c r="L2279" s="1519">
        <v>13313000200</v>
      </c>
      <c r="M2279" s="1520">
        <v>0</v>
      </c>
      <c r="N2279" s="1520">
        <v>1</v>
      </c>
      <c r="O2279" s="1521">
        <v>1</v>
      </c>
    </row>
    <row r="2280" spans="3:15" ht="13.5">
      <c r="C2280" s="1526" t="s">
        <v>6241</v>
      </c>
      <c r="D2280" s="1523">
        <v>0</v>
      </c>
      <c r="E2280" s="1523">
        <v>0</v>
      </c>
      <c r="F2280" s="1524">
        <v>0</v>
      </c>
      <c r="G2280" s="1537" t="s">
        <v>6241</v>
      </c>
      <c r="H2280" s="1521">
        <v>0</v>
      </c>
      <c r="I2280" s="1521">
        <v>0</v>
      </c>
      <c r="J2280" s="1538">
        <v>0</v>
      </c>
      <c r="K2280" s="1525"/>
      <c r="L2280" s="1519">
        <v>13313000301</v>
      </c>
      <c r="M2280" s="1520">
        <v>0</v>
      </c>
      <c r="N2280" s="1520">
        <v>0</v>
      </c>
      <c r="O2280" s="1521">
        <v>0</v>
      </c>
    </row>
    <row r="2281" spans="3:15" ht="13.5">
      <c r="C2281" s="1526" t="s">
        <v>6242</v>
      </c>
      <c r="D2281" s="1523">
        <v>0</v>
      </c>
      <c r="E2281" s="1523">
        <v>1</v>
      </c>
      <c r="F2281" s="1524">
        <v>1</v>
      </c>
      <c r="G2281" s="1537" t="s">
        <v>6242</v>
      </c>
      <c r="H2281" s="1521">
        <v>1</v>
      </c>
      <c r="I2281" s="1521">
        <v>1</v>
      </c>
      <c r="J2281" s="1538">
        <v>2</v>
      </c>
      <c r="K2281" s="1525"/>
      <c r="L2281" s="1519">
        <v>13313000302</v>
      </c>
      <c r="M2281" s="1520">
        <v>1</v>
      </c>
      <c r="N2281" s="1520">
        <v>1</v>
      </c>
      <c r="O2281" s="1521">
        <v>2</v>
      </c>
    </row>
    <row r="2282" spans="3:15" ht="13.5">
      <c r="C2282" s="1526" t="s">
        <v>6243</v>
      </c>
      <c r="D2282" s="1523">
        <v>0</v>
      </c>
      <c r="E2282" s="1523">
        <v>0</v>
      </c>
      <c r="F2282" s="1524">
        <v>0</v>
      </c>
      <c r="G2282" s="1537" t="s">
        <v>6243</v>
      </c>
      <c r="H2282" s="1521">
        <v>0</v>
      </c>
      <c r="I2282" s="1521">
        <v>0</v>
      </c>
      <c r="J2282" s="1538">
        <v>0</v>
      </c>
      <c r="K2282" s="1525"/>
      <c r="L2282" s="1519">
        <v>13313000400</v>
      </c>
      <c r="M2282" s="1520">
        <v>0</v>
      </c>
      <c r="N2282" s="1520">
        <v>0</v>
      </c>
      <c r="O2282" s="1521">
        <v>0</v>
      </c>
    </row>
    <row r="2283" spans="3:15" ht="13.5">
      <c r="C2283" s="1526" t="s">
        <v>6244</v>
      </c>
      <c r="D2283" s="1523">
        <v>1</v>
      </c>
      <c r="E2283" s="1523">
        <v>0</v>
      </c>
      <c r="F2283" s="1524">
        <v>1</v>
      </c>
      <c r="G2283" s="1537" t="s">
        <v>6244</v>
      </c>
      <c r="H2283" s="1521">
        <v>1</v>
      </c>
      <c r="I2283" s="1521">
        <v>1</v>
      </c>
      <c r="J2283" s="1538">
        <v>2</v>
      </c>
      <c r="K2283" s="1525"/>
      <c r="L2283" s="1519">
        <v>13313000501</v>
      </c>
      <c r="M2283" s="1520">
        <v>1</v>
      </c>
      <c r="N2283" s="1520">
        <v>1</v>
      </c>
      <c r="O2283" s="1521">
        <v>2</v>
      </c>
    </row>
    <row r="2284" spans="3:15" ht="13.5">
      <c r="C2284" s="1526" t="s">
        <v>6245</v>
      </c>
      <c r="D2284" s="1523">
        <v>0</v>
      </c>
      <c r="E2284" s="1523">
        <v>0</v>
      </c>
      <c r="F2284" s="1524">
        <v>0</v>
      </c>
      <c r="G2284" s="1537" t="s">
        <v>6245</v>
      </c>
      <c r="H2284" s="1521">
        <v>0</v>
      </c>
      <c r="I2284" s="1521">
        <v>0</v>
      </c>
      <c r="J2284" s="1538">
        <v>0</v>
      </c>
      <c r="K2284" s="1525"/>
      <c r="L2284" s="1519">
        <v>13313000502</v>
      </c>
      <c r="M2284" s="1520">
        <v>0</v>
      </c>
      <c r="N2284" s="1520">
        <v>0</v>
      </c>
      <c r="O2284" s="1521">
        <v>0</v>
      </c>
    </row>
    <row r="2285" spans="3:15" ht="13.5">
      <c r="C2285" s="1526" t="s">
        <v>6246</v>
      </c>
      <c r="D2285" s="1523">
        <v>0</v>
      </c>
      <c r="E2285" s="1523">
        <v>1</v>
      </c>
      <c r="F2285" s="1524">
        <v>1</v>
      </c>
      <c r="G2285" s="1537" t="s">
        <v>6246</v>
      </c>
      <c r="H2285" s="1521">
        <v>0</v>
      </c>
      <c r="I2285" s="1521">
        <v>0</v>
      </c>
      <c r="J2285" s="1538">
        <v>0</v>
      </c>
      <c r="K2285" s="1525"/>
      <c r="L2285" s="1519">
        <v>13313000600</v>
      </c>
      <c r="M2285" s="1520">
        <v>0</v>
      </c>
      <c r="N2285" s="1520">
        <v>1</v>
      </c>
      <c r="O2285" s="1521">
        <v>1</v>
      </c>
    </row>
    <row r="2286" spans="3:15" ht="13.5">
      <c r="C2286" s="1526" t="s">
        <v>6247</v>
      </c>
      <c r="D2286" s="1523">
        <v>0</v>
      </c>
      <c r="E2286" s="1523">
        <v>1</v>
      </c>
      <c r="F2286" s="1524">
        <v>1</v>
      </c>
      <c r="G2286" s="1537" t="s">
        <v>6247</v>
      </c>
      <c r="H2286" s="1521">
        <v>0</v>
      </c>
      <c r="I2286" s="1521">
        <v>1</v>
      </c>
      <c r="J2286" s="1538">
        <v>1</v>
      </c>
      <c r="K2286" s="1525"/>
      <c r="L2286" s="1519">
        <v>13313000700</v>
      </c>
      <c r="M2286" s="1520">
        <v>0</v>
      </c>
      <c r="N2286" s="1520">
        <v>1</v>
      </c>
      <c r="O2286" s="1521">
        <v>1</v>
      </c>
    </row>
    <row r="2287" spans="3:15" ht="13.5">
      <c r="C2287" s="1526" t="s">
        <v>6248</v>
      </c>
      <c r="D2287" s="1523">
        <v>1</v>
      </c>
      <c r="E2287" s="1523">
        <v>0</v>
      </c>
      <c r="F2287" s="1524">
        <v>1</v>
      </c>
      <c r="G2287" s="1537" t="s">
        <v>6248</v>
      </c>
      <c r="H2287" s="1521">
        <v>1</v>
      </c>
      <c r="I2287" s="1521">
        <v>0</v>
      </c>
      <c r="J2287" s="1538">
        <v>1</v>
      </c>
      <c r="K2287" s="1525"/>
      <c r="L2287" s="1519">
        <v>13313000800</v>
      </c>
      <c r="M2287" s="1520">
        <v>1</v>
      </c>
      <c r="N2287" s="1520">
        <v>0</v>
      </c>
      <c r="O2287" s="1521">
        <v>1</v>
      </c>
    </row>
    <row r="2288" spans="3:15" ht="13.5">
      <c r="C2288" s="1526" t="s">
        <v>6249</v>
      </c>
      <c r="D2288" s="1523">
        <v>1</v>
      </c>
      <c r="E2288" s="1523">
        <v>1</v>
      </c>
      <c r="F2288" s="1524">
        <v>2</v>
      </c>
      <c r="G2288" s="1537" t="s">
        <v>6249</v>
      </c>
      <c r="H2288" s="1521">
        <v>1</v>
      </c>
      <c r="I2288" s="1521">
        <v>1</v>
      </c>
      <c r="J2288" s="1538">
        <v>2</v>
      </c>
      <c r="K2288" s="1525"/>
      <c r="L2288" s="1519">
        <v>13313000900</v>
      </c>
      <c r="M2288" s="1520">
        <v>1</v>
      </c>
      <c r="N2288" s="1520">
        <v>1</v>
      </c>
      <c r="O2288" s="1521">
        <v>2</v>
      </c>
    </row>
    <row r="2289" spans="3:15" ht="13.5">
      <c r="C2289" s="1526" t="s">
        <v>6250</v>
      </c>
      <c r="D2289" s="1523">
        <v>0</v>
      </c>
      <c r="E2289" s="1523">
        <v>0</v>
      </c>
      <c r="F2289" s="1524">
        <v>0</v>
      </c>
      <c r="G2289" s="1537" t="s">
        <v>6250</v>
      </c>
      <c r="H2289" s="1521">
        <v>1</v>
      </c>
      <c r="I2289" s="1521">
        <v>0</v>
      </c>
      <c r="J2289" s="1538">
        <v>0</v>
      </c>
      <c r="K2289" s="1525"/>
      <c r="L2289" s="1519">
        <v>13313001000</v>
      </c>
      <c r="M2289" s="1520">
        <v>1</v>
      </c>
      <c r="N2289" s="1520">
        <v>0</v>
      </c>
      <c r="O2289" s="1521">
        <v>0</v>
      </c>
    </row>
    <row r="2290" spans="3:15" ht="13.5">
      <c r="C2290" s="1526" t="s">
        <v>6251</v>
      </c>
      <c r="D2290" s="1523">
        <v>0</v>
      </c>
      <c r="E2290" s="1523">
        <v>0</v>
      </c>
      <c r="F2290" s="1524">
        <v>0</v>
      </c>
      <c r="G2290" s="1537" t="s">
        <v>6251</v>
      </c>
      <c r="H2290" s="1521">
        <v>0</v>
      </c>
      <c r="I2290" s="1521">
        <v>0</v>
      </c>
      <c r="J2290" s="1538">
        <v>0</v>
      </c>
      <c r="K2290" s="1525"/>
      <c r="L2290" s="1519">
        <v>13313001100</v>
      </c>
      <c r="M2290" s="1520">
        <v>0</v>
      </c>
      <c r="N2290" s="1520">
        <v>0</v>
      </c>
      <c r="O2290" s="1521">
        <v>0</v>
      </c>
    </row>
    <row r="2291" spans="3:15" ht="13.5">
      <c r="C2291" s="1526" t="s">
        <v>6252</v>
      </c>
      <c r="D2291" s="1523">
        <v>0</v>
      </c>
      <c r="E2291" s="1523">
        <v>0</v>
      </c>
      <c r="F2291" s="1524">
        <v>0</v>
      </c>
      <c r="G2291" s="1537" t="s">
        <v>6252</v>
      </c>
      <c r="H2291" s="1521">
        <v>0</v>
      </c>
      <c r="I2291" s="1521">
        <v>0</v>
      </c>
      <c r="J2291" s="1538">
        <v>0</v>
      </c>
      <c r="K2291" s="1525"/>
      <c r="L2291" s="1519">
        <v>13313001200</v>
      </c>
      <c r="M2291" s="1520">
        <v>0</v>
      </c>
      <c r="N2291" s="1520">
        <v>0</v>
      </c>
      <c r="O2291" s="1521">
        <v>0</v>
      </c>
    </row>
    <row r="2292" spans="3:15" ht="13.5">
      <c r="C2292" s="1526" t="s">
        <v>6253</v>
      </c>
      <c r="D2292" s="1523">
        <v>0</v>
      </c>
      <c r="E2292" s="1523">
        <v>0</v>
      </c>
      <c r="F2292" s="1524">
        <v>0</v>
      </c>
      <c r="G2292" s="1537" t="s">
        <v>6253</v>
      </c>
      <c r="H2292" s="1521">
        <v>0</v>
      </c>
      <c r="I2292" s="1521">
        <v>0</v>
      </c>
      <c r="J2292" s="1538">
        <v>0</v>
      </c>
      <c r="K2292" s="1525"/>
      <c r="L2292" s="1519">
        <v>13313001300</v>
      </c>
      <c r="M2292" s="1520">
        <v>0</v>
      </c>
      <c r="N2292" s="1520">
        <v>0</v>
      </c>
      <c r="O2292" s="1521">
        <v>0</v>
      </c>
    </row>
    <row r="2293" spans="3:15" ht="13.5">
      <c r="C2293" s="1526" t="s">
        <v>6254</v>
      </c>
      <c r="D2293" s="1523">
        <v>0</v>
      </c>
      <c r="E2293" s="1523">
        <v>0</v>
      </c>
      <c r="F2293" s="1524">
        <v>0</v>
      </c>
      <c r="G2293" s="1537" t="s">
        <v>6254</v>
      </c>
      <c r="H2293" s="1521">
        <v>0</v>
      </c>
      <c r="I2293" s="1521">
        <v>0</v>
      </c>
      <c r="J2293" s="1538">
        <v>0</v>
      </c>
      <c r="K2293" s="1525"/>
      <c r="L2293" s="1519">
        <v>13313001400</v>
      </c>
      <c r="M2293" s="1520">
        <v>0</v>
      </c>
      <c r="N2293" s="1520">
        <v>0</v>
      </c>
      <c r="O2293" s="1521">
        <v>0</v>
      </c>
    </row>
    <row r="2294" spans="3:15" ht="13.5">
      <c r="C2294" s="1526" t="s">
        <v>6255</v>
      </c>
      <c r="D2294" s="1523">
        <v>1</v>
      </c>
      <c r="E2294" s="1523">
        <v>0</v>
      </c>
      <c r="F2294" s="1524">
        <v>1</v>
      </c>
      <c r="G2294" s="1537" t="s">
        <v>6255</v>
      </c>
      <c r="H2294" s="1521">
        <v>0</v>
      </c>
      <c r="I2294" s="1521">
        <v>0</v>
      </c>
      <c r="J2294" s="1538">
        <v>0</v>
      </c>
      <c r="K2294" s="1525"/>
      <c r="L2294" s="1519">
        <v>13313001500</v>
      </c>
      <c r="M2294" s="1520">
        <v>1</v>
      </c>
      <c r="N2294" s="1520">
        <v>0</v>
      </c>
      <c r="O2294" s="1521">
        <v>1</v>
      </c>
    </row>
    <row r="2295" spans="3:15" ht="13.5">
      <c r="C2295" s="1526" t="s">
        <v>6256</v>
      </c>
      <c r="D2295" s="1523">
        <v>0</v>
      </c>
      <c r="E2295" s="1523">
        <v>0</v>
      </c>
      <c r="F2295" s="1524">
        <v>0</v>
      </c>
      <c r="G2295" s="1537" t="s">
        <v>6256</v>
      </c>
      <c r="H2295" s="1521">
        <v>0</v>
      </c>
      <c r="I2295" s="1521">
        <v>0</v>
      </c>
      <c r="J2295" s="1538">
        <v>0</v>
      </c>
      <c r="K2295" s="1525"/>
      <c r="L2295" s="1519">
        <v>13315960100</v>
      </c>
      <c r="M2295" s="1520">
        <v>0</v>
      </c>
      <c r="N2295" s="1520">
        <v>0</v>
      </c>
      <c r="O2295" s="1521">
        <v>0</v>
      </c>
    </row>
    <row r="2296" spans="3:15" ht="13.5">
      <c r="C2296" s="1526" t="s">
        <v>6257</v>
      </c>
      <c r="D2296" s="1523">
        <v>0</v>
      </c>
      <c r="E2296" s="1523">
        <v>0</v>
      </c>
      <c r="F2296" s="1524">
        <v>0</v>
      </c>
      <c r="G2296" s="1537" t="s">
        <v>6257</v>
      </c>
      <c r="H2296" s="1521">
        <v>0</v>
      </c>
      <c r="I2296" s="1521">
        <v>0</v>
      </c>
      <c r="J2296" s="1538">
        <v>0</v>
      </c>
      <c r="K2296" s="1525"/>
      <c r="L2296" s="1519">
        <v>13315960200</v>
      </c>
      <c r="M2296" s="1520">
        <v>0</v>
      </c>
      <c r="N2296" s="1520">
        <v>0</v>
      </c>
      <c r="O2296" s="1521">
        <v>0</v>
      </c>
    </row>
    <row r="2297" spans="3:15" ht="13.5">
      <c r="C2297" s="1526" t="s">
        <v>6258</v>
      </c>
      <c r="D2297" s="1523">
        <v>0</v>
      </c>
      <c r="E2297" s="1523">
        <v>0</v>
      </c>
      <c r="F2297" s="1524">
        <v>0</v>
      </c>
      <c r="G2297" s="1537" t="s">
        <v>6258</v>
      </c>
      <c r="H2297" s="1521">
        <v>0</v>
      </c>
      <c r="I2297" s="1521">
        <v>0</v>
      </c>
      <c r="J2297" s="1538">
        <v>0</v>
      </c>
      <c r="K2297" s="1525"/>
      <c r="L2297" s="1519">
        <v>13315960300</v>
      </c>
      <c r="M2297" s="1520">
        <v>0</v>
      </c>
      <c r="N2297" s="1520">
        <v>0</v>
      </c>
      <c r="O2297" s="1521">
        <v>0</v>
      </c>
    </row>
    <row r="2298" spans="3:15" ht="13.5">
      <c r="C2298" s="1526" t="s">
        <v>6259</v>
      </c>
      <c r="D2298" s="1523">
        <v>0</v>
      </c>
      <c r="E2298" s="1523">
        <v>0</v>
      </c>
      <c r="F2298" s="1524">
        <v>0</v>
      </c>
      <c r="G2298" s="1537" t="s">
        <v>6259</v>
      </c>
      <c r="H2298" s="1521">
        <v>0</v>
      </c>
      <c r="I2298" s="1521">
        <v>0</v>
      </c>
      <c r="J2298" s="1538">
        <v>0</v>
      </c>
      <c r="K2298" s="1525"/>
      <c r="L2298" s="1519">
        <v>13315960400</v>
      </c>
      <c r="M2298" s="1520">
        <v>0</v>
      </c>
      <c r="N2298" s="1520">
        <v>0</v>
      </c>
      <c r="O2298" s="1521">
        <v>0</v>
      </c>
    </row>
    <row r="2299" spans="3:15" ht="13.5">
      <c r="C2299" s="1526" t="s">
        <v>6260</v>
      </c>
      <c r="D2299" s="1523">
        <v>0</v>
      </c>
      <c r="E2299" s="1523">
        <v>0</v>
      </c>
      <c r="F2299" s="1524">
        <v>0</v>
      </c>
      <c r="G2299" s="1537" t="s">
        <v>6260</v>
      </c>
      <c r="H2299" s="1521">
        <v>0</v>
      </c>
      <c r="I2299" s="1521">
        <v>1</v>
      </c>
      <c r="J2299" s="1538">
        <v>1</v>
      </c>
      <c r="K2299" s="1525"/>
      <c r="L2299" s="1519">
        <v>13317010101</v>
      </c>
      <c r="M2299" s="1520">
        <v>0</v>
      </c>
      <c r="N2299" s="1520">
        <v>1</v>
      </c>
      <c r="O2299" s="1521">
        <v>1</v>
      </c>
    </row>
    <row r="2300" spans="3:15" ht="13.5">
      <c r="C2300" s="1526" t="s">
        <v>6261</v>
      </c>
      <c r="D2300" s="1523">
        <v>0</v>
      </c>
      <c r="E2300" s="1523">
        <v>0</v>
      </c>
      <c r="F2300" s="1524">
        <v>0</v>
      </c>
      <c r="G2300" s="1537" t="s">
        <v>6261</v>
      </c>
      <c r="H2300" s="1521">
        <v>0</v>
      </c>
      <c r="I2300" s="1521">
        <v>0</v>
      </c>
      <c r="J2300" s="1538">
        <v>0</v>
      </c>
      <c r="K2300" s="1525"/>
      <c r="L2300" s="1519">
        <v>13317010102</v>
      </c>
      <c r="M2300" s="1520">
        <v>0</v>
      </c>
      <c r="N2300" s="1520">
        <v>0</v>
      </c>
      <c r="O2300" s="1521">
        <v>0</v>
      </c>
    </row>
    <row r="2301" spans="3:15" ht="13.5">
      <c r="C2301" s="1526" t="s">
        <v>6262</v>
      </c>
      <c r="D2301" s="1523">
        <v>1</v>
      </c>
      <c r="E2301" s="1523">
        <v>0</v>
      </c>
      <c r="F2301" s="1524">
        <v>1</v>
      </c>
      <c r="G2301" s="1537" t="s">
        <v>6262</v>
      </c>
      <c r="H2301" s="1521">
        <v>0</v>
      </c>
      <c r="I2301" s="1521">
        <v>0</v>
      </c>
      <c r="J2301" s="1538">
        <v>0</v>
      </c>
      <c r="K2301" s="1525"/>
      <c r="L2301" s="1519">
        <v>13317010301</v>
      </c>
      <c r="M2301" s="1520">
        <v>1</v>
      </c>
      <c r="N2301" s="1520">
        <v>0</v>
      </c>
      <c r="O2301" s="1521">
        <v>1</v>
      </c>
    </row>
    <row r="2302" spans="3:15" ht="13.5">
      <c r="C2302" s="1526" t="s">
        <v>6263</v>
      </c>
      <c r="D2302" s="1523">
        <v>0</v>
      </c>
      <c r="E2302" s="1523">
        <v>0</v>
      </c>
      <c r="F2302" s="1524">
        <v>0</v>
      </c>
      <c r="G2302" s="1537" t="s">
        <v>6263</v>
      </c>
      <c r="H2302" s="1521">
        <v>0</v>
      </c>
      <c r="I2302" s="1521">
        <v>0</v>
      </c>
      <c r="J2302" s="1538">
        <v>0</v>
      </c>
      <c r="K2302" s="1525"/>
      <c r="L2302" s="1519">
        <v>13317010302</v>
      </c>
      <c r="M2302" s="1520">
        <v>0</v>
      </c>
      <c r="N2302" s="1520">
        <v>0</v>
      </c>
      <c r="O2302" s="1521">
        <v>0</v>
      </c>
    </row>
    <row r="2303" spans="3:15" ht="13.5">
      <c r="C2303" s="1526" t="s">
        <v>6264</v>
      </c>
      <c r="D2303" s="1523">
        <v>0</v>
      </c>
      <c r="E2303" s="1523">
        <v>0</v>
      </c>
      <c r="F2303" s="1524">
        <v>0</v>
      </c>
      <c r="G2303" s="1537" t="s">
        <v>6264</v>
      </c>
      <c r="H2303" s="1521">
        <v>0</v>
      </c>
      <c r="I2303" s="1521">
        <v>0</v>
      </c>
      <c r="J2303" s="1538">
        <v>0</v>
      </c>
      <c r="K2303" s="1525"/>
      <c r="L2303" s="1519">
        <v>13319960200</v>
      </c>
      <c r="M2303" s="1520">
        <v>0</v>
      </c>
      <c r="N2303" s="1520">
        <v>0</v>
      </c>
      <c r="O2303" s="1521">
        <v>0</v>
      </c>
    </row>
    <row r="2304" spans="3:15" ht="13.5">
      <c r="C2304" s="1526" t="s">
        <v>6265</v>
      </c>
      <c r="D2304" s="1523">
        <v>0</v>
      </c>
      <c r="E2304" s="1523">
        <v>0</v>
      </c>
      <c r="F2304" s="1524">
        <v>0</v>
      </c>
      <c r="G2304" s="1537" t="s">
        <v>6265</v>
      </c>
      <c r="H2304" s="1521">
        <v>0</v>
      </c>
      <c r="I2304" s="1521">
        <v>1</v>
      </c>
      <c r="J2304" s="1538">
        <v>1</v>
      </c>
      <c r="K2304" s="1525"/>
      <c r="L2304" s="1519">
        <v>13319960300</v>
      </c>
      <c r="M2304" s="1520">
        <v>0</v>
      </c>
      <c r="N2304" s="1520">
        <v>1</v>
      </c>
      <c r="O2304" s="1521">
        <v>1</v>
      </c>
    </row>
    <row r="2305" spans="3:15" ht="13.5">
      <c r="C2305" s="1526" t="s">
        <v>6266</v>
      </c>
      <c r="D2305" s="1523">
        <v>0</v>
      </c>
      <c r="E2305" s="1523">
        <v>0</v>
      </c>
      <c r="F2305" s="1524">
        <v>0</v>
      </c>
      <c r="G2305" s="1537" t="s">
        <v>6266</v>
      </c>
      <c r="H2305" s="1521">
        <v>0</v>
      </c>
      <c r="I2305" s="1521">
        <v>0</v>
      </c>
      <c r="J2305" s="1538">
        <v>0</v>
      </c>
      <c r="K2305" s="1525"/>
      <c r="L2305" s="1519">
        <v>13319960400</v>
      </c>
      <c r="M2305" s="1520">
        <v>0</v>
      </c>
      <c r="N2305" s="1520">
        <v>0</v>
      </c>
      <c r="O2305" s="1521">
        <v>0</v>
      </c>
    </row>
    <row r="2306" spans="3:15" ht="13.5">
      <c r="C2306" s="1526" t="s">
        <v>6267</v>
      </c>
      <c r="D2306" s="1523">
        <v>0</v>
      </c>
      <c r="E2306" s="1523">
        <v>0</v>
      </c>
      <c r="F2306" s="1524">
        <v>0</v>
      </c>
      <c r="G2306" s="1537" t="s">
        <v>6267</v>
      </c>
      <c r="H2306" s="1521">
        <v>0</v>
      </c>
      <c r="I2306" s="1521">
        <v>0</v>
      </c>
      <c r="J2306" s="1538">
        <v>0</v>
      </c>
      <c r="K2306" s="1525"/>
      <c r="L2306" s="1519">
        <v>13321950100</v>
      </c>
      <c r="M2306" s="1520">
        <v>0</v>
      </c>
      <c r="N2306" s="1520">
        <v>0</v>
      </c>
      <c r="O2306" s="1521">
        <v>0</v>
      </c>
    </row>
    <row r="2307" spans="3:15" ht="13.5">
      <c r="C2307" s="1526" t="s">
        <v>6268</v>
      </c>
      <c r="D2307" s="1523">
        <v>0</v>
      </c>
      <c r="E2307" s="1523">
        <v>0</v>
      </c>
      <c r="F2307" s="1524">
        <v>0</v>
      </c>
      <c r="G2307" s="1537" t="s">
        <v>6268</v>
      </c>
      <c r="H2307" s="1521">
        <v>0</v>
      </c>
      <c r="I2307" s="1521">
        <v>0</v>
      </c>
      <c r="J2307" s="1538">
        <v>0</v>
      </c>
      <c r="K2307" s="1525"/>
      <c r="L2307" s="1519">
        <v>13321950200</v>
      </c>
      <c r="M2307" s="1520">
        <v>0</v>
      </c>
      <c r="N2307" s="1520">
        <v>0</v>
      </c>
      <c r="O2307" s="1521">
        <v>0</v>
      </c>
    </row>
    <row r="2308" spans="3:15" ht="13.5">
      <c r="C2308" s="1526" t="s">
        <v>6269</v>
      </c>
      <c r="D2308" s="1523">
        <v>0</v>
      </c>
      <c r="E2308" s="1523">
        <v>0</v>
      </c>
      <c r="F2308" s="1524">
        <v>0</v>
      </c>
      <c r="G2308" s="1537" t="s">
        <v>6269</v>
      </c>
      <c r="H2308" s="1521">
        <v>0</v>
      </c>
      <c r="I2308" s="1521">
        <v>0</v>
      </c>
      <c r="J2308" s="1538">
        <v>0</v>
      </c>
      <c r="K2308" s="1525"/>
      <c r="L2308" s="1519">
        <v>13321950400</v>
      </c>
      <c r="M2308" s="1520">
        <v>0</v>
      </c>
      <c r="N2308" s="1520">
        <v>0</v>
      </c>
      <c r="O2308" s="1521">
        <v>0</v>
      </c>
    </row>
    <row r="2309" spans="3:15" ht="13.5">
      <c r="C2309" s="1526" t="s">
        <v>6270</v>
      </c>
      <c r="D2309" s="1523">
        <v>0</v>
      </c>
      <c r="E2309" s="1523">
        <v>0</v>
      </c>
      <c r="F2309" s="1524">
        <v>0</v>
      </c>
      <c r="G2309" s="1537" t="s">
        <v>6270</v>
      </c>
      <c r="H2309" s="1521">
        <v>0</v>
      </c>
      <c r="I2309" s="1521">
        <v>0</v>
      </c>
      <c r="J2309" s="1538">
        <v>0</v>
      </c>
      <c r="K2309" s="1525"/>
      <c r="L2309" s="1519">
        <v>13321950500</v>
      </c>
      <c r="M2309" s="1520">
        <v>0</v>
      </c>
      <c r="N2309" s="1520">
        <v>0</v>
      </c>
      <c r="O2309" s="1521">
        <v>0</v>
      </c>
    </row>
    <row r="2310" spans="3:15" ht="13.5">
      <c r="C2310" s="1527" t="s">
        <v>6271</v>
      </c>
      <c r="D2310" s="1528">
        <v>0</v>
      </c>
      <c r="E2310" s="1528">
        <v>0</v>
      </c>
      <c r="F2310" s="1529">
        <v>0</v>
      </c>
      <c r="G2310" s="1539" t="s">
        <v>6271</v>
      </c>
      <c r="H2310" s="1540">
        <v>1</v>
      </c>
      <c r="I2310" s="1540">
        <v>0</v>
      </c>
      <c r="J2310" s="1541">
        <v>1</v>
      </c>
      <c r="K2310" s="1525"/>
      <c r="L2310" s="1519">
        <v>13321950600</v>
      </c>
      <c r="M2310" s="1520">
        <v>1</v>
      </c>
      <c r="N2310" s="1520">
        <v>0</v>
      </c>
      <c r="O2310" s="1521">
        <v>1</v>
      </c>
    </row>
  </sheetData>
  <sheetProtection algorithmName="SHA-512" hashValue="L1YDr/Y0s21MQ4KCSGso0Hmg0HpDYJpLowt16yz7lAKRJDKdiEd8DBJAkfFk5nJpkjy8O+w9UVz9e6/QMyDMAA==" saltValue="Dww4NvMX/fOvawnoSS0TPw=="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2"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4"/>
      <c r="D1" s="1809" t="s">
        <v>6631</v>
      </c>
      <c r="E1" s="1809" t="s">
        <v>6621</v>
      </c>
      <c r="F1" s="1809" t="s">
        <v>6632</v>
      </c>
      <c r="H1" s="1809" t="s">
        <v>6633</v>
      </c>
      <c r="J1" s="1809" t="s">
        <v>6634</v>
      </c>
      <c r="K1" s="1809" t="s">
        <v>6635</v>
      </c>
      <c r="L1" s="1809" t="s">
        <v>6636</v>
      </c>
      <c r="M1" s="1809" t="s">
        <v>6637</v>
      </c>
      <c r="O1" s="1809" t="s">
        <v>6638</v>
      </c>
      <c r="Q1" s="1809" t="s">
        <v>6639</v>
      </c>
      <c r="Z1" s="1773">
        <v>1</v>
      </c>
    </row>
    <row r="2" spans="1:27" s="289" customFormat="1" ht="14.1" customHeight="1">
      <c r="A2" s="3398" t="str">
        <f>CONCATENATE("PART TWO - DEVELOPMENT TEAM INFORMATION","  -  ",'Part I-Project Information'!$O$7," ",'Part I-Project Information'!$F$35,", ",'Part I-Project Information'!F39,", ",'Part I-Project Information'!J40," County")</f>
        <v>PART TWO - DEVELOPMENT TEAM INFORMATION  -  2021-015 The Peaks at Turnberry, Rincon, Effingham County</v>
      </c>
      <c r="B2" s="3399"/>
      <c r="C2" s="3399"/>
      <c r="D2" s="3399"/>
      <c r="E2" s="3399"/>
      <c r="F2" s="3399"/>
      <c r="G2" s="3399"/>
      <c r="H2" s="3399"/>
      <c r="I2" s="3399"/>
      <c r="J2" s="3399"/>
      <c r="K2" s="3399"/>
      <c r="L2" s="3399"/>
      <c r="M2" s="3399"/>
      <c r="N2" s="3399"/>
      <c r="O2" s="3399"/>
      <c r="P2" s="3399"/>
      <c r="Q2" s="3399"/>
      <c r="R2" s="3399"/>
      <c r="S2" s="3400"/>
      <c r="Z2" s="1773">
        <v>2</v>
      </c>
    </row>
    <row r="3" spans="1:27" ht="12" customHeight="1" thickBot="1">
      <c r="A3" s="831" t="s">
        <v>3813</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1773</v>
      </c>
      <c r="C4" s="294"/>
      <c r="E4" s="294"/>
      <c r="F4" s="294"/>
      <c r="G4" s="294"/>
      <c r="H4" s="1053" t="s">
        <v>3615</v>
      </c>
      <c r="O4" s="3401" t="str">
        <f>'Part I-Project Information'!$B$7</f>
        <v>2021 Core App
May 10 Rev</v>
      </c>
      <c r="P4" s="3402"/>
      <c r="Q4" s="3402"/>
      <c r="R4" s="3402"/>
      <c r="S4" s="3403"/>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1894</v>
      </c>
      <c r="C6" s="294" t="s">
        <v>1769</v>
      </c>
      <c r="H6" s="3392" t="s">
        <v>6963</v>
      </c>
      <c r="I6" s="3393"/>
      <c r="J6" s="3393"/>
      <c r="K6" s="3393"/>
      <c r="L6" s="3393"/>
      <c r="M6" s="3393"/>
      <c r="N6" s="3394"/>
      <c r="O6" s="2621" t="s">
        <v>1900</v>
      </c>
      <c r="P6" s="2621"/>
      <c r="Q6" s="3175" t="s">
        <v>6937</v>
      </c>
      <c r="R6" s="3390"/>
      <c r="S6" s="3391"/>
      <c r="Y6" s="922"/>
      <c r="Z6" s="1773">
        <v>6</v>
      </c>
      <c r="AA6" s="2628"/>
    </row>
    <row r="7" spans="1:27" s="289" customFormat="1" ht="11.25" customHeight="1">
      <c r="D7" s="326"/>
      <c r="E7" s="2619" t="s">
        <v>982</v>
      </c>
      <c r="F7" s="301"/>
      <c r="H7" s="3146" t="s">
        <v>6939</v>
      </c>
      <c r="I7" s="3395"/>
      <c r="J7" s="3395"/>
      <c r="K7" s="3396"/>
      <c r="L7" s="3395"/>
      <c r="M7" s="3395"/>
      <c r="N7" s="3397"/>
      <c r="O7" s="2621" t="s">
        <v>1668</v>
      </c>
      <c r="Q7" s="3175" t="s">
        <v>6862</v>
      </c>
      <c r="R7" s="3390"/>
      <c r="S7" s="3391"/>
      <c r="V7" s="922"/>
      <c r="W7" s="922"/>
      <c r="X7" s="922"/>
      <c r="Y7" s="922"/>
      <c r="Z7" s="1773">
        <v>7</v>
      </c>
      <c r="AA7" s="2628"/>
    </row>
    <row r="8" spans="1:27" s="289" customFormat="1" ht="11.25" customHeight="1">
      <c r="D8" s="326"/>
      <c r="E8" s="2619" t="s">
        <v>588</v>
      </c>
      <c r="H8" s="3146" t="s">
        <v>6940</v>
      </c>
      <c r="I8" s="3396"/>
      <c r="J8" s="3267"/>
      <c r="K8" s="2753" t="s">
        <v>732</v>
      </c>
      <c r="L8" s="3171" t="s">
        <v>6863</v>
      </c>
      <c r="M8" s="3395"/>
      <c r="N8" s="3397"/>
      <c r="O8" s="2621" t="s">
        <v>1644</v>
      </c>
      <c r="Q8" s="3386">
        <v>2057229331</v>
      </c>
      <c r="R8" s="3387"/>
      <c r="S8" s="3388"/>
      <c r="Z8" s="1773">
        <v>8</v>
      </c>
    </row>
    <row r="9" spans="1:27" s="289" customFormat="1" ht="11.25" customHeight="1">
      <c r="D9" s="326"/>
      <c r="E9" s="2619" t="s">
        <v>1717</v>
      </c>
      <c r="H9" s="2695" t="s">
        <v>805</v>
      </c>
      <c r="I9" s="916" t="s">
        <v>2129</v>
      </c>
      <c r="J9" s="3382">
        <v>354061835</v>
      </c>
      <c r="K9" s="3383"/>
      <c r="L9" s="289" t="s">
        <v>3324</v>
      </c>
      <c r="M9" s="3384" t="s">
        <v>6864</v>
      </c>
      <c r="N9" s="3385"/>
      <c r="O9" s="2621" t="s">
        <v>1890</v>
      </c>
      <c r="Q9" s="3386">
        <v>2053948000</v>
      </c>
      <c r="R9" s="3387"/>
      <c r="S9" s="3388"/>
      <c r="Z9" s="1773">
        <v>9</v>
      </c>
    </row>
    <row r="10" spans="1:27" s="289" customFormat="1" ht="11.25" customHeight="1">
      <c r="D10" s="326"/>
      <c r="E10" s="2619" t="s">
        <v>3616</v>
      </c>
      <c r="H10" s="3389">
        <v>2057229331</v>
      </c>
      <c r="I10" s="3388"/>
      <c r="J10" s="2754"/>
      <c r="K10" s="2630" t="s">
        <v>1895</v>
      </c>
      <c r="L10" s="3175" t="s">
        <v>6941</v>
      </c>
      <c r="M10" s="3148"/>
      <c r="N10" s="3148"/>
      <c r="O10" s="3173"/>
      <c r="P10" s="3173"/>
      <c r="Q10" s="3148"/>
      <c r="R10" s="3148"/>
      <c r="S10" s="3174"/>
      <c r="Z10" s="1773">
        <v>10</v>
      </c>
    </row>
    <row r="11" spans="1:27" s="289" customFormat="1" ht="11.25" customHeight="1">
      <c r="D11" s="326"/>
      <c r="E11" s="1053" t="s">
        <v>3615</v>
      </c>
      <c r="H11" s="322"/>
      <c r="K11" s="265"/>
      <c r="N11" s="356" t="s">
        <v>3258</v>
      </c>
      <c r="Q11" s="2630"/>
      <c r="Z11" s="1773">
        <v>11</v>
      </c>
    </row>
    <row r="12" spans="1:27" s="289" customFormat="1" ht="4.3499999999999996" customHeight="1">
      <c r="D12" s="327"/>
      <c r="E12" s="2619"/>
      <c r="F12" s="294"/>
      <c r="G12" s="294"/>
      <c r="H12" s="294"/>
      <c r="I12" s="294"/>
      <c r="J12" s="294"/>
      <c r="N12" s="294"/>
      <c r="O12" s="294"/>
      <c r="P12" s="294"/>
      <c r="Q12" s="294"/>
      <c r="R12" s="294"/>
      <c r="S12" s="294"/>
      <c r="T12" s="294"/>
      <c r="Z12" s="1773">
        <v>12</v>
      </c>
    </row>
    <row r="13" spans="1:27" s="289" customFormat="1" ht="11.25" customHeight="1">
      <c r="B13" s="325" t="s">
        <v>1896</v>
      </c>
      <c r="C13" s="294" t="s">
        <v>1770</v>
      </c>
      <c r="F13" s="294"/>
      <c r="G13" s="294"/>
      <c r="H13" s="294"/>
      <c r="I13" s="294"/>
      <c r="N13" s="2755" t="s">
        <v>1236</v>
      </c>
      <c r="W13" s="2755"/>
      <c r="X13" s="2755"/>
      <c r="Y13" s="2755"/>
      <c r="Z13" s="1773">
        <v>13</v>
      </c>
    </row>
    <row r="14" spans="1:27" s="289" customFormat="1" ht="11.25" customHeight="1">
      <c r="C14" s="328" t="s">
        <v>1897</v>
      </c>
      <c r="D14" s="325" t="s">
        <v>1898</v>
      </c>
      <c r="H14" s="2628"/>
      <c r="I14" s="2628"/>
      <c r="J14" s="2628"/>
      <c r="N14" s="926"/>
      <c r="W14" s="2756"/>
      <c r="X14" s="2756"/>
      <c r="Y14" s="2756"/>
      <c r="Z14" s="1773">
        <v>14</v>
      </c>
    </row>
    <row r="15" spans="1:27" s="289" customFormat="1" ht="11.25" customHeight="1">
      <c r="D15" s="291" t="s">
        <v>2023</v>
      </c>
      <c r="E15" s="289" t="s">
        <v>1771</v>
      </c>
      <c r="H15" s="3175" t="s">
        <v>6964</v>
      </c>
      <c r="I15" s="3390"/>
      <c r="J15" s="3390"/>
      <c r="K15" s="3390"/>
      <c r="L15" s="3390"/>
      <c r="M15" s="3390"/>
      <c r="N15" s="3391"/>
      <c r="O15" s="2621" t="s">
        <v>1900</v>
      </c>
      <c r="P15" s="2621"/>
      <c r="Q15" s="3175" t="s">
        <v>6937</v>
      </c>
      <c r="R15" s="3390"/>
      <c r="S15" s="3391"/>
      <c r="Z15" s="1773">
        <v>15</v>
      </c>
    </row>
    <row r="16" spans="1:27" s="289" customFormat="1" ht="11.25" customHeight="1">
      <c r="D16" s="326"/>
      <c r="E16" s="2619" t="s">
        <v>982</v>
      </c>
      <c r="F16" s="301"/>
      <c r="H16" s="3146" t="s">
        <v>6939</v>
      </c>
      <c r="I16" s="3395"/>
      <c r="J16" s="3395"/>
      <c r="K16" s="3396"/>
      <c r="L16" s="3395"/>
      <c r="M16" s="3395"/>
      <c r="N16" s="3397"/>
      <c r="O16" s="2621" t="s">
        <v>1668</v>
      </c>
      <c r="Q16" s="3175" t="s">
        <v>6862</v>
      </c>
      <c r="R16" s="3390"/>
      <c r="S16" s="3391"/>
      <c r="Z16" s="1773">
        <v>16</v>
      </c>
    </row>
    <row r="17" spans="4:26" s="289" customFormat="1" ht="11.25" customHeight="1">
      <c r="D17" s="326"/>
      <c r="E17" s="2619" t="s">
        <v>588</v>
      </c>
      <c r="H17" s="3146" t="s">
        <v>6940</v>
      </c>
      <c r="I17" s="3396"/>
      <c r="J17" s="3267"/>
      <c r="K17" s="2636" t="s">
        <v>2554</v>
      </c>
      <c r="L17" s="3146" t="s">
        <v>931</v>
      </c>
      <c r="M17" s="3395"/>
      <c r="N17" s="3267"/>
      <c r="O17" s="2621" t="s">
        <v>1644</v>
      </c>
      <c r="Q17" s="3386">
        <v>2057229331</v>
      </c>
      <c r="R17" s="3387"/>
      <c r="S17" s="3388"/>
      <c r="Z17" s="1773">
        <v>17</v>
      </c>
    </row>
    <row r="18" spans="4:26" s="289" customFormat="1" ht="11.25" customHeight="1">
      <c r="D18" s="291"/>
      <c r="E18" s="2619" t="s">
        <v>1717</v>
      </c>
      <c r="H18" s="2695" t="s">
        <v>805</v>
      </c>
      <c r="K18" s="916" t="s">
        <v>2129</v>
      </c>
      <c r="L18" s="3382">
        <v>354061835</v>
      </c>
      <c r="M18" s="3383"/>
      <c r="O18" s="2621" t="s">
        <v>1890</v>
      </c>
      <c r="Q18" s="3386">
        <v>2053948000</v>
      </c>
      <c r="R18" s="3387"/>
      <c r="S18" s="3388"/>
      <c r="Z18" s="1773">
        <v>18</v>
      </c>
    </row>
    <row r="19" spans="4:26" s="289" customFormat="1" ht="11.25" customHeight="1">
      <c r="D19" s="326"/>
      <c r="E19" s="2619" t="s">
        <v>3616</v>
      </c>
      <c r="H19" s="3389">
        <v>2057229331</v>
      </c>
      <c r="I19" s="3388"/>
      <c r="J19" s="2754"/>
      <c r="K19" s="2630" t="s">
        <v>1895</v>
      </c>
      <c r="L19" s="3175" t="s">
        <v>6941</v>
      </c>
      <c r="M19" s="3148"/>
      <c r="N19" s="3148"/>
      <c r="O19" s="3173"/>
      <c r="P19" s="3173"/>
      <c r="Q19" s="3148"/>
      <c r="R19" s="3148"/>
      <c r="S19" s="3174"/>
      <c r="Z19" s="1773">
        <v>19</v>
      </c>
    </row>
    <row r="20" spans="4:26" ht="4.3499999999999996" customHeight="1">
      <c r="D20" s="315"/>
      <c r="H20" s="2757"/>
      <c r="I20" s="2757"/>
      <c r="J20" s="2757"/>
      <c r="K20" s="2630"/>
      <c r="L20" s="2757"/>
      <c r="M20" s="2757"/>
      <c r="N20" s="2623"/>
      <c r="O20" s="2758"/>
      <c r="P20" s="2758"/>
      <c r="Q20" s="2630"/>
      <c r="R20" s="2758"/>
      <c r="S20" s="2758"/>
      <c r="Z20" s="1773">
        <v>20</v>
      </c>
    </row>
    <row r="21" spans="4:26" s="289" customFormat="1" ht="11.25" customHeight="1">
      <c r="D21" s="291" t="s">
        <v>2024</v>
      </c>
      <c r="E21" s="289" t="s">
        <v>1772</v>
      </c>
      <c r="F21" s="2628"/>
      <c r="H21" s="3392"/>
      <c r="I21" s="3393"/>
      <c r="J21" s="3393"/>
      <c r="K21" s="3393"/>
      <c r="L21" s="3393"/>
      <c r="M21" s="3393"/>
      <c r="N21" s="3394"/>
      <c r="O21" s="2621" t="s">
        <v>1900</v>
      </c>
      <c r="P21" s="2621"/>
      <c r="Q21" s="3392"/>
      <c r="R21" s="3393"/>
      <c r="S21" s="3394"/>
      <c r="Z21" s="1773">
        <v>21</v>
      </c>
    </row>
    <row r="22" spans="4:26" s="289" customFormat="1" ht="11.25" customHeight="1">
      <c r="D22" s="326"/>
      <c r="E22" s="2619" t="s">
        <v>982</v>
      </c>
      <c r="F22" s="301"/>
      <c r="H22" s="3146"/>
      <c r="I22" s="3395"/>
      <c r="J22" s="3395"/>
      <c r="K22" s="3396"/>
      <c r="L22" s="3395"/>
      <c r="M22" s="3395"/>
      <c r="N22" s="3397"/>
      <c r="O22" s="2621" t="s">
        <v>1668</v>
      </c>
      <c r="Q22" s="3168"/>
      <c r="R22" s="3254"/>
      <c r="S22" s="3255"/>
      <c r="Z22" s="1773">
        <v>22</v>
      </c>
    </row>
    <row r="23" spans="4:26" s="289" customFormat="1" ht="11.25" customHeight="1">
      <c r="D23" s="326"/>
      <c r="E23" s="2619" t="s">
        <v>588</v>
      </c>
      <c r="H23" s="3146"/>
      <c r="I23" s="3396"/>
      <c r="J23" s="3267"/>
      <c r="K23" s="2636" t="s">
        <v>2554</v>
      </c>
      <c r="L23" s="3146"/>
      <c r="M23" s="3395"/>
      <c r="N23" s="3267"/>
      <c r="O23" s="2621" t="s">
        <v>1644</v>
      </c>
      <c r="Q23" s="3364"/>
      <c r="R23" s="3365"/>
      <c r="S23" s="3366"/>
      <c r="Z23" s="1773">
        <v>23</v>
      </c>
    </row>
    <row r="24" spans="4:26" s="289" customFormat="1" ht="11.25" customHeight="1">
      <c r="E24" s="2619" t="s">
        <v>1717</v>
      </c>
      <c r="H24" s="2695"/>
      <c r="K24" s="916" t="s">
        <v>2129</v>
      </c>
      <c r="L24" s="3156"/>
      <c r="M24" s="3404"/>
      <c r="O24" s="2621" t="s">
        <v>1890</v>
      </c>
      <c r="Q24" s="3364"/>
      <c r="R24" s="3365"/>
      <c r="S24" s="3366"/>
      <c r="Z24" s="1773">
        <v>24</v>
      </c>
    </row>
    <row r="25" spans="4:26" s="289" customFormat="1" ht="11.25" customHeight="1">
      <c r="D25" s="326"/>
      <c r="E25" s="2619" t="s">
        <v>3616</v>
      </c>
      <c r="H25" s="3389"/>
      <c r="I25" s="3405"/>
      <c r="J25" s="2759"/>
      <c r="K25" s="2630" t="s">
        <v>1895</v>
      </c>
      <c r="L25" s="3371"/>
      <c r="M25" s="3264"/>
      <c r="N25" s="3178"/>
      <c r="O25" s="3178"/>
      <c r="P25" s="3178"/>
      <c r="Q25" s="3264"/>
      <c r="R25" s="3264"/>
      <c r="S25" s="3265"/>
      <c r="Z25" s="1773">
        <v>25</v>
      </c>
    </row>
    <row r="26" spans="4:26" s="289" customFormat="1" ht="4.3499999999999996" customHeight="1">
      <c r="D26" s="326"/>
      <c r="E26" s="2628"/>
      <c r="F26" s="2628"/>
      <c r="G26" s="2621"/>
      <c r="H26" s="2757"/>
      <c r="I26" s="2757"/>
      <c r="J26" s="2757"/>
      <c r="K26" s="2630"/>
      <c r="L26" s="2757"/>
      <c r="M26" s="2757"/>
      <c r="N26" s="2623"/>
      <c r="O26" s="2758"/>
      <c r="P26" s="2758"/>
      <c r="Q26" s="2630"/>
      <c r="R26" s="2758"/>
      <c r="S26" s="2758"/>
      <c r="Z26" s="1773">
        <v>26</v>
      </c>
    </row>
    <row r="27" spans="4:26" s="289" customFormat="1" ht="11.25" customHeight="1">
      <c r="D27" s="291" t="s">
        <v>1655</v>
      </c>
      <c r="E27" s="289" t="s">
        <v>1772</v>
      </c>
      <c r="F27" s="2628"/>
      <c r="H27" s="3392"/>
      <c r="I27" s="3393"/>
      <c r="J27" s="3393"/>
      <c r="K27" s="3393"/>
      <c r="L27" s="3393"/>
      <c r="M27" s="3393"/>
      <c r="N27" s="3394"/>
      <c r="O27" s="2621" t="s">
        <v>1900</v>
      </c>
      <c r="P27" s="2621"/>
      <c r="Q27" s="3392"/>
      <c r="R27" s="3393"/>
      <c r="S27" s="3394"/>
      <c r="Z27" s="1773">
        <v>27</v>
      </c>
    </row>
    <row r="28" spans="4:26" s="289" customFormat="1" ht="11.25" customHeight="1">
      <c r="D28" s="326"/>
      <c r="E28" s="2619" t="s">
        <v>982</v>
      </c>
      <c r="F28" s="301"/>
      <c r="H28" s="3146"/>
      <c r="I28" s="3395"/>
      <c r="J28" s="3395"/>
      <c r="K28" s="3396"/>
      <c r="L28" s="3395"/>
      <c r="M28" s="3395"/>
      <c r="N28" s="3397"/>
      <c r="O28" s="2621" t="s">
        <v>1668</v>
      </c>
      <c r="Q28" s="3168"/>
      <c r="R28" s="3254"/>
      <c r="S28" s="3255"/>
      <c r="Z28" s="1773">
        <v>28</v>
      </c>
    </row>
    <row r="29" spans="4:26" s="289" customFormat="1" ht="11.25" customHeight="1">
      <c r="D29" s="326"/>
      <c r="E29" s="2619" t="s">
        <v>588</v>
      </c>
      <c r="H29" s="3146"/>
      <c r="I29" s="3396"/>
      <c r="J29" s="3267"/>
      <c r="K29" s="2636" t="s">
        <v>2554</v>
      </c>
      <c r="L29" s="3146"/>
      <c r="M29" s="3395"/>
      <c r="N29" s="3267"/>
      <c r="O29" s="2621" t="s">
        <v>1644</v>
      </c>
      <c r="Q29" s="3364"/>
      <c r="R29" s="3365"/>
      <c r="S29" s="3366"/>
      <c r="Z29" s="1773">
        <v>29</v>
      </c>
    </row>
    <row r="30" spans="4:26" s="289" customFormat="1" ht="11.25" customHeight="1">
      <c r="E30" s="2619" t="s">
        <v>1717</v>
      </c>
      <c r="H30" s="2695"/>
      <c r="K30" s="916" t="s">
        <v>2129</v>
      </c>
      <c r="L30" s="3156"/>
      <c r="M30" s="3404"/>
      <c r="O30" s="2621" t="s">
        <v>1890</v>
      </c>
      <c r="Q30" s="3364"/>
      <c r="R30" s="3365"/>
      <c r="S30" s="3366"/>
      <c r="Z30" s="1773">
        <v>30</v>
      </c>
    </row>
    <row r="31" spans="4:26" s="289" customFormat="1" ht="11.25" customHeight="1">
      <c r="D31" s="326"/>
      <c r="E31" s="2619" t="s">
        <v>3616</v>
      </c>
      <c r="H31" s="3389"/>
      <c r="I31" s="3405"/>
      <c r="J31" s="2759"/>
      <c r="K31" s="2630" t="s">
        <v>1895</v>
      </c>
      <c r="L31" s="3371"/>
      <c r="M31" s="3264"/>
      <c r="N31" s="3178"/>
      <c r="O31" s="3178"/>
      <c r="P31" s="3178"/>
      <c r="Q31" s="3264"/>
      <c r="R31" s="3264"/>
      <c r="S31" s="3265"/>
      <c r="Z31" s="1773">
        <v>31</v>
      </c>
    </row>
    <row r="32" spans="4:26" ht="4.3499999999999996" customHeight="1">
      <c r="Z32" s="1773">
        <v>32</v>
      </c>
    </row>
    <row r="33" spans="3:26" s="289" customFormat="1" ht="11.25" customHeight="1">
      <c r="C33" s="328" t="s">
        <v>1899</v>
      </c>
      <c r="D33" s="325" t="s">
        <v>1774</v>
      </c>
      <c r="H33" s="2628"/>
      <c r="I33" s="2628"/>
      <c r="J33" s="2628"/>
      <c r="K33" s="1053" t="s">
        <v>3615</v>
      </c>
      <c r="L33" s="2628"/>
      <c r="M33" s="2628"/>
      <c r="Z33" s="1773">
        <v>33</v>
      </c>
    </row>
    <row r="34" spans="3:26" s="289" customFormat="1" ht="11.25" customHeight="1">
      <c r="D34" s="291" t="s">
        <v>2023</v>
      </c>
      <c r="E34" s="289" t="s">
        <v>720</v>
      </c>
      <c r="H34" s="3175" t="s">
        <v>7022</v>
      </c>
      <c r="I34" s="3390"/>
      <c r="J34" s="3390"/>
      <c r="K34" s="3390"/>
      <c r="L34" s="3390"/>
      <c r="M34" s="3390"/>
      <c r="N34" s="3391"/>
      <c r="O34" s="2621" t="s">
        <v>1900</v>
      </c>
      <c r="P34" s="2621"/>
      <c r="Q34" s="3175" t="s">
        <v>7025</v>
      </c>
      <c r="R34" s="3390"/>
      <c r="S34" s="3391"/>
      <c r="Z34" s="1773">
        <v>34</v>
      </c>
    </row>
    <row r="35" spans="3:26" s="289" customFormat="1" ht="11.25" customHeight="1">
      <c r="D35" s="326"/>
      <c r="E35" s="2619" t="s">
        <v>982</v>
      </c>
      <c r="F35" s="301"/>
      <c r="H35" s="3175" t="s">
        <v>7023</v>
      </c>
      <c r="I35" s="3390"/>
      <c r="J35" s="3390"/>
      <c r="K35" s="3390"/>
      <c r="L35" s="3390"/>
      <c r="M35" s="3390"/>
      <c r="N35" s="3391"/>
      <c r="O35" s="2621" t="s">
        <v>1668</v>
      </c>
      <c r="Q35" s="3175" t="s">
        <v>7026</v>
      </c>
      <c r="R35" s="3390"/>
      <c r="S35" s="3391"/>
      <c r="Z35" s="1773">
        <v>35</v>
      </c>
    </row>
    <row r="36" spans="3:26" s="289" customFormat="1" ht="11.25" customHeight="1">
      <c r="D36" s="326"/>
      <c r="E36" s="2619" t="s">
        <v>588</v>
      </c>
      <c r="H36" s="3175" t="s">
        <v>6872</v>
      </c>
      <c r="I36" s="3390"/>
      <c r="J36" s="3391"/>
      <c r="K36" s="2636" t="s">
        <v>2554</v>
      </c>
      <c r="L36" s="3146"/>
      <c r="M36" s="3395"/>
      <c r="N36" s="3267"/>
      <c r="O36" s="2621" t="s">
        <v>1644</v>
      </c>
      <c r="Q36" s="3386">
        <v>2058687642</v>
      </c>
      <c r="R36" s="3387"/>
      <c r="S36" s="3388"/>
      <c r="Z36" s="1773">
        <v>36</v>
      </c>
    </row>
    <row r="37" spans="3:26" s="289" customFormat="1" ht="11.25" customHeight="1">
      <c r="E37" s="2619" t="s">
        <v>1717</v>
      </c>
      <c r="H37" s="2695" t="s">
        <v>805</v>
      </c>
      <c r="K37" s="916" t="s">
        <v>2129</v>
      </c>
      <c r="L37" s="3156">
        <v>352090000</v>
      </c>
      <c r="M37" s="3404"/>
      <c r="O37" s="2621" t="s">
        <v>1890</v>
      </c>
      <c r="Q37" s="3386">
        <v>8505546778</v>
      </c>
      <c r="R37" s="3387"/>
      <c r="S37" s="3388"/>
      <c r="Z37" s="1773">
        <v>37</v>
      </c>
    </row>
    <row r="38" spans="3:26" s="289" customFormat="1" ht="11.25" customHeight="1">
      <c r="D38" s="326"/>
      <c r="E38" s="2619" t="s">
        <v>3616</v>
      </c>
      <c r="H38" s="3386">
        <v>8505546778</v>
      </c>
      <c r="I38" s="3388"/>
      <c r="J38" s="2759"/>
      <c r="K38" s="2630" t="s">
        <v>1895</v>
      </c>
      <c r="L38" s="3172" t="s">
        <v>7024</v>
      </c>
      <c r="M38" s="3148"/>
      <c r="N38" s="3173"/>
      <c r="O38" s="3173"/>
      <c r="P38" s="3173"/>
      <c r="Q38" s="3148"/>
      <c r="R38" s="3148"/>
      <c r="S38" s="3174"/>
      <c r="Z38" s="1773">
        <v>38</v>
      </c>
    </row>
    <row r="39" spans="3:26" ht="4.3499999999999996" customHeight="1">
      <c r="H39" s="2757"/>
      <c r="I39" s="2757"/>
      <c r="J39" s="2757"/>
      <c r="K39" s="2630"/>
      <c r="L39" s="2757"/>
      <c r="M39" s="2757"/>
      <c r="N39" s="2623"/>
      <c r="O39" s="2758"/>
      <c r="P39" s="2758"/>
      <c r="Q39" s="2630"/>
      <c r="R39" s="2758"/>
      <c r="S39" s="2758"/>
      <c r="Z39" s="1773">
        <v>39</v>
      </c>
    </row>
    <row r="40" spans="3:26" s="289" customFormat="1" ht="11.25" customHeight="1">
      <c r="D40" s="291" t="s">
        <v>2024</v>
      </c>
      <c r="E40" s="289" t="s">
        <v>721</v>
      </c>
      <c r="F40" s="291"/>
      <c r="H40" s="3392" t="s">
        <v>7015</v>
      </c>
      <c r="I40" s="3393"/>
      <c r="J40" s="3393"/>
      <c r="K40" s="3393"/>
      <c r="L40" s="3393"/>
      <c r="M40" s="3393"/>
      <c r="N40" s="3394"/>
      <c r="O40" s="2621" t="s">
        <v>1900</v>
      </c>
      <c r="P40" s="2621"/>
      <c r="Q40" s="3392" t="s">
        <v>7019</v>
      </c>
      <c r="R40" s="3393"/>
      <c r="S40" s="3394"/>
      <c r="Z40" s="1773">
        <v>40</v>
      </c>
    </row>
    <row r="41" spans="3:26" s="289" customFormat="1" ht="11.25" customHeight="1">
      <c r="D41" s="326"/>
      <c r="E41" s="2619" t="s">
        <v>982</v>
      </c>
      <c r="F41" s="301"/>
      <c r="H41" s="3146" t="s">
        <v>7016</v>
      </c>
      <c r="I41" s="3395"/>
      <c r="J41" s="3395"/>
      <c r="K41" s="3396"/>
      <c r="L41" s="3395"/>
      <c r="M41" s="3395"/>
      <c r="N41" s="3397"/>
      <c r="O41" s="2621" t="s">
        <v>1668</v>
      </c>
      <c r="Q41" s="3168" t="s">
        <v>6967</v>
      </c>
      <c r="R41" s="3254"/>
      <c r="S41" s="3255"/>
      <c r="Z41" s="1773">
        <v>41</v>
      </c>
    </row>
    <row r="42" spans="3:26" s="289" customFormat="1" ht="11.25" customHeight="1">
      <c r="D42" s="326"/>
      <c r="E42" s="2619" t="s">
        <v>588</v>
      </c>
      <c r="H42" s="3146" t="s">
        <v>1159</v>
      </c>
      <c r="I42" s="3396"/>
      <c r="J42" s="3267"/>
      <c r="K42" s="2636" t="s">
        <v>2554</v>
      </c>
      <c r="L42" s="3146" t="s">
        <v>7017</v>
      </c>
      <c r="M42" s="3395"/>
      <c r="N42" s="3267"/>
      <c r="O42" s="2621" t="s">
        <v>1644</v>
      </c>
      <c r="Q42" s="3364">
        <v>4043818839</v>
      </c>
      <c r="R42" s="3365"/>
      <c r="S42" s="3366"/>
      <c r="Z42" s="1773">
        <v>42</v>
      </c>
    </row>
    <row r="43" spans="3:26" s="289" customFormat="1" ht="11.25" customHeight="1">
      <c r="D43" s="291"/>
      <c r="E43" s="2619" t="s">
        <v>1717</v>
      </c>
      <c r="H43" s="2695" t="s">
        <v>815</v>
      </c>
      <c r="K43" s="916" t="s">
        <v>2129</v>
      </c>
      <c r="L43" s="3156">
        <v>303090000</v>
      </c>
      <c r="M43" s="3404"/>
      <c r="O43" s="2621" t="s">
        <v>1890</v>
      </c>
      <c r="Q43" s="3364">
        <v>4043818839</v>
      </c>
      <c r="R43" s="3365"/>
      <c r="S43" s="3366"/>
      <c r="Z43" s="1773">
        <v>43</v>
      </c>
    </row>
    <row r="44" spans="3:26" s="289" customFormat="1" ht="11.25" customHeight="1">
      <c r="D44" s="326"/>
      <c r="E44" s="2619" t="s">
        <v>3616</v>
      </c>
      <c r="H44" s="3389">
        <v>4043431062</v>
      </c>
      <c r="I44" s="3388"/>
      <c r="J44" s="2759"/>
      <c r="K44" s="2630" t="s">
        <v>1895</v>
      </c>
      <c r="L44" s="3172" t="s">
        <v>7018</v>
      </c>
      <c r="M44" s="3148"/>
      <c r="N44" s="3173"/>
      <c r="O44" s="3173"/>
      <c r="P44" s="3173"/>
      <c r="Q44" s="3148"/>
      <c r="R44" s="3148"/>
      <c r="S44" s="3174"/>
      <c r="Z44" s="1773">
        <v>44</v>
      </c>
    </row>
    <row r="45" spans="3:26" s="289" customFormat="1" ht="4.3499999999999996" customHeight="1">
      <c r="D45" s="326"/>
      <c r="E45" s="2619"/>
      <c r="F45" s="291"/>
      <c r="H45" s="322"/>
      <c r="I45" s="322"/>
      <c r="J45" s="2760"/>
      <c r="K45" s="2630"/>
      <c r="L45" s="322"/>
      <c r="M45" s="322"/>
      <c r="N45" s="2630"/>
      <c r="O45" s="322"/>
      <c r="P45" s="322"/>
      <c r="Q45" s="2630"/>
      <c r="R45" s="322"/>
      <c r="S45" s="322"/>
      <c r="Z45" s="1773">
        <v>45</v>
      </c>
    </row>
    <row r="46" spans="3:26" s="289" customFormat="1" ht="11.25" customHeight="1">
      <c r="C46" s="329" t="s">
        <v>2417</v>
      </c>
      <c r="D46" s="325" t="s">
        <v>621</v>
      </c>
      <c r="H46" s="2628"/>
      <c r="I46" s="2628"/>
      <c r="J46" s="2628"/>
      <c r="K46" s="1053" t="s">
        <v>3615</v>
      </c>
      <c r="L46" s="2628"/>
      <c r="M46" s="2628"/>
      <c r="Z46" s="1773">
        <v>46</v>
      </c>
    </row>
    <row r="47" spans="3:26" s="289" customFormat="1" ht="11.25" customHeight="1">
      <c r="E47" s="289" t="s">
        <v>87</v>
      </c>
      <c r="H47" s="3175" t="s">
        <v>6965</v>
      </c>
      <c r="I47" s="3390"/>
      <c r="J47" s="3390"/>
      <c r="K47" s="3390"/>
      <c r="L47" s="3390"/>
      <c r="M47" s="3390"/>
      <c r="N47" s="3391"/>
      <c r="O47" s="2621" t="s">
        <v>1900</v>
      </c>
      <c r="P47" s="2621"/>
      <c r="Q47" s="3175" t="s">
        <v>6937</v>
      </c>
      <c r="R47" s="3390"/>
      <c r="S47" s="3391"/>
      <c r="Z47" s="1773">
        <v>47</v>
      </c>
    </row>
    <row r="48" spans="3:26" s="289" customFormat="1" ht="11.25" customHeight="1">
      <c r="D48" s="326"/>
      <c r="E48" s="2619" t="s">
        <v>982</v>
      </c>
      <c r="F48" s="301"/>
      <c r="H48" s="3146" t="s">
        <v>6939</v>
      </c>
      <c r="I48" s="3395"/>
      <c r="J48" s="3395"/>
      <c r="K48" s="3396"/>
      <c r="L48" s="3395"/>
      <c r="M48" s="3395"/>
      <c r="N48" s="3397"/>
      <c r="O48" s="2621" t="s">
        <v>1668</v>
      </c>
      <c r="Q48" s="3175" t="s">
        <v>6967</v>
      </c>
      <c r="R48" s="3390"/>
      <c r="S48" s="3391"/>
      <c r="Z48" s="1773">
        <v>48</v>
      </c>
    </row>
    <row r="49" spans="1:26" s="289" customFormat="1" ht="11.25" customHeight="1">
      <c r="D49" s="326"/>
      <c r="E49" s="2619" t="s">
        <v>588</v>
      </c>
      <c r="H49" s="3146" t="s">
        <v>6940</v>
      </c>
      <c r="I49" s="3396"/>
      <c r="J49" s="3267"/>
      <c r="K49" s="2636" t="s">
        <v>2554</v>
      </c>
      <c r="L49" s="3146" t="s">
        <v>6966</v>
      </c>
      <c r="M49" s="3395"/>
      <c r="N49" s="3267"/>
      <c r="O49" s="2621" t="s">
        <v>1644</v>
      </c>
      <c r="Q49" s="3386">
        <v>2057229331</v>
      </c>
      <c r="R49" s="3387"/>
      <c r="S49" s="3388"/>
      <c r="Z49" s="1773">
        <v>49</v>
      </c>
    </row>
    <row r="50" spans="1:26" s="289" customFormat="1" ht="11.25" customHeight="1">
      <c r="E50" s="2619" t="s">
        <v>1717</v>
      </c>
      <c r="H50" s="2695" t="s">
        <v>805</v>
      </c>
      <c r="K50" s="916" t="s">
        <v>2129</v>
      </c>
      <c r="L50" s="3382">
        <v>354061835</v>
      </c>
      <c r="M50" s="3383"/>
      <c r="O50" s="2621" t="s">
        <v>1890</v>
      </c>
      <c r="Q50" s="3386">
        <v>2053948000</v>
      </c>
      <c r="R50" s="3387"/>
      <c r="S50" s="3388"/>
      <c r="Z50" s="1773">
        <v>50</v>
      </c>
    </row>
    <row r="51" spans="1:26" s="289" customFormat="1" ht="11.25" customHeight="1">
      <c r="D51" s="326"/>
      <c r="E51" s="2619" t="s">
        <v>3616</v>
      </c>
      <c r="H51" s="3389">
        <v>2057229331</v>
      </c>
      <c r="I51" s="3388"/>
      <c r="J51" s="2759"/>
      <c r="K51" s="2630" t="s">
        <v>1895</v>
      </c>
      <c r="L51" s="3172" t="s">
        <v>6941</v>
      </c>
      <c r="M51" s="3148"/>
      <c r="N51" s="3173"/>
      <c r="O51" s="3173"/>
      <c r="P51" s="3173"/>
      <c r="Q51" s="3148"/>
      <c r="R51" s="3148"/>
      <c r="S51" s="3174"/>
      <c r="Z51" s="1773">
        <v>51</v>
      </c>
    </row>
    <row r="52" spans="1:26" ht="6.75" customHeight="1">
      <c r="Z52" s="1773">
        <v>52</v>
      </c>
    </row>
    <row r="53" spans="1:26" s="289" customFormat="1" ht="13.35" customHeight="1">
      <c r="A53" s="291" t="s">
        <v>710</v>
      </c>
      <c r="B53" s="291" t="s">
        <v>622</v>
      </c>
      <c r="F53" s="291"/>
      <c r="G53" s="2630"/>
      <c r="H53" s="2630"/>
      <c r="I53" s="2630"/>
      <c r="J53" s="2628"/>
      <c r="K53" s="1053" t="s">
        <v>3615</v>
      </c>
      <c r="L53" s="2628"/>
      <c r="M53" s="2628"/>
      <c r="N53" s="2628"/>
      <c r="O53" s="2628"/>
      <c r="P53" s="2628"/>
      <c r="Q53" s="2628"/>
      <c r="R53" s="2628"/>
      <c r="S53" s="2628"/>
      <c r="Z53" s="1773">
        <v>53</v>
      </c>
    </row>
    <row r="54" spans="1:26" s="289" customFormat="1" ht="3" customHeight="1">
      <c r="A54" s="291"/>
      <c r="B54" s="291"/>
      <c r="F54" s="291"/>
      <c r="G54" s="2630"/>
      <c r="H54" s="2761"/>
      <c r="I54" s="2761"/>
      <c r="J54" s="2761"/>
      <c r="K54" s="2623"/>
      <c r="L54" s="2761"/>
      <c r="M54" s="2761"/>
      <c r="N54" s="2623"/>
      <c r="O54" s="2758"/>
      <c r="P54" s="2758"/>
      <c r="Q54" s="2630"/>
      <c r="R54" s="2758"/>
      <c r="S54" s="2758"/>
      <c r="Z54" s="1773">
        <v>54</v>
      </c>
    </row>
    <row r="55" spans="1:26" s="289" customFormat="1" ht="11.25" customHeight="1">
      <c r="B55" s="291" t="s">
        <v>1894</v>
      </c>
      <c r="C55" s="291" t="s">
        <v>271</v>
      </c>
      <c r="H55" s="3175" t="s">
        <v>6968</v>
      </c>
      <c r="I55" s="3390"/>
      <c r="J55" s="3390"/>
      <c r="K55" s="3390"/>
      <c r="L55" s="3390"/>
      <c r="M55" s="3390"/>
      <c r="N55" s="3391"/>
      <c r="O55" s="2621" t="s">
        <v>1900</v>
      </c>
      <c r="P55" s="2621"/>
      <c r="Q55" s="3175" t="s">
        <v>6937</v>
      </c>
      <c r="R55" s="3390"/>
      <c r="S55" s="3391"/>
      <c r="Z55" s="1773">
        <v>55</v>
      </c>
    </row>
    <row r="56" spans="1:26" s="289" customFormat="1" ht="11.25" customHeight="1">
      <c r="D56" s="326"/>
      <c r="E56" s="2619" t="s">
        <v>982</v>
      </c>
      <c r="F56" s="301"/>
      <c r="H56" s="3146" t="s">
        <v>6939</v>
      </c>
      <c r="I56" s="3395"/>
      <c r="J56" s="3395"/>
      <c r="K56" s="3396"/>
      <c r="L56" s="3395"/>
      <c r="M56" s="3395"/>
      <c r="N56" s="3397"/>
      <c r="O56" s="2621" t="s">
        <v>1668</v>
      </c>
      <c r="Q56" s="3175" t="s">
        <v>6967</v>
      </c>
      <c r="R56" s="3390"/>
      <c r="S56" s="3391"/>
      <c r="Z56" s="1773">
        <v>56</v>
      </c>
    </row>
    <row r="57" spans="1:26" s="289" customFormat="1" ht="11.25" customHeight="1">
      <c r="D57" s="326"/>
      <c r="E57" s="2619" t="s">
        <v>588</v>
      </c>
      <c r="H57" s="3146" t="s">
        <v>6940</v>
      </c>
      <c r="I57" s="3396"/>
      <c r="J57" s="3267"/>
      <c r="K57" s="2636" t="s">
        <v>2554</v>
      </c>
      <c r="L57" s="3146" t="s">
        <v>6966</v>
      </c>
      <c r="M57" s="3395"/>
      <c r="N57" s="3267"/>
      <c r="O57" s="2621" t="s">
        <v>1644</v>
      </c>
      <c r="Q57" s="3386">
        <v>2057229331</v>
      </c>
      <c r="R57" s="3387"/>
      <c r="S57" s="3388"/>
      <c r="Z57" s="1773">
        <v>57</v>
      </c>
    </row>
    <row r="58" spans="1:26" s="289" customFormat="1" ht="11.25" customHeight="1">
      <c r="E58" s="2619" t="s">
        <v>1717</v>
      </c>
      <c r="H58" s="2695" t="s">
        <v>805</v>
      </c>
      <c r="K58" s="916" t="s">
        <v>2129</v>
      </c>
      <c r="L58" s="3382">
        <v>354061835</v>
      </c>
      <c r="M58" s="3383"/>
      <c r="O58" s="2621" t="s">
        <v>1890</v>
      </c>
      <c r="Q58" s="3386">
        <v>2053948000</v>
      </c>
      <c r="R58" s="3387"/>
      <c r="S58" s="3388"/>
      <c r="Z58" s="1773">
        <v>58</v>
      </c>
    </row>
    <row r="59" spans="1:26" s="289" customFormat="1" ht="11.25" customHeight="1">
      <c r="D59" s="326"/>
      <c r="E59" s="2619" t="s">
        <v>3616</v>
      </c>
      <c r="H59" s="3389">
        <v>2057229331</v>
      </c>
      <c r="I59" s="3388"/>
      <c r="J59" s="2754"/>
      <c r="K59" s="2630" t="s">
        <v>1895</v>
      </c>
      <c r="L59" s="3172" t="s">
        <v>6941</v>
      </c>
      <c r="M59" s="3148"/>
      <c r="N59" s="3173"/>
      <c r="O59" s="3173"/>
      <c r="P59" s="3173"/>
      <c r="Q59" s="3148"/>
      <c r="R59" s="3148"/>
      <c r="S59" s="3174"/>
      <c r="Z59" s="1773">
        <v>59</v>
      </c>
    </row>
    <row r="60" spans="1:26" s="289" customFormat="1" ht="6.6" customHeight="1">
      <c r="D60" s="326"/>
      <c r="E60" s="2628"/>
      <c r="F60" s="2628"/>
      <c r="G60" s="2621"/>
      <c r="H60" s="2757"/>
      <c r="I60" s="2757"/>
      <c r="J60" s="2757"/>
      <c r="K60" s="2630"/>
      <c r="L60" s="2757"/>
      <c r="M60" s="2757"/>
      <c r="N60" s="2623"/>
      <c r="O60" s="2758"/>
      <c r="P60" s="2758"/>
      <c r="Q60" s="2630"/>
      <c r="R60" s="2758"/>
      <c r="S60" s="2758"/>
      <c r="Z60" s="1773">
        <v>60</v>
      </c>
    </row>
    <row r="61" spans="1:26" s="289" customFormat="1" ht="11.25" customHeight="1">
      <c r="B61" s="291" t="s">
        <v>1896</v>
      </c>
      <c r="C61" s="291" t="s">
        <v>272</v>
      </c>
      <c r="H61" s="3392"/>
      <c r="I61" s="3393"/>
      <c r="J61" s="3393"/>
      <c r="K61" s="3393"/>
      <c r="L61" s="3393"/>
      <c r="M61" s="3393"/>
      <c r="N61" s="3394"/>
      <c r="O61" s="2621" t="s">
        <v>1900</v>
      </c>
      <c r="P61" s="2621"/>
      <c r="Q61" s="3392"/>
      <c r="R61" s="3393"/>
      <c r="S61" s="3394"/>
      <c r="Z61" s="1773">
        <v>61</v>
      </c>
    </row>
    <row r="62" spans="1:26" s="289" customFormat="1" ht="11.25" customHeight="1">
      <c r="D62" s="326"/>
      <c r="E62" s="2619" t="s">
        <v>982</v>
      </c>
      <c r="F62" s="301"/>
      <c r="H62" s="3146"/>
      <c r="I62" s="3395"/>
      <c r="J62" s="3395"/>
      <c r="K62" s="3396"/>
      <c r="L62" s="3395"/>
      <c r="M62" s="3395"/>
      <c r="N62" s="3397"/>
      <c r="O62" s="2621" t="s">
        <v>1668</v>
      </c>
      <c r="Q62" s="3168"/>
      <c r="R62" s="3254"/>
      <c r="S62" s="3255"/>
      <c r="Z62" s="1773">
        <v>62</v>
      </c>
    </row>
    <row r="63" spans="1:26" s="289" customFormat="1" ht="11.25" customHeight="1">
      <c r="D63" s="326"/>
      <c r="E63" s="2619" t="s">
        <v>588</v>
      </c>
      <c r="H63" s="3146"/>
      <c r="I63" s="3396"/>
      <c r="J63" s="3267"/>
      <c r="K63" s="2636" t="s">
        <v>2554</v>
      </c>
      <c r="L63" s="3146"/>
      <c r="M63" s="3395"/>
      <c r="N63" s="3267"/>
      <c r="O63" s="2621" t="s">
        <v>1644</v>
      </c>
      <c r="Q63" s="3364"/>
      <c r="R63" s="3365"/>
      <c r="S63" s="3366"/>
      <c r="Z63" s="1773">
        <v>63</v>
      </c>
    </row>
    <row r="64" spans="1:26" s="289" customFormat="1" ht="11.25" customHeight="1">
      <c r="E64" s="2619" t="s">
        <v>1717</v>
      </c>
      <c r="H64" s="2695"/>
      <c r="K64" s="916" t="s">
        <v>2129</v>
      </c>
      <c r="L64" s="3156"/>
      <c r="M64" s="3404"/>
      <c r="O64" s="2621" t="s">
        <v>1890</v>
      </c>
      <c r="Q64" s="3364"/>
      <c r="R64" s="3365"/>
      <c r="S64" s="3366"/>
      <c r="Z64" s="1773">
        <v>64</v>
      </c>
    </row>
    <row r="65" spans="1:26" s="289" customFormat="1" ht="11.25" customHeight="1">
      <c r="D65" s="326"/>
      <c r="E65" s="2619" t="s">
        <v>3616</v>
      </c>
      <c r="H65" s="3389"/>
      <c r="I65" s="3405"/>
      <c r="J65" s="2759"/>
      <c r="K65" s="2630" t="s">
        <v>1895</v>
      </c>
      <c r="L65" s="3371"/>
      <c r="M65" s="3264"/>
      <c r="N65" s="3178"/>
      <c r="O65" s="3178"/>
      <c r="P65" s="3178"/>
      <c r="Q65" s="3264"/>
      <c r="R65" s="3264"/>
      <c r="S65" s="3265"/>
      <c r="Z65" s="1773">
        <v>65</v>
      </c>
    </row>
    <row r="66" spans="1:26" s="289" customFormat="1" ht="6.6" customHeight="1">
      <c r="D66" s="326"/>
      <c r="E66" s="2628"/>
      <c r="F66" s="2628"/>
      <c r="G66" s="2621"/>
      <c r="H66" s="2757"/>
      <c r="I66" s="2757"/>
      <c r="J66" s="2757"/>
      <c r="K66" s="2630"/>
      <c r="L66" s="2757"/>
      <c r="M66" s="2757"/>
      <c r="N66" s="2623"/>
      <c r="O66" s="2758"/>
      <c r="P66" s="2758"/>
      <c r="Q66" s="2630"/>
      <c r="R66" s="2758"/>
      <c r="S66" s="2758"/>
      <c r="Z66" s="1773">
        <v>66</v>
      </c>
    </row>
    <row r="67" spans="1:26" s="289" customFormat="1" ht="11.25" customHeight="1">
      <c r="B67" s="291" t="s">
        <v>719</v>
      </c>
      <c r="C67" s="291" t="s">
        <v>1467</v>
      </c>
      <c r="H67" s="3392"/>
      <c r="I67" s="3393"/>
      <c r="J67" s="3393"/>
      <c r="K67" s="3393"/>
      <c r="L67" s="3393"/>
      <c r="M67" s="3393"/>
      <c r="N67" s="3394"/>
      <c r="O67" s="2621" t="s">
        <v>1900</v>
      </c>
      <c r="P67" s="2621"/>
      <c r="Q67" s="3392"/>
      <c r="R67" s="3393"/>
      <c r="S67" s="3394"/>
      <c r="Z67" s="1773">
        <v>67</v>
      </c>
    </row>
    <row r="68" spans="1:26" s="289" customFormat="1" ht="11.25" customHeight="1">
      <c r="D68" s="326"/>
      <c r="E68" s="2619" t="s">
        <v>982</v>
      </c>
      <c r="F68" s="301"/>
      <c r="H68" s="3146"/>
      <c r="I68" s="3395"/>
      <c r="J68" s="3395"/>
      <c r="K68" s="3396"/>
      <c r="L68" s="3395"/>
      <c r="M68" s="3395"/>
      <c r="N68" s="3397"/>
      <c r="O68" s="2621" t="s">
        <v>1668</v>
      </c>
      <c r="Q68" s="3168"/>
      <c r="R68" s="3254"/>
      <c r="S68" s="3255"/>
      <c r="Z68" s="1773">
        <v>68</v>
      </c>
    </row>
    <row r="69" spans="1:26" s="289" customFormat="1" ht="11.25" customHeight="1">
      <c r="D69" s="326"/>
      <c r="E69" s="2619" t="s">
        <v>588</v>
      </c>
      <c r="H69" s="3146"/>
      <c r="I69" s="3396"/>
      <c r="J69" s="3267"/>
      <c r="K69" s="2636" t="s">
        <v>2554</v>
      </c>
      <c r="L69" s="3146"/>
      <c r="M69" s="3395"/>
      <c r="N69" s="3267"/>
      <c r="O69" s="2621" t="s">
        <v>1644</v>
      </c>
      <c r="Q69" s="3364"/>
      <c r="R69" s="3365"/>
      <c r="S69" s="3366"/>
      <c r="Z69" s="1773">
        <v>69</v>
      </c>
    </row>
    <row r="70" spans="1:26" s="289" customFormat="1" ht="11.25" customHeight="1">
      <c r="E70" s="2619" t="s">
        <v>1717</v>
      </c>
      <c r="H70" s="2695"/>
      <c r="K70" s="916" t="s">
        <v>2129</v>
      </c>
      <c r="L70" s="3156"/>
      <c r="M70" s="3404"/>
      <c r="O70" s="2621" t="s">
        <v>1890</v>
      </c>
      <c r="Q70" s="3364"/>
      <c r="R70" s="3365"/>
      <c r="S70" s="3366"/>
      <c r="Z70" s="1773">
        <v>70</v>
      </c>
    </row>
    <row r="71" spans="1:26" s="289" customFormat="1" ht="11.25" customHeight="1">
      <c r="D71" s="326"/>
      <c r="E71" s="2619" t="s">
        <v>3616</v>
      </c>
      <c r="H71" s="3389"/>
      <c r="I71" s="3405"/>
      <c r="J71" s="2759"/>
      <c r="K71" s="2630" t="s">
        <v>1895</v>
      </c>
      <c r="L71" s="3371"/>
      <c r="M71" s="3264"/>
      <c r="N71" s="3178"/>
      <c r="O71" s="3178"/>
      <c r="P71" s="3178"/>
      <c r="Q71" s="3264"/>
      <c r="R71" s="3264"/>
      <c r="S71" s="3265"/>
      <c r="Z71" s="1773">
        <v>71</v>
      </c>
    </row>
    <row r="72" spans="1:26" ht="6.6" customHeight="1">
      <c r="H72" s="2757"/>
      <c r="I72" s="2757"/>
      <c r="J72" s="2757"/>
      <c r="K72" s="2630"/>
      <c r="L72" s="2757"/>
      <c r="M72" s="2757"/>
      <c r="N72" s="2623"/>
      <c r="O72" s="2758"/>
      <c r="P72" s="2758"/>
      <c r="Q72" s="2630"/>
      <c r="R72" s="2758"/>
      <c r="S72" s="2758"/>
      <c r="Z72" s="1773">
        <v>72</v>
      </c>
    </row>
    <row r="73" spans="1:26" s="289" customFormat="1" ht="11.25" customHeight="1">
      <c r="B73" s="291" t="s">
        <v>2022</v>
      </c>
      <c r="C73" s="291" t="s">
        <v>273</v>
      </c>
      <c r="H73" s="3175" t="s">
        <v>6865</v>
      </c>
      <c r="I73" s="3390"/>
      <c r="J73" s="3390"/>
      <c r="K73" s="3390"/>
      <c r="L73" s="3390"/>
      <c r="M73" s="3390"/>
      <c r="N73" s="3391"/>
      <c r="O73" s="2621" t="s">
        <v>1900</v>
      </c>
      <c r="P73" s="2621"/>
      <c r="Q73" s="3175" t="s">
        <v>6861</v>
      </c>
      <c r="R73" s="3390"/>
      <c r="S73" s="3391"/>
      <c r="Z73" s="1773">
        <v>73</v>
      </c>
    </row>
    <row r="74" spans="1:26" s="289" customFormat="1" ht="11.25" customHeight="1">
      <c r="D74" s="326"/>
      <c r="E74" s="2619" t="s">
        <v>982</v>
      </c>
      <c r="F74" s="301"/>
      <c r="H74" s="3175" t="s">
        <v>6855</v>
      </c>
      <c r="I74" s="3390"/>
      <c r="J74" s="3390"/>
      <c r="K74" s="3390"/>
      <c r="L74" s="3390"/>
      <c r="M74" s="3390"/>
      <c r="N74" s="3391"/>
      <c r="O74" s="2621" t="s">
        <v>1668</v>
      </c>
      <c r="Q74" s="3175" t="s">
        <v>6967</v>
      </c>
      <c r="R74" s="3390"/>
      <c r="S74" s="3391"/>
      <c r="Z74" s="1773">
        <v>74</v>
      </c>
    </row>
    <row r="75" spans="1:26" s="289" customFormat="1" ht="11.25" customHeight="1">
      <c r="D75" s="326"/>
      <c r="E75" s="2619" t="s">
        <v>588</v>
      </c>
      <c r="H75" s="3175" t="s">
        <v>6856</v>
      </c>
      <c r="I75" s="3390"/>
      <c r="J75" s="3391"/>
      <c r="K75" s="2636" t="s">
        <v>2554</v>
      </c>
      <c r="L75" s="3146" t="s">
        <v>6866</v>
      </c>
      <c r="M75" s="3395"/>
      <c r="N75" s="3267"/>
      <c r="O75" s="2621" t="s">
        <v>1644</v>
      </c>
      <c r="Q75" s="3386">
        <v>2569976659</v>
      </c>
      <c r="R75" s="3387"/>
      <c r="S75" s="3388"/>
      <c r="Z75" s="1773">
        <v>75</v>
      </c>
    </row>
    <row r="76" spans="1:26" s="289" customFormat="1" ht="11.25" customHeight="1">
      <c r="E76" s="2619" t="s">
        <v>1717</v>
      </c>
      <c r="H76" s="2695" t="s">
        <v>805</v>
      </c>
      <c r="K76" s="916" t="s">
        <v>2129</v>
      </c>
      <c r="L76" s="3156">
        <v>359713484</v>
      </c>
      <c r="M76" s="3404"/>
      <c r="O76" s="2621" t="s">
        <v>1890</v>
      </c>
      <c r="Q76" s="3386">
        <v>2569976659</v>
      </c>
      <c r="R76" s="3387"/>
      <c r="S76" s="3388"/>
      <c r="Z76" s="1773">
        <v>76</v>
      </c>
    </row>
    <row r="77" spans="1:26" s="289" customFormat="1" ht="11.25" customHeight="1">
      <c r="D77" s="326"/>
      <c r="E77" s="2619" t="s">
        <v>3616</v>
      </c>
      <c r="H77" s="3386">
        <v>2564174920</v>
      </c>
      <c r="I77" s="3388"/>
      <c r="J77" s="2754">
        <v>295</v>
      </c>
      <c r="K77" s="2630" t="s">
        <v>1895</v>
      </c>
      <c r="L77" s="3172" t="s">
        <v>6857</v>
      </c>
      <c r="M77" s="3148"/>
      <c r="N77" s="3173"/>
      <c r="O77" s="3173"/>
      <c r="P77" s="3173"/>
      <c r="Q77" s="3148"/>
      <c r="R77" s="3148"/>
      <c r="S77" s="3174"/>
      <c r="Z77" s="1773">
        <v>77</v>
      </c>
    </row>
    <row r="78" spans="1:26" ht="6.75" customHeight="1">
      <c r="Z78" s="1773">
        <v>78</v>
      </c>
    </row>
    <row r="79" spans="1:26" s="2619" customFormat="1" ht="13.35" customHeight="1">
      <c r="A79" s="294" t="s">
        <v>712</v>
      </c>
      <c r="B79" s="294" t="s">
        <v>274</v>
      </c>
      <c r="D79" s="294"/>
      <c r="E79" s="2621"/>
      <c r="F79" s="1662"/>
      <c r="G79" s="1662"/>
      <c r="H79" s="1662"/>
      <c r="I79" s="1662"/>
      <c r="J79" s="1662"/>
      <c r="K79" s="1053" t="s">
        <v>3615</v>
      </c>
      <c r="L79" s="1662"/>
      <c r="M79" s="1662"/>
      <c r="Z79" s="1773">
        <v>79</v>
      </c>
    </row>
    <row r="80" spans="1:26" s="2619" customFormat="1" ht="3" customHeight="1">
      <c r="A80" s="294"/>
      <c r="B80" s="294"/>
      <c r="D80" s="294"/>
      <c r="E80" s="2621"/>
      <c r="F80" s="1662"/>
      <c r="G80" s="1662"/>
      <c r="H80" s="2761"/>
      <c r="I80" s="2761"/>
      <c r="J80" s="2761"/>
      <c r="K80" s="2623"/>
      <c r="L80" s="2761"/>
      <c r="M80" s="2761"/>
      <c r="N80" s="2623"/>
      <c r="O80" s="2758"/>
      <c r="P80" s="2758"/>
      <c r="Q80" s="2630"/>
      <c r="R80" s="2758"/>
      <c r="S80" s="2758"/>
      <c r="Z80" s="1773">
        <v>80</v>
      </c>
    </row>
    <row r="81" spans="2:26" s="289" customFormat="1" ht="11.25" customHeight="1">
      <c r="B81" s="291" t="s">
        <v>1894</v>
      </c>
      <c r="C81" s="291" t="s">
        <v>275</v>
      </c>
      <c r="H81" s="3392"/>
      <c r="I81" s="3393"/>
      <c r="J81" s="3393"/>
      <c r="K81" s="3393"/>
      <c r="L81" s="3393"/>
      <c r="M81" s="3393"/>
      <c r="N81" s="3394"/>
      <c r="O81" s="2621" t="s">
        <v>1900</v>
      </c>
      <c r="P81" s="2621"/>
      <c r="Q81" s="3392"/>
      <c r="R81" s="3393"/>
      <c r="S81" s="3394"/>
      <c r="Z81" s="1773">
        <v>81</v>
      </c>
    </row>
    <row r="82" spans="2:26" s="289" customFormat="1" ht="11.25" customHeight="1">
      <c r="D82" s="326"/>
      <c r="E82" s="2619" t="s">
        <v>982</v>
      </c>
      <c r="F82" s="301"/>
      <c r="H82" s="3146"/>
      <c r="I82" s="3395"/>
      <c r="J82" s="3395"/>
      <c r="K82" s="3396"/>
      <c r="L82" s="3395"/>
      <c r="M82" s="3395"/>
      <c r="N82" s="3397"/>
      <c r="O82" s="2621" t="s">
        <v>1668</v>
      </c>
      <c r="Q82" s="3168"/>
      <c r="R82" s="3254"/>
      <c r="S82" s="3255"/>
      <c r="Z82" s="1773">
        <v>82</v>
      </c>
    </row>
    <row r="83" spans="2:26" s="289" customFormat="1" ht="11.25" customHeight="1">
      <c r="D83" s="326"/>
      <c r="E83" s="2619" t="s">
        <v>588</v>
      </c>
      <c r="H83" s="3146"/>
      <c r="I83" s="3396"/>
      <c r="J83" s="3267"/>
      <c r="K83" s="2636" t="s">
        <v>2554</v>
      </c>
      <c r="L83" s="3146"/>
      <c r="M83" s="3395"/>
      <c r="N83" s="3267"/>
      <c r="O83" s="2621" t="s">
        <v>1644</v>
      </c>
      <c r="Q83" s="3364"/>
      <c r="R83" s="3365"/>
      <c r="S83" s="3366"/>
      <c r="Z83" s="1773">
        <v>83</v>
      </c>
    </row>
    <row r="84" spans="2:26" s="289" customFormat="1" ht="11.25" customHeight="1">
      <c r="E84" s="2619" t="s">
        <v>1717</v>
      </c>
      <c r="H84" s="2695"/>
      <c r="K84" s="916" t="s">
        <v>2129</v>
      </c>
      <c r="L84" s="3156"/>
      <c r="M84" s="3404"/>
      <c r="O84" s="2621" t="s">
        <v>1890</v>
      </c>
      <c r="Q84" s="3364"/>
      <c r="R84" s="3365"/>
      <c r="S84" s="3366"/>
      <c r="Z84" s="1773">
        <v>84</v>
      </c>
    </row>
    <row r="85" spans="2:26" s="289" customFormat="1" ht="11.25" customHeight="1">
      <c r="D85" s="326"/>
      <c r="E85" s="2619" t="s">
        <v>3616</v>
      </c>
      <c r="H85" s="3389"/>
      <c r="I85" s="3405"/>
      <c r="J85" s="2759"/>
      <c r="K85" s="2630" t="s">
        <v>1895</v>
      </c>
      <c r="L85" s="3371"/>
      <c r="M85" s="3264"/>
      <c r="N85" s="3178"/>
      <c r="O85" s="3178"/>
      <c r="P85" s="3178"/>
      <c r="Q85" s="3264"/>
      <c r="R85" s="3264"/>
      <c r="S85" s="3265"/>
      <c r="Z85" s="1773">
        <v>85</v>
      </c>
    </row>
    <row r="86" spans="2:26" ht="6.6" customHeight="1">
      <c r="H86" s="2757"/>
      <c r="I86" s="2757"/>
      <c r="J86" s="2757"/>
      <c r="K86" s="2630"/>
      <c r="L86" s="2757"/>
      <c r="M86" s="2757"/>
      <c r="N86" s="2623"/>
      <c r="O86" s="2758"/>
      <c r="P86" s="2758"/>
      <c r="Q86" s="2630"/>
      <c r="R86" s="2758"/>
      <c r="S86" s="2758"/>
      <c r="Z86" s="1773">
        <v>86</v>
      </c>
    </row>
    <row r="87" spans="2:26" s="289" customFormat="1" ht="11.25" customHeight="1">
      <c r="B87" s="291" t="s">
        <v>1896</v>
      </c>
      <c r="C87" s="291" t="s">
        <v>276</v>
      </c>
      <c r="H87" s="3175" t="s">
        <v>6867</v>
      </c>
      <c r="I87" s="3390"/>
      <c r="J87" s="3390"/>
      <c r="K87" s="3390"/>
      <c r="L87" s="3390"/>
      <c r="M87" s="3390"/>
      <c r="N87" s="3391"/>
      <c r="O87" s="2621" t="s">
        <v>1900</v>
      </c>
      <c r="P87" s="2621"/>
      <c r="Q87" s="3175" t="s">
        <v>6861</v>
      </c>
      <c r="R87" s="3390"/>
      <c r="S87" s="3391"/>
      <c r="Z87" s="1773">
        <v>87</v>
      </c>
    </row>
    <row r="88" spans="2:26" s="289" customFormat="1" ht="11.25" customHeight="1">
      <c r="D88" s="326"/>
      <c r="E88" s="2619" t="s">
        <v>982</v>
      </c>
      <c r="F88" s="301"/>
      <c r="H88" s="3175" t="s">
        <v>6855</v>
      </c>
      <c r="I88" s="3390"/>
      <c r="J88" s="3390"/>
      <c r="K88" s="3390"/>
      <c r="L88" s="3390"/>
      <c r="M88" s="3390"/>
      <c r="N88" s="3391"/>
      <c r="O88" s="2621" t="s">
        <v>1668</v>
      </c>
      <c r="Q88" s="3175" t="s">
        <v>6862</v>
      </c>
      <c r="R88" s="3390"/>
      <c r="S88" s="3391"/>
      <c r="Z88" s="1773">
        <v>88</v>
      </c>
    </row>
    <row r="89" spans="2:26" s="289" customFormat="1" ht="11.25" customHeight="1">
      <c r="D89" s="326"/>
      <c r="E89" s="2619" t="s">
        <v>588</v>
      </c>
      <c r="H89" s="3146" t="s">
        <v>6856</v>
      </c>
      <c r="I89" s="3396"/>
      <c r="J89" s="3267"/>
      <c r="K89" s="2636" t="s">
        <v>2554</v>
      </c>
      <c r="L89" s="3146" t="s">
        <v>6868</v>
      </c>
      <c r="M89" s="3395"/>
      <c r="N89" s="3267"/>
      <c r="O89" s="2621" t="s">
        <v>1644</v>
      </c>
      <c r="Q89" s="3386">
        <v>2569976659</v>
      </c>
      <c r="R89" s="3387"/>
      <c r="S89" s="3388"/>
      <c r="Z89" s="1773">
        <v>89</v>
      </c>
    </row>
    <row r="90" spans="2:26" s="289" customFormat="1" ht="11.25" customHeight="1">
      <c r="E90" s="2619" t="s">
        <v>1717</v>
      </c>
      <c r="H90" s="2695" t="s">
        <v>805</v>
      </c>
      <c r="K90" s="916" t="s">
        <v>2129</v>
      </c>
      <c r="L90" s="3156">
        <v>359713484</v>
      </c>
      <c r="M90" s="3404"/>
      <c r="O90" s="2621" t="s">
        <v>1890</v>
      </c>
      <c r="Q90" s="3386">
        <v>2569976659</v>
      </c>
      <c r="R90" s="3387"/>
      <c r="S90" s="3388"/>
      <c r="Z90" s="1773">
        <v>90</v>
      </c>
    </row>
    <row r="91" spans="2:26" s="289" customFormat="1" ht="11.25" customHeight="1">
      <c r="D91" s="326"/>
      <c r="E91" s="2619" t="s">
        <v>3616</v>
      </c>
      <c r="H91" s="3386">
        <v>2564174920</v>
      </c>
      <c r="I91" s="3388"/>
      <c r="J91" s="2754">
        <v>295</v>
      </c>
      <c r="K91" s="2630" t="s">
        <v>1895</v>
      </c>
      <c r="L91" s="3175" t="s">
        <v>6857</v>
      </c>
      <c r="M91" s="3173"/>
      <c r="N91" s="3173"/>
      <c r="O91" s="3173"/>
      <c r="P91" s="3173"/>
      <c r="Q91" s="3173"/>
      <c r="R91" s="3173"/>
      <c r="S91" s="3176"/>
      <c r="Z91" s="1773">
        <v>91</v>
      </c>
    </row>
    <row r="92" spans="2:26" ht="6.6" customHeight="1">
      <c r="H92" s="2757"/>
      <c r="I92" s="2757"/>
      <c r="J92" s="2757"/>
      <c r="K92" s="2630"/>
      <c r="L92" s="2757"/>
      <c r="M92" s="2757"/>
      <c r="N92" s="2623"/>
      <c r="O92" s="2758"/>
      <c r="P92" s="2758"/>
      <c r="Q92" s="2630"/>
      <c r="R92" s="2758"/>
      <c r="S92" s="2758"/>
      <c r="Z92" s="1773">
        <v>92</v>
      </c>
    </row>
    <row r="93" spans="2:26" s="289" customFormat="1" ht="11.25" customHeight="1">
      <c r="B93" s="291" t="s">
        <v>719</v>
      </c>
      <c r="C93" s="291" t="s">
        <v>277</v>
      </c>
      <c r="F93" s="307"/>
      <c r="H93" s="3175" t="s">
        <v>6869</v>
      </c>
      <c r="I93" s="3390"/>
      <c r="J93" s="3390"/>
      <c r="K93" s="3390"/>
      <c r="L93" s="3390"/>
      <c r="M93" s="3390"/>
      <c r="N93" s="3391"/>
      <c r="O93" s="2621" t="s">
        <v>1900</v>
      </c>
      <c r="P93" s="2621"/>
      <c r="Q93" s="3175" t="s">
        <v>6861</v>
      </c>
      <c r="R93" s="3390"/>
      <c r="S93" s="3391"/>
      <c r="Z93" s="1773">
        <v>93</v>
      </c>
    </row>
    <row r="94" spans="2:26" s="289" customFormat="1" ht="11.25" customHeight="1">
      <c r="D94" s="326"/>
      <c r="E94" s="2619" t="s">
        <v>982</v>
      </c>
      <c r="F94" s="301"/>
      <c r="H94" s="3175" t="s">
        <v>6855</v>
      </c>
      <c r="I94" s="3390"/>
      <c r="J94" s="3390"/>
      <c r="K94" s="3390"/>
      <c r="L94" s="3390"/>
      <c r="M94" s="3390"/>
      <c r="N94" s="3391"/>
      <c r="O94" s="2621" t="s">
        <v>1668</v>
      </c>
      <c r="Q94" s="3175" t="s">
        <v>6862</v>
      </c>
      <c r="R94" s="3390"/>
      <c r="S94" s="3391"/>
      <c r="Z94" s="1773">
        <v>94</v>
      </c>
    </row>
    <row r="95" spans="2:26" s="289" customFormat="1" ht="11.25" customHeight="1">
      <c r="D95" s="326"/>
      <c r="E95" s="2619" t="s">
        <v>588</v>
      </c>
      <c r="H95" s="3146" t="s">
        <v>6856</v>
      </c>
      <c r="I95" s="3396"/>
      <c r="J95" s="3267"/>
      <c r="K95" s="2636" t="s">
        <v>2554</v>
      </c>
      <c r="L95" s="3175" t="s">
        <v>6866</v>
      </c>
      <c r="M95" s="3390"/>
      <c r="N95" s="3391"/>
      <c r="O95" s="2621" t="s">
        <v>1644</v>
      </c>
      <c r="Q95" s="3386">
        <v>2569976659</v>
      </c>
      <c r="R95" s="3387"/>
      <c r="S95" s="3388"/>
      <c r="Z95" s="1773">
        <v>95</v>
      </c>
    </row>
    <row r="96" spans="2:26" s="289" customFormat="1" ht="11.25" customHeight="1">
      <c r="D96" s="326"/>
      <c r="E96" s="2619" t="s">
        <v>1717</v>
      </c>
      <c r="H96" s="2695" t="s">
        <v>805</v>
      </c>
      <c r="K96" s="916" t="s">
        <v>2129</v>
      </c>
      <c r="L96" s="3406">
        <v>359713484</v>
      </c>
      <c r="M96" s="3407"/>
      <c r="O96" s="2621" t="s">
        <v>1890</v>
      </c>
      <c r="Q96" s="3386">
        <v>2569976659</v>
      </c>
      <c r="R96" s="3387"/>
      <c r="S96" s="3388"/>
      <c r="Z96" s="1773">
        <v>96</v>
      </c>
    </row>
    <row r="97" spans="2:26" s="289" customFormat="1" ht="11.25" customHeight="1">
      <c r="D97" s="326"/>
      <c r="E97" s="2619" t="s">
        <v>3616</v>
      </c>
      <c r="H97" s="3386">
        <v>2564174920</v>
      </c>
      <c r="I97" s="3388"/>
      <c r="J97" s="2754">
        <v>295</v>
      </c>
      <c r="K97" s="2630" t="s">
        <v>1895</v>
      </c>
      <c r="L97" s="3175" t="s">
        <v>6857</v>
      </c>
      <c r="M97" s="3173"/>
      <c r="N97" s="3173"/>
      <c r="O97" s="3173"/>
      <c r="P97" s="3173"/>
      <c r="Q97" s="3173"/>
      <c r="R97" s="3173"/>
      <c r="S97" s="3176"/>
      <c r="Z97" s="1773">
        <v>97</v>
      </c>
    </row>
    <row r="98" spans="2:26" ht="6.6" customHeight="1">
      <c r="H98" s="2757"/>
      <c r="I98" s="2757"/>
      <c r="J98" s="2757"/>
      <c r="K98" s="2630"/>
      <c r="L98" s="2757"/>
      <c r="M98" s="2757"/>
      <c r="N98" s="2623"/>
      <c r="O98" s="2758"/>
      <c r="P98" s="2758"/>
      <c r="Q98" s="2630"/>
      <c r="R98" s="2758"/>
      <c r="S98" s="2758"/>
      <c r="Z98" s="1773">
        <v>98</v>
      </c>
    </row>
    <row r="99" spans="2:26" s="289" customFormat="1" ht="11.25" customHeight="1">
      <c r="B99" s="291" t="s">
        <v>2022</v>
      </c>
      <c r="C99" s="291" t="s">
        <v>278</v>
      </c>
      <c r="H99" s="3175" t="s">
        <v>6870</v>
      </c>
      <c r="I99" s="3390"/>
      <c r="J99" s="3390"/>
      <c r="K99" s="3390"/>
      <c r="L99" s="3390"/>
      <c r="M99" s="3390"/>
      <c r="N99" s="3391"/>
      <c r="O99" s="2621" t="s">
        <v>1900</v>
      </c>
      <c r="P99" s="2621"/>
      <c r="Q99" s="3175" t="s">
        <v>6875</v>
      </c>
      <c r="R99" s="3390"/>
      <c r="S99" s="3391"/>
      <c r="Z99" s="1773">
        <v>99</v>
      </c>
    </row>
    <row r="100" spans="2:26" s="289" customFormat="1" ht="11.25" customHeight="1">
      <c r="D100" s="326"/>
      <c r="E100" s="2619" t="s">
        <v>982</v>
      </c>
      <c r="F100" s="301"/>
      <c r="H100" s="3175" t="s">
        <v>6871</v>
      </c>
      <c r="I100" s="3390"/>
      <c r="J100" s="3390"/>
      <c r="K100" s="3390"/>
      <c r="L100" s="3390"/>
      <c r="M100" s="3390"/>
      <c r="N100" s="3391"/>
      <c r="O100" s="2621" t="s">
        <v>1668</v>
      </c>
      <c r="Q100" s="3175" t="s">
        <v>6876</v>
      </c>
      <c r="R100" s="3390"/>
      <c r="S100" s="3391"/>
      <c r="Z100" s="1773">
        <v>100</v>
      </c>
    </row>
    <row r="101" spans="2:26" s="289" customFormat="1" ht="11.25" customHeight="1">
      <c r="D101" s="326"/>
      <c r="E101" s="2619" t="s">
        <v>588</v>
      </c>
      <c r="H101" s="3175" t="s">
        <v>6872</v>
      </c>
      <c r="I101" s="3390"/>
      <c r="J101" s="3391"/>
      <c r="K101" s="2636" t="s">
        <v>2554</v>
      </c>
      <c r="L101" s="3175" t="s">
        <v>6873</v>
      </c>
      <c r="M101" s="3390"/>
      <c r="N101" s="3391"/>
      <c r="O101" s="2621" t="s">
        <v>1644</v>
      </c>
      <c r="Q101" s="3386">
        <v>2052268741</v>
      </c>
      <c r="R101" s="3387"/>
      <c r="S101" s="3388"/>
      <c r="Z101" s="1773">
        <v>101</v>
      </c>
    </row>
    <row r="102" spans="2:26" s="289" customFormat="1" ht="11.25" customHeight="1">
      <c r="D102" s="326"/>
      <c r="E102" s="2619" t="s">
        <v>1717</v>
      </c>
      <c r="H102" s="2695" t="s">
        <v>805</v>
      </c>
      <c r="K102" s="916" t="s">
        <v>2129</v>
      </c>
      <c r="L102" s="3406">
        <v>352034642</v>
      </c>
      <c r="M102" s="3407"/>
      <c r="O102" s="2621" t="s">
        <v>1890</v>
      </c>
      <c r="Q102" s="3386">
        <v>2058073855</v>
      </c>
      <c r="R102" s="3387"/>
      <c r="S102" s="3388"/>
      <c r="Z102" s="1773">
        <v>102</v>
      </c>
    </row>
    <row r="103" spans="2:26" ht="11.25" customHeight="1">
      <c r="E103" s="2619" t="s">
        <v>3616</v>
      </c>
      <c r="F103" s="289"/>
      <c r="G103" s="289"/>
      <c r="H103" s="3386">
        <v>2052268741</v>
      </c>
      <c r="I103" s="3388"/>
      <c r="J103" s="2759"/>
      <c r="K103" s="2630" t="s">
        <v>1895</v>
      </c>
      <c r="L103" s="3175" t="s">
        <v>6874</v>
      </c>
      <c r="M103" s="3173"/>
      <c r="N103" s="3173"/>
      <c r="O103" s="3173"/>
      <c r="P103" s="3173"/>
      <c r="Q103" s="3173"/>
      <c r="R103" s="3173"/>
      <c r="S103" s="3176"/>
      <c r="Z103" s="1773">
        <v>103</v>
      </c>
    </row>
    <row r="104" spans="2:26" ht="6" customHeight="1">
      <c r="E104" s="2619"/>
      <c r="F104" s="289"/>
      <c r="G104" s="2628"/>
      <c r="H104" s="2757"/>
      <c r="I104" s="2757"/>
      <c r="J104" s="2757"/>
      <c r="K104" s="2630"/>
      <c r="L104" s="2757"/>
      <c r="M104" s="2757"/>
      <c r="N104" s="2623"/>
      <c r="O104" s="2758"/>
      <c r="P104" s="2758"/>
      <c r="Q104" s="2630"/>
      <c r="R104" s="2758"/>
      <c r="S104" s="2758"/>
      <c r="Z104" s="1773">
        <v>104</v>
      </c>
    </row>
    <row r="105" spans="2:26" s="289" customFormat="1" ht="11.25" customHeight="1">
      <c r="B105" s="291" t="s">
        <v>1656</v>
      </c>
      <c r="C105" s="291" t="s">
        <v>279</v>
      </c>
      <c r="H105" s="3175" t="s">
        <v>6877</v>
      </c>
      <c r="I105" s="3390"/>
      <c r="J105" s="3390"/>
      <c r="K105" s="3390"/>
      <c r="L105" s="3390"/>
      <c r="M105" s="3390"/>
      <c r="N105" s="3391"/>
      <c r="O105" s="2621" t="s">
        <v>1900</v>
      </c>
      <c r="P105" s="2621"/>
      <c r="Q105" s="3175" t="s">
        <v>6881</v>
      </c>
      <c r="R105" s="3390"/>
      <c r="S105" s="3391"/>
      <c r="Z105" s="1773">
        <v>105</v>
      </c>
    </row>
    <row r="106" spans="2:26" s="289" customFormat="1" ht="11.25" customHeight="1">
      <c r="D106" s="326"/>
      <c r="E106" s="2619" t="s">
        <v>982</v>
      </c>
      <c r="F106" s="301"/>
      <c r="H106" s="3175" t="s">
        <v>6878</v>
      </c>
      <c r="I106" s="3390"/>
      <c r="J106" s="3390"/>
      <c r="K106" s="3390"/>
      <c r="L106" s="3390"/>
      <c r="M106" s="3390"/>
      <c r="N106" s="3391"/>
      <c r="O106" s="2621" t="s">
        <v>1668</v>
      </c>
      <c r="Q106" s="3175" t="s">
        <v>6882</v>
      </c>
      <c r="R106" s="3390"/>
      <c r="S106" s="3391"/>
      <c r="Z106" s="1773">
        <v>106</v>
      </c>
    </row>
    <row r="107" spans="2:26" s="289" customFormat="1" ht="11.25" customHeight="1">
      <c r="D107" s="326"/>
      <c r="E107" s="2619" t="s">
        <v>588</v>
      </c>
      <c r="H107" s="3175" t="s">
        <v>6879</v>
      </c>
      <c r="I107" s="3390"/>
      <c r="J107" s="3391"/>
      <c r="K107" s="2636" t="s">
        <v>2554</v>
      </c>
      <c r="L107" s="3146" t="s">
        <v>931</v>
      </c>
      <c r="M107" s="3395"/>
      <c r="N107" s="3267"/>
      <c r="O107" s="2621" t="s">
        <v>1644</v>
      </c>
      <c r="Q107" s="3386">
        <v>2564133057</v>
      </c>
      <c r="R107" s="3387"/>
      <c r="S107" s="3388"/>
      <c r="Z107" s="1773">
        <v>107</v>
      </c>
    </row>
    <row r="108" spans="2:26" s="289" customFormat="1" ht="11.25" customHeight="1">
      <c r="D108" s="326"/>
      <c r="E108" s="2619" t="s">
        <v>1717</v>
      </c>
      <c r="H108" s="2695" t="s">
        <v>805</v>
      </c>
      <c r="K108" s="916" t="s">
        <v>2129</v>
      </c>
      <c r="L108" s="3406">
        <v>359063206</v>
      </c>
      <c r="M108" s="3407"/>
      <c r="O108" s="2621" t="s">
        <v>1890</v>
      </c>
      <c r="Q108" s="3386">
        <v>2563905972</v>
      </c>
      <c r="R108" s="3387"/>
      <c r="S108" s="3388"/>
      <c r="Z108" s="1773">
        <v>108</v>
      </c>
    </row>
    <row r="109" spans="2:26" ht="11.25" customHeight="1">
      <c r="E109" s="2619" t="s">
        <v>3616</v>
      </c>
      <c r="F109" s="289"/>
      <c r="G109" s="289"/>
      <c r="H109" s="3386">
        <v>2564133057</v>
      </c>
      <c r="I109" s="3388"/>
      <c r="J109" s="2759"/>
      <c r="K109" s="2630" t="s">
        <v>1895</v>
      </c>
      <c r="L109" s="3175" t="s">
        <v>6880</v>
      </c>
      <c r="M109" s="3173"/>
      <c r="N109" s="3173"/>
      <c r="O109" s="3173"/>
      <c r="P109" s="3173"/>
      <c r="Q109" s="3173"/>
      <c r="R109" s="3173"/>
      <c r="S109" s="3176"/>
      <c r="Z109" s="1773">
        <v>109</v>
      </c>
    </row>
    <row r="110" spans="2:26" ht="6.6" customHeight="1">
      <c r="E110" s="2619"/>
      <c r="F110" s="289"/>
      <c r="G110" s="2628"/>
      <c r="H110" s="2757"/>
      <c r="I110" s="2757"/>
      <c r="J110" s="2757"/>
      <c r="K110" s="2630"/>
      <c r="L110" s="2757"/>
      <c r="M110" s="2757"/>
      <c r="N110" s="2623"/>
      <c r="O110" s="2758"/>
      <c r="P110" s="2758"/>
      <c r="Q110" s="2630"/>
      <c r="R110" s="2758"/>
      <c r="S110" s="2758"/>
      <c r="Z110" s="1773">
        <v>110</v>
      </c>
    </row>
    <row r="111" spans="2:26" s="289" customFormat="1" ht="11.25" customHeight="1">
      <c r="B111" s="291" t="s">
        <v>1657</v>
      </c>
      <c r="C111" s="291" t="s">
        <v>280</v>
      </c>
      <c r="H111" s="3175" t="s">
        <v>6883</v>
      </c>
      <c r="I111" s="3390"/>
      <c r="J111" s="3390"/>
      <c r="K111" s="3390"/>
      <c r="L111" s="3390"/>
      <c r="M111" s="3390"/>
      <c r="N111" s="3391"/>
      <c r="O111" s="2621" t="s">
        <v>1900</v>
      </c>
      <c r="P111" s="2621"/>
      <c r="Q111" s="3175" t="s">
        <v>6888</v>
      </c>
      <c r="R111" s="3390"/>
      <c r="S111" s="3391"/>
      <c r="Z111" s="1773">
        <v>111</v>
      </c>
    </row>
    <row r="112" spans="2:26" s="289" customFormat="1" ht="11.25" customHeight="1">
      <c r="D112" s="326"/>
      <c r="E112" s="2619" t="s">
        <v>982</v>
      </c>
      <c r="F112" s="301"/>
      <c r="H112" s="3175" t="s">
        <v>6884</v>
      </c>
      <c r="I112" s="3390"/>
      <c r="J112" s="3390"/>
      <c r="K112" s="3390"/>
      <c r="L112" s="3390"/>
      <c r="M112" s="3390"/>
      <c r="N112" s="3391"/>
      <c r="O112" s="2621" t="s">
        <v>1668</v>
      </c>
      <c r="Q112" s="3175" t="s">
        <v>6889</v>
      </c>
      <c r="R112" s="3390"/>
      <c r="S112" s="3391"/>
      <c r="Z112" s="1773">
        <v>112</v>
      </c>
    </row>
    <row r="113" spans="1:26" s="289" customFormat="1" ht="11.25" customHeight="1">
      <c r="D113" s="326"/>
      <c r="E113" s="2619" t="s">
        <v>588</v>
      </c>
      <c r="H113" s="3175" t="s">
        <v>6885</v>
      </c>
      <c r="I113" s="3390"/>
      <c r="J113" s="3391"/>
      <c r="K113" s="2636" t="s">
        <v>2554</v>
      </c>
      <c r="L113" s="3175" t="s">
        <v>6886</v>
      </c>
      <c r="M113" s="3390"/>
      <c r="N113" s="3391"/>
      <c r="O113" s="2621" t="s">
        <v>1644</v>
      </c>
      <c r="Q113" s="3386">
        <v>6608267000</v>
      </c>
      <c r="R113" s="3387"/>
      <c r="S113" s="3388"/>
      <c r="Z113" s="1773">
        <v>113</v>
      </c>
    </row>
    <row r="114" spans="1:26" s="289" customFormat="1" ht="11.25" customHeight="1">
      <c r="D114" s="330"/>
      <c r="E114" s="2619" t="s">
        <v>1717</v>
      </c>
      <c r="H114" s="2695" t="s">
        <v>1292</v>
      </c>
      <c r="K114" s="916" t="s">
        <v>2129</v>
      </c>
      <c r="L114" s="3406">
        <v>653012479</v>
      </c>
      <c r="M114" s="3407"/>
      <c r="O114" s="2621" t="s">
        <v>1890</v>
      </c>
      <c r="Q114" s="3386">
        <v>6602817041</v>
      </c>
      <c r="R114" s="3387"/>
      <c r="S114" s="3388"/>
      <c r="Z114" s="1773">
        <v>114</v>
      </c>
    </row>
    <row r="115" spans="1:26" s="289" customFormat="1" ht="11.25" customHeight="1">
      <c r="D115" s="330"/>
      <c r="E115" s="2619" t="s">
        <v>3616</v>
      </c>
      <c r="H115" s="3386">
        <v>6608267000</v>
      </c>
      <c r="I115" s="3388"/>
      <c r="J115" s="2759"/>
      <c r="K115" s="2630" t="s">
        <v>1895</v>
      </c>
      <c r="L115" s="3175" t="s">
        <v>6887</v>
      </c>
      <c r="M115" s="3173"/>
      <c r="N115" s="3173"/>
      <c r="O115" s="3173"/>
      <c r="P115" s="3173"/>
      <c r="Q115" s="3173"/>
      <c r="R115" s="3173"/>
      <c r="S115" s="3176"/>
      <c r="Z115" s="1773">
        <v>115</v>
      </c>
    </row>
    <row r="116" spans="1:26" ht="3" customHeight="1">
      <c r="Z116" s="1773">
        <v>116</v>
      </c>
    </row>
    <row r="117" spans="1:26" s="289" customFormat="1" ht="12" customHeight="1">
      <c r="A117" s="291" t="s">
        <v>1711</v>
      </c>
      <c r="B117" s="291" t="s">
        <v>2484</v>
      </c>
      <c r="F117" s="291"/>
      <c r="G117" s="2630"/>
      <c r="H117" s="2630"/>
      <c r="I117" s="2630"/>
      <c r="J117" s="2630"/>
      <c r="K117" s="2630"/>
      <c r="L117" s="2630"/>
      <c r="M117" s="2630"/>
      <c r="N117" s="2630"/>
      <c r="O117" s="2630"/>
      <c r="P117" s="2630"/>
      <c r="Q117" s="2636"/>
      <c r="Z117" s="1773">
        <v>117</v>
      </c>
    </row>
    <row r="118" spans="1:26" s="289" customFormat="1" ht="12" customHeight="1">
      <c r="A118" s="291"/>
      <c r="B118" s="291" t="s">
        <v>1894</v>
      </c>
      <c r="C118" s="291" t="s">
        <v>6489</v>
      </c>
      <c r="F118" s="291"/>
      <c r="G118" s="2630"/>
      <c r="H118" s="2630"/>
      <c r="I118" s="2630"/>
      <c r="J118" s="2630"/>
      <c r="K118" s="2630"/>
      <c r="L118" s="2630"/>
      <c r="M118" s="2630"/>
      <c r="N118" s="2630"/>
      <c r="O118" s="2630"/>
      <c r="P118" s="2630"/>
      <c r="Q118" s="2636"/>
      <c r="Z118" s="1773">
        <v>118</v>
      </c>
    </row>
    <row r="119" spans="1:26" ht="2.25" customHeight="1">
      <c r="Z119" s="1773">
        <v>119</v>
      </c>
    </row>
    <row r="120" spans="1:26" s="289" customFormat="1" ht="11.25" customHeight="1">
      <c r="C120" s="1750" t="s">
        <v>1897</v>
      </c>
      <c r="D120" s="291" t="s">
        <v>6783</v>
      </c>
      <c r="H120" s="3392" t="s">
        <v>6969</v>
      </c>
      <c r="I120" s="3414"/>
      <c r="J120" s="3415"/>
      <c r="K120" s="2630" t="s">
        <v>1716</v>
      </c>
      <c r="L120" s="3392" t="s">
        <v>6969</v>
      </c>
      <c r="M120" s="3414"/>
      <c r="N120" s="3415"/>
      <c r="O120" s="2619" t="s">
        <v>3262</v>
      </c>
      <c r="Q120" s="3151">
        <v>9126677776</v>
      </c>
      <c r="R120" s="3408"/>
      <c r="S120" s="3409"/>
      <c r="Z120" s="1773">
        <v>120</v>
      </c>
    </row>
    <row r="121" spans="1:26" s="289" customFormat="1" ht="11.25" customHeight="1">
      <c r="C121" s="291"/>
      <c r="D121" s="326"/>
      <c r="E121" s="2619" t="s">
        <v>6490</v>
      </c>
      <c r="F121" s="301"/>
      <c r="H121" s="3256" t="s">
        <v>6970</v>
      </c>
      <c r="I121" s="3410"/>
      <c r="J121" s="3411"/>
      <c r="K121" s="3257"/>
      <c r="L121" s="3410"/>
      <c r="M121" s="3410"/>
      <c r="N121" s="3412"/>
      <c r="O121" s="2619" t="s">
        <v>588</v>
      </c>
      <c r="Q121" s="3413" t="s">
        <v>1177</v>
      </c>
      <c r="R121" s="3260"/>
      <c r="S121" s="3261"/>
      <c r="Z121" s="1773">
        <v>121</v>
      </c>
    </row>
    <row r="122" spans="1:26" s="289" customFormat="1" ht="11.25" customHeight="1">
      <c r="C122" s="291"/>
      <c r="D122" s="326"/>
      <c r="E122" s="2619" t="s">
        <v>1717</v>
      </c>
      <c r="H122" s="2762" t="s">
        <v>815</v>
      </c>
      <c r="I122" s="916" t="s">
        <v>2129</v>
      </c>
      <c r="J122" s="3266">
        <v>314180000</v>
      </c>
      <c r="K122" s="3267"/>
      <c r="L122" s="2630" t="s">
        <v>1895</v>
      </c>
      <c r="M122" s="3177" t="s">
        <v>6971</v>
      </c>
      <c r="N122" s="3178"/>
      <c r="O122" s="3178"/>
      <c r="P122" s="3178"/>
      <c r="Q122" s="3264"/>
      <c r="R122" s="3264"/>
      <c r="S122" s="3265"/>
      <c r="Z122" s="1773">
        <v>122</v>
      </c>
    </row>
    <row r="123" spans="1:26" ht="2.25" customHeight="1">
      <c r="C123" s="315"/>
      <c r="Z123" s="1773">
        <v>123</v>
      </c>
    </row>
    <row r="124" spans="1:26" s="289" customFormat="1" ht="11.25" hidden="1" customHeight="1">
      <c r="C124" s="1750"/>
      <c r="D124" s="289" t="s">
        <v>6784</v>
      </c>
      <c r="H124" s="3392"/>
      <c r="I124" s="3414"/>
      <c r="J124" s="3415"/>
      <c r="K124" s="2630" t="s">
        <v>1716</v>
      </c>
      <c r="L124" s="3392"/>
      <c r="M124" s="3393"/>
      <c r="N124" s="3394"/>
      <c r="O124" s="2619" t="s">
        <v>3262</v>
      </c>
      <c r="Q124" s="3151"/>
      <c r="R124" s="3408"/>
      <c r="S124" s="3409"/>
      <c r="Z124" s="1773">
        <v>124</v>
      </c>
    </row>
    <row r="125" spans="1:26" s="289" customFormat="1" ht="11.25" hidden="1" customHeight="1">
      <c r="C125" s="291"/>
      <c r="D125" s="326"/>
      <c r="E125" s="2619" t="s">
        <v>6490</v>
      </c>
      <c r="F125" s="301"/>
      <c r="H125" s="3256"/>
      <c r="I125" s="3410"/>
      <c r="J125" s="3411"/>
      <c r="K125" s="3257"/>
      <c r="L125" s="3410"/>
      <c r="M125" s="3410"/>
      <c r="N125" s="3412"/>
      <c r="O125" s="2619" t="s">
        <v>588</v>
      </c>
      <c r="Q125" s="3413"/>
      <c r="R125" s="3260"/>
      <c r="S125" s="3261"/>
      <c r="Z125" s="1773">
        <v>125</v>
      </c>
    </row>
    <row r="126" spans="1:26" s="289" customFormat="1" ht="11.25" hidden="1" customHeight="1">
      <c r="C126" s="291"/>
      <c r="D126" s="326"/>
      <c r="E126" s="2619" t="s">
        <v>1717</v>
      </c>
      <c r="H126" s="2762"/>
      <c r="I126" s="916" t="s">
        <v>2129</v>
      </c>
      <c r="J126" s="3266"/>
      <c r="K126" s="3267"/>
      <c r="L126" s="2630" t="s">
        <v>1895</v>
      </c>
      <c r="M126" s="3177"/>
      <c r="N126" s="3178"/>
      <c r="O126" s="3178"/>
      <c r="P126" s="3178"/>
      <c r="Q126" s="3264"/>
      <c r="R126" s="3264"/>
      <c r="S126" s="3265"/>
      <c r="Z126" s="1773">
        <v>126</v>
      </c>
    </row>
    <row r="127" spans="1:26" ht="2.25" hidden="1" customHeight="1">
      <c r="C127" s="315"/>
      <c r="Z127" s="1773">
        <v>127</v>
      </c>
    </row>
    <row r="128" spans="1:26" s="289" customFormat="1" ht="11.25" hidden="1" customHeight="1">
      <c r="C128" s="1750"/>
      <c r="D128" s="289" t="s">
        <v>6616</v>
      </c>
      <c r="H128" s="3392"/>
      <c r="I128" s="3414"/>
      <c r="J128" s="3415"/>
      <c r="K128" s="2630" t="s">
        <v>1716</v>
      </c>
      <c r="L128" s="3392"/>
      <c r="M128" s="3393"/>
      <c r="N128" s="3394"/>
      <c r="O128" s="2619" t="s">
        <v>3262</v>
      </c>
      <c r="Q128" s="3151"/>
      <c r="R128" s="3408"/>
      <c r="S128" s="3409"/>
      <c r="Z128" s="1773">
        <v>128</v>
      </c>
    </row>
    <row r="129" spans="3:26" s="289" customFormat="1" ht="11.25" hidden="1" customHeight="1">
      <c r="C129" s="291"/>
      <c r="D129" s="326"/>
      <c r="E129" s="2619" t="s">
        <v>6490</v>
      </c>
      <c r="F129" s="301"/>
      <c r="H129" s="3256"/>
      <c r="I129" s="3410"/>
      <c r="J129" s="3411"/>
      <c r="K129" s="3257"/>
      <c r="L129" s="3410"/>
      <c r="M129" s="3410"/>
      <c r="N129" s="3412"/>
      <c r="O129" s="2619" t="s">
        <v>588</v>
      </c>
      <c r="Q129" s="3413"/>
      <c r="R129" s="3260"/>
      <c r="S129" s="3261"/>
      <c r="Z129" s="1773">
        <v>129</v>
      </c>
    </row>
    <row r="130" spans="3:26" s="289" customFormat="1" ht="11.25" hidden="1" customHeight="1">
      <c r="C130" s="291"/>
      <c r="D130" s="326"/>
      <c r="E130" s="2619" t="s">
        <v>1717</v>
      </c>
      <c r="H130" s="2762"/>
      <c r="I130" s="916" t="s">
        <v>2129</v>
      </c>
      <c r="J130" s="3266"/>
      <c r="K130" s="3267"/>
      <c r="L130" s="2630" t="s">
        <v>1895</v>
      </c>
      <c r="M130" s="3177"/>
      <c r="N130" s="3178"/>
      <c r="O130" s="3178"/>
      <c r="P130" s="3178"/>
      <c r="Q130" s="3264"/>
      <c r="R130" s="3264"/>
      <c r="S130" s="3265"/>
      <c r="Z130" s="1773">
        <v>130</v>
      </c>
    </row>
    <row r="131" spans="3:26" ht="2.25" hidden="1" customHeight="1">
      <c r="C131" s="315"/>
      <c r="Z131" s="1773">
        <v>131</v>
      </c>
    </row>
    <row r="132" spans="3:26" s="289" customFormat="1" ht="11.25" hidden="1" customHeight="1">
      <c r="C132" s="1750"/>
      <c r="D132" s="289" t="s">
        <v>6794</v>
      </c>
      <c r="H132" s="3392"/>
      <c r="I132" s="3414"/>
      <c r="J132" s="3415"/>
      <c r="K132" s="2630" t="s">
        <v>1716</v>
      </c>
      <c r="L132" s="3392"/>
      <c r="M132" s="3393"/>
      <c r="N132" s="3394"/>
      <c r="O132" s="2619" t="s">
        <v>3262</v>
      </c>
      <c r="Q132" s="3151"/>
      <c r="R132" s="3408"/>
      <c r="S132" s="3409"/>
      <c r="Z132" s="1773">
        <v>132</v>
      </c>
    </row>
    <row r="133" spans="3:26" s="289" customFormat="1" ht="11.25" hidden="1" customHeight="1">
      <c r="C133" s="291"/>
      <c r="D133" s="326"/>
      <c r="E133" s="2619" t="s">
        <v>6490</v>
      </c>
      <c r="F133" s="301"/>
      <c r="H133" s="3256"/>
      <c r="I133" s="3410"/>
      <c r="J133" s="3411"/>
      <c r="K133" s="3257"/>
      <c r="L133" s="3410"/>
      <c r="M133" s="3410"/>
      <c r="N133" s="3412"/>
      <c r="O133" s="2619" t="s">
        <v>588</v>
      </c>
      <c r="Q133" s="3413"/>
      <c r="R133" s="3260"/>
      <c r="S133" s="3261"/>
      <c r="Z133" s="1773">
        <v>133</v>
      </c>
    </row>
    <row r="134" spans="3:26" s="289" customFormat="1" ht="11.25" hidden="1" customHeight="1">
      <c r="C134" s="291"/>
      <c r="D134" s="326"/>
      <c r="E134" s="2619" t="s">
        <v>1717</v>
      </c>
      <c r="H134" s="2762"/>
      <c r="I134" s="916" t="s">
        <v>2129</v>
      </c>
      <c r="J134" s="3266"/>
      <c r="K134" s="3267"/>
      <c r="L134" s="2630" t="s">
        <v>1895</v>
      </c>
      <c r="M134" s="3177"/>
      <c r="N134" s="3178"/>
      <c r="O134" s="3178"/>
      <c r="P134" s="3178"/>
      <c r="Q134" s="3264"/>
      <c r="R134" s="3264"/>
      <c r="S134" s="3265"/>
      <c r="Z134" s="1773">
        <v>134</v>
      </c>
    </row>
    <row r="135" spans="3:26" ht="2.25" hidden="1" customHeight="1">
      <c r="C135" s="315"/>
      <c r="Z135" s="1773">
        <v>135</v>
      </c>
    </row>
    <row r="136" spans="3:26" s="289" customFormat="1" ht="11.25" hidden="1" customHeight="1">
      <c r="C136" s="1750"/>
      <c r="D136" s="289" t="s">
        <v>6795</v>
      </c>
      <c r="H136" s="3392"/>
      <c r="I136" s="3414"/>
      <c r="J136" s="3415"/>
      <c r="K136" s="2630" t="s">
        <v>1716</v>
      </c>
      <c r="L136" s="3392"/>
      <c r="M136" s="3393"/>
      <c r="N136" s="3394"/>
      <c r="O136" s="2619" t="s">
        <v>3262</v>
      </c>
      <c r="Q136" s="3151"/>
      <c r="R136" s="3408"/>
      <c r="S136" s="3409"/>
      <c r="Z136" s="1773">
        <v>136</v>
      </c>
    </row>
    <row r="137" spans="3:26" s="289" customFormat="1" ht="11.25" hidden="1" customHeight="1">
      <c r="C137" s="291"/>
      <c r="D137" s="326"/>
      <c r="E137" s="2619" t="s">
        <v>6490</v>
      </c>
      <c r="F137" s="301"/>
      <c r="H137" s="3256"/>
      <c r="I137" s="3410"/>
      <c r="J137" s="3411"/>
      <c r="K137" s="3257"/>
      <c r="L137" s="3410"/>
      <c r="M137" s="3410"/>
      <c r="N137" s="3412"/>
      <c r="O137" s="2619" t="s">
        <v>588</v>
      </c>
      <c r="Q137" s="3413"/>
      <c r="R137" s="3260"/>
      <c r="S137" s="3261"/>
      <c r="Z137" s="1773">
        <v>137</v>
      </c>
    </row>
    <row r="138" spans="3:26" s="289" customFormat="1" ht="11.25" hidden="1" customHeight="1">
      <c r="C138" s="291"/>
      <c r="D138" s="326"/>
      <c r="E138" s="2619" t="s">
        <v>1717</v>
      </c>
      <c r="H138" s="2762"/>
      <c r="I138" s="916" t="s">
        <v>2129</v>
      </c>
      <c r="J138" s="3266"/>
      <c r="K138" s="3267"/>
      <c r="L138" s="2630" t="s">
        <v>1895</v>
      </c>
      <c r="M138" s="3177"/>
      <c r="N138" s="3178"/>
      <c r="O138" s="3178"/>
      <c r="P138" s="3178"/>
      <c r="Q138" s="3264"/>
      <c r="R138" s="3264"/>
      <c r="S138" s="3265"/>
      <c r="Z138" s="1773">
        <v>138</v>
      </c>
    </row>
    <row r="139" spans="3:26" ht="2.25" hidden="1" customHeight="1">
      <c r="C139" s="315"/>
      <c r="Z139" s="1773">
        <v>139</v>
      </c>
    </row>
    <row r="140" spans="3:26" s="289" customFormat="1" ht="11.25" hidden="1" customHeight="1">
      <c r="C140" s="1750"/>
      <c r="D140" s="289" t="s">
        <v>6796</v>
      </c>
      <c r="H140" s="3392"/>
      <c r="I140" s="3414"/>
      <c r="J140" s="3415"/>
      <c r="K140" s="2630" t="s">
        <v>1716</v>
      </c>
      <c r="L140" s="3392"/>
      <c r="M140" s="3393"/>
      <c r="N140" s="3394"/>
      <c r="O140" s="2619" t="s">
        <v>3262</v>
      </c>
      <c r="Q140" s="3151"/>
      <c r="R140" s="3408"/>
      <c r="S140" s="3409"/>
      <c r="Z140" s="1773">
        <v>140</v>
      </c>
    </row>
    <row r="141" spans="3:26" s="289" customFormat="1" ht="11.25" hidden="1" customHeight="1">
      <c r="C141" s="291"/>
      <c r="D141" s="326"/>
      <c r="E141" s="2619" t="s">
        <v>6490</v>
      </c>
      <c r="F141" s="301"/>
      <c r="H141" s="3256"/>
      <c r="I141" s="3410"/>
      <c r="J141" s="3411"/>
      <c r="K141" s="3257"/>
      <c r="L141" s="3410"/>
      <c r="M141" s="3410"/>
      <c r="N141" s="3412"/>
      <c r="O141" s="2619" t="s">
        <v>588</v>
      </c>
      <c r="Q141" s="3413"/>
      <c r="R141" s="3260"/>
      <c r="S141" s="3261"/>
      <c r="Z141" s="1773">
        <v>141</v>
      </c>
    </row>
    <row r="142" spans="3:26" s="289" customFormat="1" ht="11.25" hidden="1" customHeight="1">
      <c r="C142" s="291"/>
      <c r="D142" s="326"/>
      <c r="E142" s="2619" t="s">
        <v>1717</v>
      </c>
      <c r="H142" s="2762"/>
      <c r="I142" s="916" t="s">
        <v>2129</v>
      </c>
      <c r="J142" s="3266"/>
      <c r="K142" s="3267"/>
      <c r="L142" s="2630" t="s">
        <v>1895</v>
      </c>
      <c r="M142" s="3177"/>
      <c r="N142" s="3178"/>
      <c r="O142" s="3178"/>
      <c r="P142" s="3178"/>
      <c r="Q142" s="3264"/>
      <c r="R142" s="3264"/>
      <c r="S142" s="3265"/>
      <c r="Z142" s="1773">
        <v>142</v>
      </c>
    </row>
    <row r="143" spans="3:26" ht="2.25" hidden="1" customHeight="1">
      <c r="C143" s="315"/>
      <c r="Z143" s="1773">
        <v>143</v>
      </c>
    </row>
    <row r="144" spans="3:26" s="289" customFormat="1" ht="11.25" customHeight="1">
      <c r="C144" s="1750" t="s">
        <v>1899</v>
      </c>
      <c r="D144" s="289" t="s">
        <v>6781</v>
      </c>
      <c r="H144" s="3392"/>
      <c r="I144" s="3414"/>
      <c r="J144" s="3415"/>
      <c r="K144" s="2630" t="s">
        <v>1716</v>
      </c>
      <c r="L144" s="3392"/>
      <c r="M144" s="3393"/>
      <c r="N144" s="3394"/>
      <c r="O144" s="2619" t="s">
        <v>3262</v>
      </c>
      <c r="Q144" s="3151"/>
      <c r="R144" s="3408"/>
      <c r="S144" s="3409"/>
      <c r="Z144" s="1773">
        <v>144</v>
      </c>
    </row>
    <row r="145" spans="1:26" s="289" customFormat="1" ht="11.25" customHeight="1">
      <c r="C145" s="291"/>
      <c r="D145" s="326"/>
      <c r="E145" s="2619" t="s">
        <v>6490</v>
      </c>
      <c r="F145" s="301"/>
      <c r="H145" s="3256"/>
      <c r="I145" s="3410"/>
      <c r="J145" s="3411"/>
      <c r="K145" s="3257"/>
      <c r="L145" s="3410"/>
      <c r="M145" s="3410"/>
      <c r="N145" s="3412"/>
      <c r="O145" s="2619" t="s">
        <v>588</v>
      </c>
      <c r="Q145" s="3413"/>
      <c r="R145" s="3260"/>
      <c r="S145" s="3261"/>
      <c r="Z145" s="1773">
        <v>145</v>
      </c>
    </row>
    <row r="146" spans="1:26" s="289" customFormat="1" ht="11.25" customHeight="1">
      <c r="C146" s="291"/>
      <c r="D146" s="326"/>
      <c r="E146" s="2619" t="s">
        <v>1717</v>
      </c>
      <c r="H146" s="2762"/>
      <c r="I146" s="916" t="s">
        <v>2129</v>
      </c>
      <c r="J146" s="3266"/>
      <c r="K146" s="3267"/>
      <c r="L146" s="2630" t="s">
        <v>1895</v>
      </c>
      <c r="M146" s="3177"/>
      <c r="N146" s="3178"/>
      <c r="O146" s="3178"/>
      <c r="P146" s="3178"/>
      <c r="Q146" s="3264"/>
      <c r="R146" s="3264"/>
      <c r="S146" s="3265"/>
      <c r="Z146" s="1773">
        <v>146</v>
      </c>
    </row>
    <row r="147" spans="1:26" ht="2.25" customHeight="1">
      <c r="C147" s="315"/>
      <c r="Z147" s="1773">
        <v>147</v>
      </c>
    </row>
    <row r="148" spans="1:26" s="289" customFormat="1" ht="11.25" customHeight="1">
      <c r="C148" s="1750" t="s">
        <v>2417</v>
      </c>
      <c r="D148" s="289" t="s">
        <v>6782</v>
      </c>
      <c r="H148" s="3392"/>
      <c r="I148" s="3414"/>
      <c r="J148" s="3415"/>
      <c r="K148" s="2630" t="s">
        <v>1716</v>
      </c>
      <c r="L148" s="3392"/>
      <c r="M148" s="3393"/>
      <c r="N148" s="3394"/>
      <c r="O148" s="2619" t="s">
        <v>3262</v>
      </c>
      <c r="Q148" s="3151"/>
      <c r="R148" s="3408"/>
      <c r="S148" s="3409"/>
      <c r="Z148" s="1773">
        <v>148</v>
      </c>
    </row>
    <row r="149" spans="1:26" s="289" customFormat="1" ht="11.25" customHeight="1">
      <c r="D149" s="326"/>
      <c r="E149" s="2619" t="s">
        <v>6490</v>
      </c>
      <c r="F149" s="301"/>
      <c r="H149" s="3256"/>
      <c r="I149" s="3410"/>
      <c r="J149" s="3411"/>
      <c r="K149" s="3257"/>
      <c r="L149" s="3410"/>
      <c r="M149" s="3410"/>
      <c r="N149" s="3412"/>
      <c r="O149" s="2619" t="s">
        <v>588</v>
      </c>
      <c r="Q149" s="3413"/>
      <c r="R149" s="3260"/>
      <c r="S149" s="3261"/>
      <c r="Z149" s="1773">
        <v>149</v>
      </c>
    </row>
    <row r="150" spans="1:26" s="289" customFormat="1" ht="11.25" customHeight="1">
      <c r="D150" s="326"/>
      <c r="E150" s="2619" t="s">
        <v>1717</v>
      </c>
      <c r="H150" s="2762"/>
      <c r="I150" s="916" t="s">
        <v>2129</v>
      </c>
      <c r="J150" s="3266"/>
      <c r="K150" s="3267"/>
      <c r="L150" s="2630" t="s">
        <v>1895</v>
      </c>
      <c r="M150" s="3177"/>
      <c r="N150" s="3178"/>
      <c r="O150" s="3178"/>
      <c r="P150" s="3178"/>
      <c r="Q150" s="3264"/>
      <c r="R150" s="3264"/>
      <c r="S150" s="3265"/>
      <c r="Z150" s="1773">
        <v>150</v>
      </c>
    </row>
    <row r="151" spans="1:26" ht="6" customHeight="1">
      <c r="Z151" s="1773">
        <v>151</v>
      </c>
    </row>
    <row r="152" spans="1:26" ht="12" customHeight="1">
      <c r="B152" s="291" t="s">
        <v>1896</v>
      </c>
      <c r="C152" s="291" t="s">
        <v>4064</v>
      </c>
      <c r="H152" s="1296"/>
      <c r="I152" s="1296"/>
      <c r="J152" s="1296"/>
      <c r="K152" s="1296"/>
      <c r="L152" s="1296"/>
      <c r="M152" s="1296"/>
      <c r="N152" s="1296"/>
      <c r="O152" s="1296"/>
      <c r="P152" s="1296"/>
      <c r="Q152" s="1296"/>
      <c r="R152" s="1296"/>
      <c r="S152" s="1296"/>
      <c r="Z152" s="1773">
        <v>152</v>
      </c>
    </row>
    <row r="153" spans="1:26" ht="13.5" thickBot="1">
      <c r="A153" s="3473" t="s">
        <v>3438</v>
      </c>
      <c r="B153" s="3473"/>
      <c r="C153" s="3473"/>
      <c r="D153" s="3473"/>
      <c r="E153" s="3473"/>
      <c r="H153" s="2763" t="s">
        <v>2393</v>
      </c>
      <c r="I153" s="3467" t="s">
        <v>6797</v>
      </c>
      <c r="J153" s="3468"/>
      <c r="K153" s="3468"/>
      <c r="L153" s="3468"/>
      <c r="M153" s="3468"/>
      <c r="N153" s="3468"/>
      <c r="O153" s="3468"/>
      <c r="P153" s="3468"/>
      <c r="Q153" s="3468"/>
      <c r="R153" s="3468"/>
      <c r="S153" s="3469"/>
      <c r="Z153" s="1773">
        <v>153</v>
      </c>
    </row>
    <row r="154" spans="1:26" s="289" customFormat="1" ht="15" customHeight="1" thickBot="1">
      <c r="B154" s="1751" t="s">
        <v>1897</v>
      </c>
      <c r="C154" s="320" t="s">
        <v>2632</v>
      </c>
      <c r="E154" s="320"/>
      <c r="H154" s="2764" t="s">
        <v>2773</v>
      </c>
      <c r="I154" s="3378"/>
      <c r="J154" s="3379"/>
      <c r="K154" s="3379"/>
      <c r="L154" s="3379"/>
      <c r="M154" s="3379"/>
      <c r="N154" s="3379"/>
      <c r="O154" s="3379"/>
      <c r="P154" s="3379"/>
      <c r="Q154" s="3379"/>
      <c r="R154" s="3379"/>
      <c r="S154" s="3380"/>
      <c r="U154" s="3381" t="s">
        <v>1941</v>
      </c>
      <c r="V154" s="3381"/>
      <c r="Z154" s="1773">
        <v>154</v>
      </c>
    </row>
    <row r="155" spans="1:26" s="289" customFormat="1" ht="15" customHeight="1" thickBot="1">
      <c r="B155" s="550" t="s">
        <v>1899</v>
      </c>
      <c r="C155" s="469" t="s">
        <v>6488</v>
      </c>
      <c r="E155" s="320"/>
      <c r="H155" s="2764" t="s">
        <v>2773</v>
      </c>
      <c r="I155" s="3375"/>
      <c r="J155" s="3376"/>
      <c r="K155" s="3376"/>
      <c r="L155" s="3376"/>
      <c r="M155" s="3376"/>
      <c r="N155" s="3376"/>
      <c r="O155" s="3376"/>
      <c r="P155" s="3376"/>
      <c r="Q155" s="3376"/>
      <c r="R155" s="3376"/>
      <c r="S155" s="3377"/>
      <c r="U155" s="3381"/>
      <c r="V155" s="3381"/>
      <c r="Z155" s="1773">
        <v>155</v>
      </c>
    </row>
    <row r="156" spans="1:26" s="289" customFormat="1" ht="15" customHeight="1" thickBot="1">
      <c r="B156" s="550" t="s">
        <v>2417</v>
      </c>
      <c r="C156" s="469" t="s">
        <v>2671</v>
      </c>
      <c r="E156" s="320"/>
      <c r="H156" s="2764" t="s">
        <v>2773</v>
      </c>
      <c r="I156" s="3375"/>
      <c r="J156" s="3376"/>
      <c r="K156" s="3376"/>
      <c r="L156" s="3376"/>
      <c r="M156" s="3376"/>
      <c r="N156" s="3376"/>
      <c r="O156" s="3376"/>
      <c r="P156" s="3376"/>
      <c r="Q156" s="3376"/>
      <c r="R156" s="3376"/>
      <c r="S156" s="3377"/>
      <c r="U156" s="3381"/>
      <c r="V156" s="3381"/>
      <c r="Z156" s="1773">
        <v>156</v>
      </c>
    </row>
    <row r="157" spans="1:26" s="289" customFormat="1" ht="15" customHeight="1" thickBot="1">
      <c r="B157" s="550" t="s">
        <v>1178</v>
      </c>
      <c r="C157" s="469" t="s">
        <v>2633</v>
      </c>
      <c r="E157" s="320"/>
      <c r="H157" s="2764" t="s">
        <v>2773</v>
      </c>
      <c r="I157" s="3375"/>
      <c r="J157" s="3376"/>
      <c r="K157" s="3376"/>
      <c r="L157" s="3376"/>
      <c r="M157" s="3376"/>
      <c r="N157" s="3376"/>
      <c r="O157" s="3376"/>
      <c r="P157" s="3376"/>
      <c r="Q157" s="3376"/>
      <c r="R157" s="3376"/>
      <c r="S157" s="3377"/>
      <c r="U157" s="3381"/>
      <c r="V157" s="3381"/>
      <c r="Z157" s="1773">
        <v>157</v>
      </c>
    </row>
    <row r="158" spans="1:26" s="289" customFormat="1" ht="15" customHeight="1" thickBot="1">
      <c r="B158" s="550" t="s">
        <v>1179</v>
      </c>
      <c r="C158" s="469" t="s">
        <v>3196</v>
      </c>
      <c r="E158" s="320"/>
      <c r="H158" s="2764" t="s">
        <v>2773</v>
      </c>
      <c r="I158" s="3375"/>
      <c r="J158" s="3376"/>
      <c r="K158" s="3376"/>
      <c r="L158" s="3376"/>
      <c r="M158" s="3376"/>
      <c r="N158" s="3376"/>
      <c r="O158" s="3376"/>
      <c r="P158" s="3376"/>
      <c r="Q158" s="3376"/>
      <c r="R158" s="3376"/>
      <c r="S158" s="3377"/>
      <c r="U158" s="3381"/>
      <c r="V158" s="3381"/>
      <c r="Z158" s="1773">
        <v>158</v>
      </c>
    </row>
    <row r="159" spans="1:26" s="289" customFormat="1" ht="15" customHeight="1" thickBot="1">
      <c r="B159" s="550" t="s">
        <v>1793</v>
      </c>
      <c r="C159" s="469" t="s">
        <v>3197</v>
      </c>
      <c r="E159" s="320"/>
      <c r="H159" s="2764" t="s">
        <v>2773</v>
      </c>
      <c r="I159" s="3375"/>
      <c r="J159" s="3376"/>
      <c r="K159" s="3376"/>
      <c r="L159" s="3376"/>
      <c r="M159" s="3376"/>
      <c r="N159" s="3376"/>
      <c r="O159" s="3376"/>
      <c r="P159" s="3376"/>
      <c r="Q159" s="3376"/>
      <c r="R159" s="3376"/>
      <c r="S159" s="3377"/>
      <c r="U159" s="3381"/>
      <c r="V159" s="3381"/>
      <c r="Z159" s="1773">
        <v>159</v>
      </c>
    </row>
    <row r="160" spans="1:26" s="289" customFormat="1" ht="15" customHeight="1" thickBot="1">
      <c r="B160" s="550" t="s">
        <v>481</v>
      </c>
      <c r="C160" s="469" t="s">
        <v>2634</v>
      </c>
      <c r="E160" s="320"/>
      <c r="H160" s="2764" t="s">
        <v>2773</v>
      </c>
      <c r="I160" s="3375"/>
      <c r="J160" s="3376"/>
      <c r="K160" s="3376"/>
      <c r="L160" s="3376"/>
      <c r="M160" s="3376"/>
      <c r="N160" s="3376"/>
      <c r="O160" s="3376"/>
      <c r="P160" s="3376"/>
      <c r="Q160" s="3376"/>
      <c r="R160" s="3376"/>
      <c r="S160" s="3377"/>
      <c r="Z160" s="1773">
        <v>160</v>
      </c>
    </row>
    <row r="161" spans="1:26" s="289" customFormat="1" ht="15" customHeight="1" thickBot="1">
      <c r="B161" s="550" t="s">
        <v>482</v>
      </c>
      <c r="C161" s="469" t="s">
        <v>4076</v>
      </c>
      <c r="E161" s="320"/>
      <c r="H161" s="2764" t="s">
        <v>2773</v>
      </c>
      <c r="I161" s="3375"/>
      <c r="J161" s="3376"/>
      <c r="K161" s="3376"/>
      <c r="L161" s="3376"/>
      <c r="M161" s="3376"/>
      <c r="N161" s="3376"/>
      <c r="O161" s="3376"/>
      <c r="P161" s="3376"/>
      <c r="Q161" s="3376"/>
      <c r="R161" s="3376"/>
      <c r="S161" s="3377"/>
      <c r="Z161" s="1773">
        <v>161</v>
      </c>
    </row>
    <row r="162" spans="1:26" s="289" customFormat="1" ht="49.5" customHeight="1" thickBot="1">
      <c r="B162" s="550" t="s">
        <v>4075</v>
      </c>
      <c r="C162" s="3470" t="s">
        <v>6972</v>
      </c>
      <c r="D162" s="3471"/>
      <c r="E162" s="3471"/>
      <c r="F162" s="3471"/>
      <c r="G162" s="3472"/>
      <c r="H162" s="2764" t="s">
        <v>2770</v>
      </c>
      <c r="I162" s="3372" t="s">
        <v>7029</v>
      </c>
      <c r="J162" s="3373"/>
      <c r="K162" s="3373"/>
      <c r="L162" s="3373"/>
      <c r="M162" s="3373"/>
      <c r="N162" s="3373"/>
      <c r="O162" s="3373"/>
      <c r="P162" s="3373"/>
      <c r="Q162" s="3373"/>
      <c r="R162" s="3373"/>
      <c r="S162" s="3374"/>
      <c r="Z162" s="1773">
        <v>162</v>
      </c>
    </row>
    <row r="163" spans="1:26" s="289" customFormat="1" ht="13.35" customHeight="1">
      <c r="A163" s="291" t="s">
        <v>1711</v>
      </c>
      <c r="B163" s="291" t="s">
        <v>2640</v>
      </c>
      <c r="F163" s="291"/>
      <c r="G163" s="2630"/>
      <c r="H163" s="2630"/>
      <c r="I163" s="2630"/>
      <c r="J163" s="2630"/>
      <c r="K163" s="2630"/>
      <c r="L163" s="2630"/>
      <c r="M163" s="2630"/>
      <c r="N163" s="2630"/>
      <c r="O163" s="2630"/>
      <c r="P163" s="2630"/>
      <c r="Q163" s="2636"/>
      <c r="Z163" s="1773">
        <v>163</v>
      </c>
    </row>
    <row r="164" spans="1:26" s="289" customFormat="1" ht="2.25" customHeight="1">
      <c r="A164" s="291"/>
      <c r="B164" s="291"/>
      <c r="F164" s="291"/>
      <c r="G164" s="2630"/>
      <c r="H164" s="2630"/>
      <c r="I164" s="2630"/>
      <c r="J164" s="2630"/>
      <c r="K164" s="2630"/>
      <c r="L164" s="2630"/>
      <c r="M164" s="2630"/>
      <c r="N164" s="2630"/>
      <c r="O164" s="2630"/>
      <c r="P164" s="2630"/>
      <c r="Q164" s="2636"/>
      <c r="Z164" s="1773">
        <v>164</v>
      </c>
    </row>
    <row r="165" spans="1:26" ht="13.35" customHeight="1">
      <c r="B165" s="291" t="s">
        <v>719</v>
      </c>
      <c r="C165" s="291" t="s">
        <v>4065</v>
      </c>
      <c r="Z165" s="1773">
        <v>165</v>
      </c>
    </row>
    <row r="166" spans="1:26" s="289" customFormat="1" ht="12.75" customHeight="1">
      <c r="A166" s="3437" t="s">
        <v>610</v>
      </c>
      <c r="B166" s="3438"/>
      <c r="C166" s="3438"/>
      <c r="D166" s="3438"/>
      <c r="E166" s="3442" t="s">
        <v>3185</v>
      </c>
      <c r="F166" s="3443"/>
      <c r="G166" s="3443"/>
      <c r="H166" s="3443"/>
      <c r="I166" s="3444"/>
      <c r="J166" s="3448" t="s">
        <v>3186</v>
      </c>
      <c r="K166" s="3451" t="s">
        <v>2696</v>
      </c>
      <c r="L166" s="3451" t="s">
        <v>2697</v>
      </c>
      <c r="M166" s="3454" t="s">
        <v>6798</v>
      </c>
      <c r="N166" s="3455"/>
      <c r="O166" s="3455"/>
      <c r="P166" s="3455"/>
      <c r="Q166" s="3455"/>
      <c r="R166" s="3455"/>
      <c r="S166" s="3456"/>
      <c r="Z166" s="1773">
        <v>166</v>
      </c>
    </row>
    <row r="167" spans="1:26" s="289" customFormat="1" ht="12.75" customHeight="1">
      <c r="A167" s="3439"/>
      <c r="B167" s="3213"/>
      <c r="C167" s="3213"/>
      <c r="D167" s="3213"/>
      <c r="E167" s="3445"/>
      <c r="F167" s="3446"/>
      <c r="G167" s="3446"/>
      <c r="H167" s="3446"/>
      <c r="I167" s="3447"/>
      <c r="J167" s="3449"/>
      <c r="K167" s="3452"/>
      <c r="L167" s="3452"/>
      <c r="M167" s="3457"/>
      <c r="N167" s="3458"/>
      <c r="O167" s="3458"/>
      <c r="P167" s="3458"/>
      <c r="Q167" s="3458"/>
      <c r="R167" s="3458"/>
      <c r="S167" s="3459"/>
      <c r="Z167" s="1773">
        <v>167</v>
      </c>
    </row>
    <row r="168" spans="1:26" s="289" customFormat="1" ht="12.75" customHeight="1">
      <c r="A168" s="3439"/>
      <c r="B168" s="3213"/>
      <c r="C168" s="3213"/>
      <c r="D168" s="3213"/>
      <c r="E168" s="3445"/>
      <c r="F168" s="3446"/>
      <c r="G168" s="3446"/>
      <c r="H168" s="3446"/>
      <c r="I168" s="3447"/>
      <c r="J168" s="3449"/>
      <c r="K168" s="3452"/>
      <c r="L168" s="3452"/>
      <c r="M168" s="3457"/>
      <c r="N168" s="3458"/>
      <c r="O168" s="3458"/>
      <c r="P168" s="3458"/>
      <c r="Q168" s="3458"/>
      <c r="R168" s="3458"/>
      <c r="S168" s="3459"/>
      <c r="Z168" s="1773">
        <v>168</v>
      </c>
    </row>
    <row r="169" spans="1:26" s="289" customFormat="1" ht="12.75" customHeight="1">
      <c r="A169" s="3439"/>
      <c r="B169" s="3213"/>
      <c r="C169" s="3213"/>
      <c r="D169" s="3213"/>
      <c r="E169" s="3460" t="s">
        <v>3350</v>
      </c>
      <c r="F169" s="3461"/>
      <c r="G169" s="3461"/>
      <c r="H169" s="3462"/>
      <c r="I169" s="551"/>
      <c r="J169" s="3449"/>
      <c r="K169" s="3452"/>
      <c r="L169" s="3452"/>
      <c r="M169" s="3457"/>
      <c r="N169" s="3458"/>
      <c r="O169" s="3458"/>
      <c r="P169" s="3458"/>
      <c r="Q169" s="3458"/>
      <c r="R169" s="3458"/>
      <c r="S169" s="3459"/>
      <c r="Z169" s="1773">
        <v>169</v>
      </c>
    </row>
    <row r="170" spans="1:26" s="289" customFormat="1" ht="13.5" customHeight="1">
      <c r="A170" s="3440"/>
      <c r="B170" s="3441"/>
      <c r="C170" s="3441"/>
      <c r="D170" s="3441"/>
      <c r="E170" s="3463"/>
      <c r="F170" s="3464"/>
      <c r="G170" s="3464"/>
      <c r="H170" s="3465"/>
      <c r="I170" s="1300" t="s">
        <v>2393</v>
      </c>
      <c r="J170" s="3450"/>
      <c r="K170" s="3453"/>
      <c r="L170" s="3452"/>
      <c r="M170" s="1301" t="s">
        <v>2393</v>
      </c>
      <c r="N170" s="3201" t="s">
        <v>2695</v>
      </c>
      <c r="O170" s="3201"/>
      <c r="P170" s="3201"/>
      <c r="Q170" s="3201"/>
      <c r="R170" s="3201"/>
      <c r="S170" s="3466"/>
      <c r="Z170" s="1773">
        <v>170</v>
      </c>
    </row>
    <row r="171" spans="1:26" s="289" customFormat="1" ht="23.25" customHeight="1">
      <c r="A171" s="3432" t="s">
        <v>3180</v>
      </c>
      <c r="B171" s="3433"/>
      <c r="C171" s="3433"/>
      <c r="D171" s="3434"/>
      <c r="E171" s="3435"/>
      <c r="F171" s="3379"/>
      <c r="G171" s="3379"/>
      <c r="H171" s="3379"/>
      <c r="I171" s="2765" t="s">
        <v>2773</v>
      </c>
      <c r="J171" s="2766" t="s">
        <v>2773</v>
      </c>
      <c r="K171" s="2766" t="s">
        <v>6864</v>
      </c>
      <c r="L171" s="2767">
        <v>9.0000000000000006E-5</v>
      </c>
      <c r="M171" s="2768" t="s">
        <v>2773</v>
      </c>
      <c r="N171" s="3436"/>
      <c r="O171" s="3379"/>
      <c r="P171" s="3379"/>
      <c r="Q171" s="3379"/>
      <c r="R171" s="3379"/>
      <c r="S171" s="3380"/>
      <c r="Z171" s="1773">
        <v>171</v>
      </c>
    </row>
    <row r="172" spans="1:26" s="289" customFormat="1" ht="23.25" customHeight="1">
      <c r="A172" s="3427" t="s">
        <v>3181</v>
      </c>
      <c r="B172" s="3428"/>
      <c r="C172" s="3428"/>
      <c r="D172" s="3429"/>
      <c r="E172" s="3430"/>
      <c r="F172" s="3376"/>
      <c r="G172" s="3376"/>
      <c r="H172" s="3376"/>
      <c r="I172" s="2769" t="s">
        <v>4017</v>
      </c>
      <c r="J172" s="2770" t="s">
        <v>4017</v>
      </c>
      <c r="K172" s="2770"/>
      <c r="L172" s="2771"/>
      <c r="M172" s="2772" t="s">
        <v>4017</v>
      </c>
      <c r="N172" s="3431"/>
      <c r="O172" s="3376"/>
      <c r="P172" s="3376"/>
      <c r="Q172" s="3376"/>
      <c r="R172" s="3376"/>
      <c r="S172" s="3377"/>
      <c r="U172" s="3381" t="s">
        <v>1941</v>
      </c>
      <c r="V172" s="3381"/>
      <c r="Z172" s="1773">
        <v>172</v>
      </c>
    </row>
    <row r="173" spans="1:26" s="289" customFormat="1" ht="23.25" customHeight="1">
      <c r="A173" s="3427" t="s">
        <v>3182</v>
      </c>
      <c r="B173" s="3428"/>
      <c r="C173" s="3428"/>
      <c r="D173" s="3429"/>
      <c r="E173" s="3430"/>
      <c r="F173" s="3376"/>
      <c r="G173" s="3376"/>
      <c r="H173" s="3376"/>
      <c r="I173" s="2769" t="s">
        <v>4017</v>
      </c>
      <c r="J173" s="2770" t="s">
        <v>4017</v>
      </c>
      <c r="K173" s="2770"/>
      <c r="L173" s="2771"/>
      <c r="M173" s="2772" t="s">
        <v>4017</v>
      </c>
      <c r="N173" s="3431"/>
      <c r="O173" s="3376"/>
      <c r="P173" s="3376"/>
      <c r="Q173" s="3376"/>
      <c r="R173" s="3376"/>
      <c r="S173" s="3377"/>
      <c r="U173" s="3381"/>
      <c r="V173" s="3381"/>
      <c r="Z173" s="1773">
        <v>173</v>
      </c>
    </row>
    <row r="174" spans="1:26" s="289" customFormat="1" ht="23.25" customHeight="1">
      <c r="A174" s="3427" t="s">
        <v>3183</v>
      </c>
      <c r="B174" s="3428"/>
      <c r="C174" s="3428"/>
      <c r="D174" s="3429"/>
      <c r="E174" s="3430"/>
      <c r="F174" s="3376"/>
      <c r="G174" s="3376"/>
      <c r="H174" s="3376"/>
      <c r="I174" s="2769" t="s">
        <v>2773</v>
      </c>
      <c r="J174" s="2770" t="s">
        <v>2773</v>
      </c>
      <c r="K174" s="2770" t="s">
        <v>6864</v>
      </c>
      <c r="L174" s="2771">
        <v>0.98990999999999996</v>
      </c>
      <c r="M174" s="2772" t="s">
        <v>2773</v>
      </c>
      <c r="N174" s="3431"/>
      <c r="O174" s="3376"/>
      <c r="P174" s="3376"/>
      <c r="Q174" s="3376"/>
      <c r="R174" s="3376"/>
      <c r="S174" s="3377"/>
      <c r="U174" s="3381"/>
      <c r="V174" s="3381"/>
      <c r="Z174" s="1773">
        <v>174</v>
      </c>
    </row>
    <row r="175" spans="1:26" s="289" customFormat="1" ht="23.25" customHeight="1">
      <c r="A175" s="3427" t="s">
        <v>3184</v>
      </c>
      <c r="B175" s="3428"/>
      <c r="C175" s="3428"/>
      <c r="D175" s="3429"/>
      <c r="E175" s="3430"/>
      <c r="F175" s="3376"/>
      <c r="G175" s="3376"/>
      <c r="H175" s="3376"/>
      <c r="I175" s="2769" t="s">
        <v>2773</v>
      </c>
      <c r="J175" s="2770" t="s">
        <v>2773</v>
      </c>
      <c r="K175" s="2770" t="s">
        <v>6864</v>
      </c>
      <c r="L175" s="2771">
        <v>0.01</v>
      </c>
      <c r="M175" s="2772" t="s">
        <v>2773</v>
      </c>
      <c r="N175" s="3431"/>
      <c r="O175" s="3376"/>
      <c r="P175" s="3376"/>
      <c r="Q175" s="3376"/>
      <c r="R175" s="3376"/>
      <c r="S175" s="3377"/>
      <c r="U175" s="3381"/>
      <c r="V175" s="3381"/>
      <c r="Z175" s="1773">
        <v>175</v>
      </c>
    </row>
    <row r="176" spans="1:26" s="289" customFormat="1" ht="23.25" customHeight="1">
      <c r="A176" s="3427" t="s">
        <v>2685</v>
      </c>
      <c r="B176" s="3428"/>
      <c r="C176" s="3428"/>
      <c r="D176" s="3429"/>
      <c r="E176" s="3430"/>
      <c r="F176" s="3376"/>
      <c r="G176" s="3376"/>
      <c r="H176" s="3376"/>
      <c r="I176" s="2769" t="s">
        <v>2773</v>
      </c>
      <c r="J176" s="2770" t="s">
        <v>2773</v>
      </c>
      <c r="K176" s="2770" t="s">
        <v>2481</v>
      </c>
      <c r="L176" s="2771">
        <v>0</v>
      </c>
      <c r="M176" s="2772" t="s">
        <v>2773</v>
      </c>
      <c r="N176" s="3431"/>
      <c r="O176" s="3376"/>
      <c r="P176" s="3376"/>
      <c r="Q176" s="3376"/>
      <c r="R176" s="3376"/>
      <c r="S176" s="3377"/>
      <c r="U176" s="3381"/>
      <c r="V176" s="3381"/>
      <c r="Z176" s="1773">
        <v>176</v>
      </c>
    </row>
    <row r="177" spans="1:26" s="289" customFormat="1" ht="23.25" customHeight="1">
      <c r="A177" s="3427" t="s">
        <v>623</v>
      </c>
      <c r="B177" s="3428"/>
      <c r="C177" s="3428"/>
      <c r="D177" s="3429"/>
      <c r="E177" s="3430"/>
      <c r="F177" s="3376"/>
      <c r="G177" s="3376"/>
      <c r="H177" s="3376"/>
      <c r="I177" s="2769" t="s">
        <v>2773</v>
      </c>
      <c r="J177" s="2770" t="s">
        <v>2773</v>
      </c>
      <c r="K177" s="2770" t="s">
        <v>6864</v>
      </c>
      <c r="L177" s="2771">
        <v>0</v>
      </c>
      <c r="M177" s="2772" t="s">
        <v>2773</v>
      </c>
      <c r="N177" s="3431"/>
      <c r="O177" s="3376"/>
      <c r="P177" s="3376"/>
      <c r="Q177" s="3376"/>
      <c r="R177" s="3376"/>
      <c r="S177" s="3377"/>
      <c r="U177" s="3381"/>
      <c r="V177" s="3381"/>
      <c r="Z177" s="1773">
        <v>177</v>
      </c>
    </row>
    <row r="178" spans="1:26" s="289" customFormat="1" ht="23.25" customHeight="1">
      <c r="A178" s="3427" t="s">
        <v>2686</v>
      </c>
      <c r="B178" s="3428"/>
      <c r="C178" s="3428"/>
      <c r="D178" s="3429"/>
      <c r="E178" s="3430"/>
      <c r="F178" s="3376"/>
      <c r="G178" s="3376"/>
      <c r="H178" s="3376"/>
      <c r="I178" s="2769" t="s">
        <v>4017</v>
      </c>
      <c r="J178" s="2770" t="s">
        <v>4017</v>
      </c>
      <c r="K178" s="2770"/>
      <c r="L178" s="2771"/>
      <c r="M178" s="2772" t="s">
        <v>4017</v>
      </c>
      <c r="N178" s="3431"/>
      <c r="O178" s="3376"/>
      <c r="P178" s="3376"/>
      <c r="Q178" s="3376"/>
      <c r="R178" s="3376"/>
      <c r="S178" s="3377"/>
      <c r="Z178" s="1773">
        <v>178</v>
      </c>
    </row>
    <row r="179" spans="1:26" s="289" customFormat="1" ht="23.25" customHeight="1">
      <c r="A179" s="3427" t="s">
        <v>2687</v>
      </c>
      <c r="B179" s="3428"/>
      <c r="C179" s="3428"/>
      <c r="D179" s="3429"/>
      <c r="E179" s="3430"/>
      <c r="F179" s="3376"/>
      <c r="G179" s="3376"/>
      <c r="H179" s="3376"/>
      <c r="I179" s="2769" t="s">
        <v>4017</v>
      </c>
      <c r="J179" s="2770" t="s">
        <v>4017</v>
      </c>
      <c r="K179" s="2770"/>
      <c r="L179" s="2771"/>
      <c r="M179" s="2772" t="s">
        <v>4017</v>
      </c>
      <c r="N179" s="3431"/>
      <c r="O179" s="3376"/>
      <c r="P179" s="3376"/>
      <c r="Q179" s="3376"/>
      <c r="R179" s="3376"/>
      <c r="S179" s="3377"/>
      <c r="Z179" s="1773">
        <v>179</v>
      </c>
    </row>
    <row r="180" spans="1:26" s="289" customFormat="1" ht="23.25" customHeight="1">
      <c r="A180" s="3427" t="s">
        <v>2689</v>
      </c>
      <c r="B180" s="3428"/>
      <c r="C180" s="3428"/>
      <c r="D180" s="3429"/>
      <c r="E180" s="3430"/>
      <c r="F180" s="3376"/>
      <c r="G180" s="3376"/>
      <c r="H180" s="3376"/>
      <c r="I180" s="2769" t="s">
        <v>4017</v>
      </c>
      <c r="J180" s="2770" t="s">
        <v>4017</v>
      </c>
      <c r="K180" s="2770"/>
      <c r="L180" s="2771"/>
      <c r="M180" s="2772" t="s">
        <v>4017</v>
      </c>
      <c r="N180" s="3431"/>
      <c r="O180" s="3376"/>
      <c r="P180" s="3376"/>
      <c r="Q180" s="3376"/>
      <c r="R180" s="3376"/>
      <c r="S180" s="3377"/>
      <c r="Z180" s="1773">
        <v>180</v>
      </c>
    </row>
    <row r="181" spans="1:26" s="289" customFormat="1" ht="23.25" customHeight="1">
      <c r="A181" s="3427" t="s">
        <v>2688</v>
      </c>
      <c r="B181" s="3428"/>
      <c r="C181" s="3428"/>
      <c r="D181" s="3429"/>
      <c r="E181" s="3430"/>
      <c r="F181" s="3376"/>
      <c r="G181" s="3376"/>
      <c r="H181" s="3376"/>
      <c r="I181" s="2769" t="s">
        <v>2773</v>
      </c>
      <c r="J181" s="2770" t="s">
        <v>2773</v>
      </c>
      <c r="K181" s="2770" t="s">
        <v>6864</v>
      </c>
      <c r="L181" s="2771">
        <v>0</v>
      </c>
      <c r="M181" s="2772" t="s">
        <v>2773</v>
      </c>
      <c r="N181" s="3431"/>
      <c r="O181" s="3376"/>
      <c r="P181" s="3376"/>
      <c r="Q181" s="3376"/>
      <c r="R181" s="3376"/>
      <c r="S181" s="3377"/>
      <c r="Z181" s="1773">
        <v>181</v>
      </c>
    </row>
    <row r="182" spans="1:26" s="289" customFormat="1" ht="23.25" customHeight="1">
      <c r="A182" s="3427" t="s">
        <v>1468</v>
      </c>
      <c r="B182" s="3428"/>
      <c r="C182" s="3428"/>
      <c r="D182" s="3429"/>
      <c r="E182" s="3430"/>
      <c r="F182" s="3376"/>
      <c r="G182" s="3376"/>
      <c r="H182" s="3376"/>
      <c r="I182" s="2769" t="s">
        <v>2773</v>
      </c>
      <c r="J182" s="2770" t="s">
        <v>2773</v>
      </c>
      <c r="K182" s="2770" t="s">
        <v>6864</v>
      </c>
      <c r="L182" s="2771">
        <v>0</v>
      </c>
      <c r="M182" s="2772" t="s">
        <v>2773</v>
      </c>
      <c r="N182" s="3431"/>
      <c r="O182" s="3376"/>
      <c r="P182" s="3376"/>
      <c r="Q182" s="3376"/>
      <c r="R182" s="3376"/>
      <c r="S182" s="3377"/>
      <c r="Z182" s="1773">
        <v>182</v>
      </c>
    </row>
    <row r="183" spans="1:26" s="289" customFormat="1" ht="23.25" customHeight="1">
      <c r="A183" s="3416" t="s">
        <v>2690</v>
      </c>
      <c r="B183" s="3417"/>
      <c r="C183" s="3417"/>
      <c r="D183" s="3418"/>
      <c r="E183" s="3419"/>
      <c r="F183" s="3373"/>
      <c r="G183" s="3373"/>
      <c r="H183" s="3373"/>
      <c r="I183" s="2773" t="s">
        <v>2773</v>
      </c>
      <c r="J183" s="2774" t="s">
        <v>2773</v>
      </c>
      <c r="K183" s="2774" t="s">
        <v>6864</v>
      </c>
      <c r="L183" s="2775">
        <v>0</v>
      </c>
      <c r="M183" s="2776" t="s">
        <v>2773</v>
      </c>
      <c r="N183" s="3420"/>
      <c r="O183" s="3373"/>
      <c r="P183" s="3373"/>
      <c r="Q183" s="3373"/>
      <c r="R183" s="3373"/>
      <c r="S183" s="3374"/>
      <c r="Z183" s="1773">
        <v>183</v>
      </c>
    </row>
    <row r="184" spans="1:26" s="2628" customFormat="1" ht="12" customHeight="1">
      <c r="G184" s="299"/>
      <c r="H184" s="299"/>
      <c r="I184" s="299"/>
      <c r="J184" s="2630"/>
      <c r="K184" s="314" t="s">
        <v>513</v>
      </c>
      <c r="L184" s="496">
        <f>SUM(L171:L183)</f>
        <v>1</v>
      </c>
      <c r="M184" s="2630"/>
      <c r="P184" s="297"/>
      <c r="Z184" s="1773">
        <v>184</v>
      </c>
    </row>
    <row r="185" spans="1:26" ht="11.25" customHeight="1">
      <c r="A185" s="315" t="s">
        <v>505</v>
      </c>
      <c r="B185" s="325"/>
      <c r="C185" s="315" t="s">
        <v>543</v>
      </c>
      <c r="N185" s="315" t="s">
        <v>505</v>
      </c>
      <c r="O185" s="315" t="s">
        <v>74</v>
      </c>
      <c r="Z185" s="1773">
        <v>185</v>
      </c>
    </row>
    <row r="186" spans="1:26" ht="105.75" customHeight="1">
      <c r="A186" s="3421" t="s">
        <v>6973</v>
      </c>
      <c r="B186" s="3422"/>
      <c r="C186" s="3422"/>
      <c r="D186" s="3422"/>
      <c r="E186" s="3422"/>
      <c r="F186" s="3422"/>
      <c r="G186" s="3422"/>
      <c r="H186" s="3422"/>
      <c r="I186" s="3422"/>
      <c r="J186" s="3422"/>
      <c r="K186" s="3422"/>
      <c r="L186" s="3422"/>
      <c r="M186" s="3423"/>
      <c r="N186" s="3424"/>
      <c r="O186" s="3425"/>
      <c r="P186" s="3425"/>
      <c r="Q186" s="3425"/>
      <c r="R186" s="3425"/>
      <c r="S186" s="3426"/>
      <c r="T186" s="3131" t="s">
        <v>2543</v>
      </c>
      <c r="U186" s="3131"/>
      <c r="V186" s="3131"/>
      <c r="W186" s="3131"/>
      <c r="X186" s="3131"/>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1"/>
      <c r="U187" s="3131"/>
      <c r="V187" s="3131"/>
      <c r="W187" s="3131"/>
      <c r="X187" s="3131"/>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7"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78"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78"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78"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78" t="s">
        <v>808</v>
      </c>
      <c r="Z195" s="1773"/>
    </row>
    <row r="196" spans="1:26" s="289" customFormat="1" ht="12" customHeight="1">
      <c r="B196" s="307"/>
      <c r="C196" s="307"/>
      <c r="D196" s="307"/>
      <c r="E196" s="307"/>
      <c r="F196" s="307"/>
      <c r="G196" s="307"/>
      <c r="H196" s="307"/>
      <c r="I196" s="307"/>
      <c r="J196" s="307"/>
      <c r="K196" s="307"/>
      <c r="L196" s="307"/>
      <c r="M196" s="307"/>
      <c r="N196" s="307"/>
      <c r="O196" s="307"/>
      <c r="P196" s="2778" t="s">
        <v>809</v>
      </c>
      <c r="Z196" s="1773"/>
    </row>
    <row r="197" spans="1:26" s="289" customFormat="1" ht="12" customHeight="1">
      <c r="B197" s="307"/>
      <c r="C197" s="307"/>
      <c r="D197" s="307"/>
      <c r="E197" s="307"/>
      <c r="F197" s="307"/>
      <c r="G197" s="307"/>
      <c r="H197" s="307"/>
      <c r="I197" s="307"/>
      <c r="J197" s="307"/>
      <c r="K197" s="307"/>
      <c r="L197" s="307"/>
      <c r="M197" s="307"/>
      <c r="N197" s="307"/>
      <c r="O197" s="307"/>
      <c r="P197" s="2778" t="s">
        <v>810</v>
      </c>
      <c r="Z197" s="1773"/>
    </row>
    <row r="198" spans="1:26" s="289" customFormat="1" ht="12" customHeight="1">
      <c r="B198" s="307"/>
      <c r="C198" s="307"/>
      <c r="D198" s="307"/>
      <c r="E198" s="307"/>
      <c r="F198" s="307"/>
      <c r="G198" s="307"/>
      <c r="H198" s="307"/>
      <c r="I198" s="307"/>
      <c r="J198" s="307"/>
      <c r="K198" s="307"/>
      <c r="L198" s="307"/>
      <c r="M198" s="307"/>
      <c r="N198" s="307"/>
      <c r="O198" s="307"/>
      <c r="P198" s="2778" t="s">
        <v>811</v>
      </c>
      <c r="Z198" s="1773"/>
    </row>
    <row r="199" spans="1:26" s="289" customFormat="1" ht="12" customHeight="1">
      <c r="B199" s="307"/>
      <c r="C199" s="307"/>
      <c r="D199" s="307"/>
      <c r="E199" s="307"/>
      <c r="F199" s="307"/>
      <c r="G199" s="307"/>
      <c r="H199" s="307"/>
      <c r="I199" s="307"/>
      <c r="J199" s="307"/>
      <c r="K199" s="307"/>
      <c r="L199" s="307"/>
      <c r="M199" s="307"/>
      <c r="N199" s="307"/>
      <c r="O199" s="307"/>
      <c r="P199" s="2778" t="s">
        <v>812</v>
      </c>
      <c r="Z199" s="1773"/>
    </row>
    <row r="200" spans="1:26" ht="12" customHeight="1">
      <c r="P200" s="2778" t="s">
        <v>813</v>
      </c>
    </row>
    <row r="201" spans="1:26" ht="12" customHeight="1">
      <c r="A201" s="315"/>
      <c r="P201" s="2778" t="s">
        <v>814</v>
      </c>
    </row>
    <row r="202" spans="1:26" ht="12" customHeight="1">
      <c r="P202" s="2778" t="s">
        <v>815</v>
      </c>
    </row>
    <row r="203" spans="1:26" ht="12" customHeight="1">
      <c r="P203" s="2778" t="s">
        <v>816</v>
      </c>
    </row>
    <row r="204" spans="1:26" ht="12" customHeight="1">
      <c r="P204" s="2778" t="s">
        <v>817</v>
      </c>
    </row>
    <row r="205" spans="1:26" ht="12" customHeight="1">
      <c r="P205" s="2778" t="s">
        <v>818</v>
      </c>
    </row>
    <row r="206" spans="1:26" ht="12" customHeight="1">
      <c r="P206" s="2778" t="s">
        <v>819</v>
      </c>
    </row>
    <row r="207" spans="1:26" ht="12" customHeight="1">
      <c r="P207" s="2778" t="s">
        <v>820</v>
      </c>
    </row>
    <row r="208" spans="1:26" ht="12" customHeight="1">
      <c r="P208" s="2778" t="s">
        <v>821</v>
      </c>
    </row>
    <row r="209" spans="16:16" ht="12" customHeight="1">
      <c r="P209" s="2778" t="s">
        <v>822</v>
      </c>
    </row>
    <row r="210" spans="16:16" ht="12" customHeight="1">
      <c r="P210" s="2778" t="s">
        <v>823</v>
      </c>
    </row>
    <row r="211" spans="16:16" ht="12" customHeight="1">
      <c r="P211" s="2778" t="s">
        <v>824</v>
      </c>
    </row>
    <row r="212" spans="16:16" ht="12" customHeight="1">
      <c r="P212" s="2778" t="s">
        <v>825</v>
      </c>
    </row>
    <row r="213" spans="16:16" ht="12" customHeight="1">
      <c r="P213" s="2778" t="s">
        <v>826</v>
      </c>
    </row>
    <row r="214" spans="16:16" ht="12" customHeight="1">
      <c r="P214" s="2778" t="s">
        <v>827</v>
      </c>
    </row>
    <row r="215" spans="16:16" ht="12" customHeight="1">
      <c r="P215" s="2778" t="s">
        <v>828</v>
      </c>
    </row>
    <row r="216" spans="16:16" ht="12" customHeight="1">
      <c r="P216" s="2778" t="s">
        <v>829</v>
      </c>
    </row>
    <row r="217" spans="16:16" ht="12" customHeight="1">
      <c r="P217" s="2778" t="s">
        <v>1292</v>
      </c>
    </row>
    <row r="218" spans="16:16" ht="12" customHeight="1">
      <c r="P218" s="2778" t="s">
        <v>1293</v>
      </c>
    </row>
    <row r="219" spans="16:16" ht="12" customHeight="1">
      <c r="P219" s="2778" t="s">
        <v>1294</v>
      </c>
    </row>
    <row r="220" spans="16:16" ht="12" customHeight="1">
      <c r="P220" s="2778" t="s">
        <v>1295</v>
      </c>
    </row>
    <row r="221" spans="16:16" ht="12" customHeight="1">
      <c r="P221" s="2778" t="s">
        <v>1296</v>
      </c>
    </row>
    <row r="222" spans="16:16" ht="13.5">
      <c r="P222" s="2778" t="s">
        <v>1297</v>
      </c>
    </row>
    <row r="223" spans="16:16" ht="12" customHeight="1">
      <c r="P223" s="2778" t="s">
        <v>1298</v>
      </c>
    </row>
    <row r="224" spans="16:16" ht="12" customHeight="1">
      <c r="P224" s="2778" t="s">
        <v>1299</v>
      </c>
    </row>
    <row r="225" spans="16:16" ht="12" customHeight="1">
      <c r="P225" s="2778" t="s">
        <v>1300</v>
      </c>
    </row>
    <row r="226" spans="16:16" ht="12" customHeight="1">
      <c r="P226" s="2778" t="s">
        <v>1301</v>
      </c>
    </row>
    <row r="227" spans="16:16" ht="12" customHeight="1">
      <c r="P227" s="2778" t="s">
        <v>1302</v>
      </c>
    </row>
    <row r="228" spans="16:16" ht="12" customHeight="1">
      <c r="P228" s="2778" t="s">
        <v>1303</v>
      </c>
    </row>
    <row r="229" spans="16:16" ht="12" customHeight="1">
      <c r="P229" s="2778" t="s">
        <v>1304</v>
      </c>
    </row>
    <row r="230" spans="16:16" ht="12" customHeight="1">
      <c r="P230" s="2778" t="s">
        <v>1305</v>
      </c>
    </row>
    <row r="231" spans="16:16" ht="12" customHeight="1">
      <c r="P231" s="2778" t="s">
        <v>1306</v>
      </c>
    </row>
    <row r="232" spans="16:16" ht="12" customHeight="1">
      <c r="P232" s="2778" t="s">
        <v>1307</v>
      </c>
    </row>
    <row r="233" spans="16:16" ht="12" customHeight="1">
      <c r="P233" s="2778" t="s">
        <v>1308</v>
      </c>
    </row>
    <row r="234" spans="16:16" ht="12" customHeight="1">
      <c r="P234" s="2778" t="s">
        <v>1309</v>
      </c>
    </row>
    <row r="235" spans="16:16" ht="12" customHeight="1">
      <c r="P235" s="2778" t="s">
        <v>1310</v>
      </c>
    </row>
    <row r="236" spans="16:16" ht="12" customHeight="1">
      <c r="P236" s="2778" t="s">
        <v>1311</v>
      </c>
    </row>
    <row r="237" spans="16:16" ht="12" customHeight="1">
      <c r="P237" s="2778" t="s">
        <v>1312</v>
      </c>
    </row>
    <row r="238" spans="16:16" ht="12" customHeight="1">
      <c r="P238" s="2778" t="s">
        <v>1313</v>
      </c>
    </row>
    <row r="239" spans="16:16" ht="12" customHeight="1">
      <c r="P239" s="2778" t="s">
        <v>1314</v>
      </c>
    </row>
    <row r="240" spans="16:16" ht="12" customHeight="1">
      <c r="P240" s="2778" t="s">
        <v>1315</v>
      </c>
    </row>
    <row r="241" spans="16:16" ht="12" customHeight="1">
      <c r="P241" s="2778" t="s">
        <v>1316</v>
      </c>
    </row>
    <row r="242" spans="16:16" ht="12" customHeight="1">
      <c r="P242" s="2778" t="s">
        <v>1317</v>
      </c>
    </row>
  </sheetData>
  <sheetProtection algorithmName="SHA-512" hashValue="OGb/ScX6bDCngCvxQXkigINLPnSCugehOVk3KQPtNdsovOj2lDCYXJWZHe3eKitVSKitC2g3RyrUcNEZBN1pSg==" saltValue="ZReDosxs8Dlgo+DTh5bKpQ=="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4"/>
    <col min="53" max="16384" width="9.140625" style="331"/>
  </cols>
  <sheetData>
    <row r="1" spans="1:52" s="1806" customFormat="1" ht="12" hidden="1" customHeight="1">
      <c r="A1" s="1809"/>
      <c r="B1" s="1809" t="s">
        <v>6621</v>
      </c>
      <c r="C1" s="1809"/>
      <c r="D1" s="1809"/>
      <c r="E1" s="1809" t="s">
        <v>6640</v>
      </c>
      <c r="F1" s="1809"/>
      <c r="G1" s="2779"/>
      <c r="H1" s="2779" t="s">
        <v>6641</v>
      </c>
      <c r="I1" s="2779" t="s">
        <v>6642</v>
      </c>
      <c r="J1" s="2779"/>
      <c r="K1" s="2779" t="s">
        <v>6643</v>
      </c>
      <c r="L1" s="2779" t="s">
        <v>6644</v>
      </c>
      <c r="M1" s="1806" t="s">
        <v>6645</v>
      </c>
      <c r="N1" s="1806" t="s">
        <v>6646</v>
      </c>
      <c r="P1" s="1806" t="s">
        <v>6647</v>
      </c>
      <c r="Z1" s="1773">
        <v>1</v>
      </c>
    </row>
    <row r="2" spans="1:52" s="265" customFormat="1" ht="14.1" customHeight="1">
      <c r="A2" s="3398" t="str">
        <f>CONCATENATE("PART THREE - SOURCES OF FUNDS (Proposed)","  -  ",'Part I-Project Information'!$O$7," ",'Part I-Project Information'!$F$35,", ",'Part I-Project Information'!$F$39,", ",'Part I-Project Information'!$J$40," County")</f>
        <v>PART THREE - SOURCES OF FUNDS (Proposed)  -  2021-015 The Peaks at Turnberry, Rincon, Effingham County</v>
      </c>
      <c r="B2" s="3399"/>
      <c r="C2" s="3399"/>
      <c r="D2" s="3399"/>
      <c r="E2" s="3399"/>
      <c r="F2" s="3399"/>
      <c r="G2" s="3399"/>
      <c r="H2" s="3399"/>
      <c r="I2" s="3399"/>
      <c r="J2" s="3399"/>
      <c r="K2" s="3399"/>
      <c r="L2" s="3399"/>
      <c r="M2" s="3399"/>
      <c r="N2" s="3399"/>
      <c r="O2" s="3399"/>
      <c r="P2" s="3399"/>
      <c r="Q2" s="3400"/>
      <c r="S2" s="3487" t="str">
        <f>$A$2</f>
        <v>PART THREE - SOURCES OF FUNDS (Proposed)  -  2021-015 The Peaks at Turnberry, Rincon, Effingham County</v>
      </c>
      <c r="T2" s="3487"/>
      <c r="Y2" s="1807"/>
      <c r="Z2" s="1773">
        <v>2</v>
      </c>
      <c r="AZ2" s="2780"/>
    </row>
    <row r="3" spans="1:52" ht="17.45" customHeight="1">
      <c r="A3" s="307"/>
      <c r="B3" s="307"/>
      <c r="C3" s="307"/>
      <c r="D3" s="307"/>
      <c r="E3" s="307"/>
      <c r="F3" s="307"/>
      <c r="G3" s="1068"/>
      <c r="H3" s="1068"/>
      <c r="I3" s="1068"/>
      <c r="J3" s="1068"/>
      <c r="K3" s="1068"/>
      <c r="L3" s="1068"/>
      <c r="Y3" s="1807"/>
      <c r="Z3" s="1773">
        <v>3</v>
      </c>
      <c r="AZ3" s="2780"/>
    </row>
    <row r="4" spans="1:52" s="265" customFormat="1" ht="13.35" customHeight="1">
      <c r="A4" s="291" t="s">
        <v>586</v>
      </c>
      <c r="B4" s="299" t="s">
        <v>2379</v>
      </c>
      <c r="C4" s="289"/>
      <c r="D4" s="2628"/>
      <c r="E4" s="2628"/>
      <c r="F4" s="2628"/>
      <c r="G4" s="2628"/>
      <c r="L4" s="3505" t="str">
        <f>'Part I-Project Information'!$B$7</f>
        <v>2021 Core App
May 10 Rev</v>
      </c>
      <c r="M4" s="3506"/>
      <c r="N4" s="3506"/>
      <c r="O4" s="3506"/>
      <c r="P4" s="3507"/>
      <c r="S4" s="332" t="str">
        <f>B4</f>
        <v>GOVERNMENT FUNDING SOURCES  (check all that apply)</v>
      </c>
      <c r="Y4" s="1807"/>
      <c r="Z4" s="1773">
        <v>4</v>
      </c>
      <c r="AZ4" s="2780"/>
    </row>
    <row r="5" spans="1:52" s="265" customFormat="1" ht="15.75" customHeight="1">
      <c r="A5" s="315"/>
      <c r="B5" s="1711"/>
      <c r="C5" s="310"/>
      <c r="D5" s="2628"/>
      <c r="E5" s="2628"/>
      <c r="F5" s="2628"/>
      <c r="G5" s="2628"/>
      <c r="S5" s="3488" t="s">
        <v>2538</v>
      </c>
      <c r="T5" s="3488"/>
      <c r="Y5" s="1807"/>
      <c r="Z5" s="1773">
        <v>5</v>
      </c>
      <c r="AZ5" s="2780"/>
    </row>
    <row r="6" spans="1:52" s="265" customFormat="1" ht="16.5" customHeight="1">
      <c r="A6" s="1711"/>
      <c r="B6" s="2692" t="s">
        <v>2770</v>
      </c>
      <c r="C6" s="266" t="s">
        <v>2301</v>
      </c>
      <c r="D6" s="289"/>
      <c r="E6" s="2693" t="s">
        <v>2773</v>
      </c>
      <c r="F6" s="266" t="s">
        <v>6293</v>
      </c>
      <c r="G6" s="289"/>
      <c r="I6" s="3498"/>
      <c r="J6" s="3499"/>
      <c r="L6" s="2692" t="s">
        <v>2773</v>
      </c>
      <c r="M6" s="266" t="s">
        <v>1475</v>
      </c>
      <c r="Q6" s="1692"/>
      <c r="S6" s="3489"/>
      <c r="T6" s="3490"/>
      <c r="Y6" s="1807"/>
      <c r="Z6" s="1773">
        <v>6</v>
      </c>
      <c r="AZ6" s="2780"/>
    </row>
    <row r="7" spans="1:52" s="265" customFormat="1" ht="16.5" customHeight="1">
      <c r="A7" s="1711"/>
      <c r="B7" s="2681" t="s">
        <v>2773</v>
      </c>
      <c r="C7" s="266" t="s">
        <v>4060</v>
      </c>
      <c r="D7" s="289"/>
      <c r="E7" s="2694" t="s">
        <v>2773</v>
      </c>
      <c r="F7" s="266" t="s">
        <v>6294</v>
      </c>
      <c r="I7" s="3500"/>
      <c r="J7" s="3501"/>
      <c r="L7" s="2681" t="s">
        <v>2773</v>
      </c>
      <c r="M7" s="266" t="s">
        <v>523</v>
      </c>
      <c r="P7" s="1692"/>
      <c r="Q7" s="1692"/>
      <c r="S7" s="3491"/>
      <c r="T7" s="3492"/>
      <c r="Y7" s="1807"/>
      <c r="Z7" s="1773">
        <v>7</v>
      </c>
      <c r="AZ7" s="2780"/>
    </row>
    <row r="8" spans="1:52" s="265" customFormat="1" ht="16.5" customHeight="1">
      <c r="A8" s="289"/>
      <c r="B8" s="2681" t="s">
        <v>2773</v>
      </c>
      <c r="C8" s="266" t="s">
        <v>524</v>
      </c>
      <c r="F8" s="265" t="s">
        <v>6295</v>
      </c>
      <c r="H8" s="3495" t="s">
        <v>3187</v>
      </c>
      <c r="I8" s="3496"/>
      <c r="J8" s="3497"/>
      <c r="L8" s="2681" t="s">
        <v>2773</v>
      </c>
      <c r="M8" s="284" t="s">
        <v>3277</v>
      </c>
      <c r="P8" s="1692"/>
      <c r="Q8" s="1692"/>
      <c r="S8" s="3491"/>
      <c r="T8" s="3492"/>
      <c r="Y8" s="1807"/>
      <c r="Z8" s="1773">
        <v>8</v>
      </c>
      <c r="AZ8" s="2780"/>
    </row>
    <row r="9" spans="1:52" s="265" customFormat="1" ht="16.5" customHeight="1">
      <c r="A9" s="1711"/>
      <c r="B9" s="2681" t="s">
        <v>2773</v>
      </c>
      <c r="C9" s="265" t="s">
        <v>3442</v>
      </c>
      <c r="E9" s="2781" t="s">
        <v>2773</v>
      </c>
      <c r="F9" s="3247" t="s">
        <v>3925</v>
      </c>
      <c r="G9" s="3360"/>
      <c r="H9" s="3360"/>
      <c r="I9" s="3360"/>
      <c r="J9" s="3361"/>
      <c r="L9" s="2681" t="s">
        <v>2773</v>
      </c>
      <c r="M9" s="284" t="s">
        <v>4061</v>
      </c>
      <c r="Q9" s="1692"/>
      <c r="S9" s="3493"/>
      <c r="T9" s="3494"/>
      <c r="Y9" s="1807"/>
      <c r="Z9" s="1773">
        <v>9</v>
      </c>
      <c r="AZ9" s="2780"/>
    </row>
    <row r="10" spans="1:52" s="265" customFormat="1" ht="16.5" customHeight="1">
      <c r="A10" s="1711"/>
      <c r="B10" s="2681" t="s">
        <v>2773</v>
      </c>
      <c r="C10" s="266" t="s">
        <v>2482</v>
      </c>
      <c r="F10" s="3502" t="s">
        <v>3927</v>
      </c>
      <c r="G10" s="3503"/>
      <c r="H10" s="3503"/>
      <c r="I10" s="3503"/>
      <c r="J10" s="3504"/>
      <c r="L10" s="2681" t="s">
        <v>2773</v>
      </c>
      <c r="M10" s="266" t="s">
        <v>3320</v>
      </c>
      <c r="P10" s="1692"/>
      <c r="Q10" s="1692"/>
      <c r="S10" s="3489"/>
      <c r="T10" s="3490"/>
      <c r="Y10" s="1807"/>
      <c r="Z10" s="1773">
        <v>10</v>
      </c>
      <c r="AZ10" s="2780"/>
    </row>
    <row r="11" spans="1:52" s="265" customFormat="1" ht="16.5" customHeight="1">
      <c r="A11" s="1711"/>
      <c r="B11" s="2681" t="s">
        <v>2773</v>
      </c>
      <c r="C11" s="266" t="s">
        <v>2483</v>
      </c>
      <c r="E11" s="2781" t="s">
        <v>2773</v>
      </c>
      <c r="F11" s="3247" t="s">
        <v>3926</v>
      </c>
      <c r="G11" s="3360"/>
      <c r="H11" s="3360"/>
      <c r="I11" s="3360"/>
      <c r="J11" s="3361"/>
      <c r="L11" s="2681" t="s">
        <v>2773</v>
      </c>
      <c r="M11" s="265" t="s">
        <v>2487</v>
      </c>
      <c r="S11" s="3491"/>
      <c r="T11" s="3492"/>
      <c r="Y11" s="1807"/>
      <c r="Z11" s="1773">
        <v>11</v>
      </c>
      <c r="AZ11" s="2780"/>
    </row>
    <row r="12" spans="1:52" s="265" customFormat="1" ht="16.5" customHeight="1">
      <c r="A12" s="1711"/>
      <c r="B12" s="2681" t="s">
        <v>2773</v>
      </c>
      <c r="C12" s="284" t="s">
        <v>3323</v>
      </c>
      <c r="F12" s="3502" t="s">
        <v>3928</v>
      </c>
      <c r="G12" s="3503"/>
      <c r="H12" s="3503"/>
      <c r="I12" s="3503"/>
      <c r="J12" s="3504"/>
      <c r="L12" s="2694" t="s">
        <v>2773</v>
      </c>
      <c r="M12" s="265" t="s">
        <v>3353</v>
      </c>
      <c r="S12" s="3491"/>
      <c r="T12" s="3492"/>
      <c r="Y12" s="1807"/>
      <c r="Z12" s="1773">
        <v>12</v>
      </c>
      <c r="AZ12" s="2780"/>
    </row>
    <row r="13" spans="1:52" s="265" customFormat="1" ht="16.5" customHeight="1">
      <c r="A13" s="1711"/>
      <c r="B13" s="2694" t="s">
        <v>2773</v>
      </c>
      <c r="C13" s="284" t="s">
        <v>2486</v>
      </c>
      <c r="E13" s="2693" t="s">
        <v>2773</v>
      </c>
      <c r="F13" s="284" t="s">
        <v>3352</v>
      </c>
      <c r="H13" s="3495" t="s">
        <v>3432</v>
      </c>
      <c r="I13" s="3496"/>
      <c r="J13" s="3497"/>
      <c r="L13" s="2680" t="s">
        <v>2773</v>
      </c>
      <c r="M13" s="265" t="s">
        <v>6292</v>
      </c>
      <c r="S13" s="3491"/>
      <c r="T13" s="3492"/>
      <c r="Y13" s="1807"/>
      <c r="Z13" s="1773">
        <v>13</v>
      </c>
      <c r="AZ13" s="2780"/>
    </row>
    <row r="14" spans="1:52" s="265" customFormat="1" ht="16.5" customHeight="1">
      <c r="A14" s="1711"/>
      <c r="B14" s="2681" t="s">
        <v>2773</v>
      </c>
      <c r="C14" s="265" t="s">
        <v>2485</v>
      </c>
      <c r="E14" s="2681" t="s">
        <v>2773</v>
      </c>
      <c r="F14" s="284" t="s">
        <v>3441</v>
      </c>
      <c r="L14" s="2681" t="s">
        <v>2773</v>
      </c>
      <c r="M14" s="265" t="s">
        <v>6538</v>
      </c>
      <c r="S14" s="3493"/>
      <c r="T14" s="3494"/>
      <c r="Y14" s="1807"/>
      <c r="Z14" s="1773">
        <v>14</v>
      </c>
      <c r="AZ14" s="2780"/>
    </row>
    <row r="15" spans="1:52" s="265" customFormat="1" ht="16.5" customHeight="1">
      <c r="A15" s="1711"/>
      <c r="B15" s="2694" t="s">
        <v>2773</v>
      </c>
      <c r="C15" s="265" t="s">
        <v>3351</v>
      </c>
      <c r="E15" s="2681" t="s">
        <v>2773</v>
      </c>
      <c r="F15" s="284" t="s">
        <v>6296</v>
      </c>
      <c r="L15" s="2694" t="s">
        <v>2773</v>
      </c>
      <c r="M15" s="1693" t="s">
        <v>6297</v>
      </c>
      <c r="Y15" s="1807"/>
      <c r="Z15" s="1773">
        <v>15</v>
      </c>
      <c r="AZ15" s="2780"/>
    </row>
    <row r="16" spans="1:52" s="265" customFormat="1" ht="16.5" customHeight="1">
      <c r="A16" s="1711"/>
      <c r="B16" s="2694" t="s">
        <v>2773</v>
      </c>
      <c r="C16" s="266" t="s">
        <v>1720</v>
      </c>
      <c r="E16" s="2694" t="s">
        <v>2773</v>
      </c>
      <c r="F16" s="266" t="s">
        <v>6837</v>
      </c>
      <c r="I16" s="3474"/>
      <c r="J16" s="3475"/>
      <c r="L16" s="2694" t="s">
        <v>2773</v>
      </c>
      <c r="M16" s="1693" t="s">
        <v>6291</v>
      </c>
      <c r="Y16" s="1807"/>
      <c r="Z16" s="1773">
        <v>16</v>
      </c>
      <c r="AZ16" s="2780"/>
    </row>
    <row r="17" spans="1:52" s="265" customFormat="1" ht="17.100000000000001" customHeight="1">
      <c r="A17" s="1711"/>
      <c r="B17" s="265" t="s">
        <v>4062</v>
      </c>
      <c r="C17" s="289"/>
      <c r="D17" s="289"/>
      <c r="E17" s="289"/>
      <c r="F17" s="289"/>
      <c r="G17" s="289"/>
      <c r="H17" s="289"/>
      <c r="I17" s="289"/>
      <c r="J17" s="289"/>
      <c r="K17" s="289"/>
      <c r="L17" s="289"/>
      <c r="M17" s="1581"/>
      <c r="N17" s="289"/>
      <c r="O17" s="289"/>
      <c r="P17" s="289"/>
      <c r="Q17" s="289"/>
      <c r="Y17" s="1807"/>
      <c r="Z17" s="1773">
        <v>17</v>
      </c>
      <c r="AZ17" s="2780"/>
    </row>
    <row r="18" spans="1:52" s="265" customFormat="1" ht="12" customHeight="1">
      <c r="A18" s="1711"/>
      <c r="L18" s="289"/>
      <c r="M18" s="312"/>
      <c r="N18" s="289"/>
      <c r="O18" s="289"/>
      <c r="P18" s="289"/>
      <c r="Q18" s="289"/>
      <c r="Y18" s="2782"/>
      <c r="Z18" s="1773">
        <v>18</v>
      </c>
      <c r="AZ18" s="2783"/>
    </row>
    <row r="19" spans="1:52" s="332" customFormat="1" ht="15" customHeight="1">
      <c r="A19" s="291" t="s">
        <v>710</v>
      </c>
      <c r="B19" s="1662" t="s">
        <v>2242</v>
      </c>
      <c r="C19" s="289"/>
      <c r="D19" s="2628"/>
      <c r="E19" s="289"/>
      <c r="F19" s="289"/>
      <c r="G19" s="289"/>
      <c r="L19" s="289"/>
      <c r="M19" s="2628"/>
      <c r="N19" s="3476"/>
      <c r="O19" s="3476"/>
      <c r="P19" s="289"/>
      <c r="Q19" s="289"/>
      <c r="S19" s="332" t="str">
        <f>B19</f>
        <v>CONSTRUCTION FINANCING</v>
      </c>
      <c r="Y19" s="2782"/>
      <c r="Z19" s="1773">
        <v>19</v>
      </c>
      <c r="AZ19" s="2783"/>
    </row>
    <row r="20" spans="1:52" s="332" customFormat="1" ht="5.25" customHeight="1">
      <c r="A20" s="291"/>
      <c r="B20" s="1662"/>
      <c r="C20" s="289"/>
      <c r="K20" s="289"/>
      <c r="L20" s="289"/>
      <c r="M20" s="2628"/>
      <c r="N20" s="2636"/>
      <c r="O20" s="2636"/>
      <c r="P20" s="289"/>
      <c r="Q20" s="289"/>
      <c r="Y20" s="2782"/>
      <c r="Z20" s="1773">
        <v>20</v>
      </c>
      <c r="AZ20" s="2780"/>
    </row>
    <row r="21" spans="1:52" s="265" customFormat="1" ht="17.100000000000001" customHeight="1">
      <c r="A21" s="289"/>
      <c r="B21" s="2621" t="s">
        <v>1785</v>
      </c>
      <c r="C21" s="289"/>
      <c r="D21" s="289"/>
      <c r="E21" s="289"/>
      <c r="F21" s="289"/>
      <c r="G21" s="289"/>
      <c r="H21" s="3477" t="s">
        <v>1249</v>
      </c>
      <c r="I21" s="3477"/>
      <c r="J21" s="3477"/>
      <c r="K21" s="3477"/>
      <c r="L21" s="3202" t="s">
        <v>4025</v>
      </c>
      <c r="M21" s="3202"/>
      <c r="N21" s="3202" t="s">
        <v>1446</v>
      </c>
      <c r="O21" s="3202"/>
      <c r="P21" s="3202" t="s">
        <v>1564</v>
      </c>
      <c r="Q21" s="3202"/>
      <c r="S21" s="3488" t="s">
        <v>2538</v>
      </c>
      <c r="T21" s="3488"/>
      <c r="Y21" s="1807"/>
      <c r="Z21" s="1773">
        <v>21</v>
      </c>
      <c r="AZ21" s="2780" t="s">
        <v>6655</v>
      </c>
    </row>
    <row r="22" spans="1:52" s="265" customFormat="1" ht="15.75" customHeight="1">
      <c r="A22" s="289"/>
      <c r="B22" s="3508" t="s">
        <v>1525</v>
      </c>
      <c r="C22" s="3509"/>
      <c r="D22" s="3509"/>
      <c r="E22" s="2633"/>
      <c r="F22" s="2633"/>
      <c r="G22" s="2633"/>
      <c r="H22" s="3510" t="s">
        <v>7028</v>
      </c>
      <c r="I22" s="3511"/>
      <c r="J22" s="3511"/>
      <c r="K22" s="3512"/>
      <c r="L22" s="3513">
        <v>8687101</v>
      </c>
      <c r="M22" s="3514"/>
      <c r="N22" s="3515">
        <v>0.06</v>
      </c>
      <c r="O22" s="3516"/>
      <c r="P22" s="3517">
        <v>24</v>
      </c>
      <c r="Q22" s="3518"/>
      <c r="S22" s="3489"/>
      <c r="T22" s="3490"/>
      <c r="Y22" s="1807" t="s">
        <v>6655</v>
      </c>
      <c r="Z22" s="1773">
        <v>22</v>
      </c>
      <c r="AZ22" s="2780" t="s">
        <v>6656</v>
      </c>
    </row>
    <row r="23" spans="1:52" s="265" customFormat="1" ht="15.75" customHeight="1">
      <c r="A23" s="289"/>
      <c r="B23" s="3519" t="s">
        <v>1526</v>
      </c>
      <c r="C23" s="3520"/>
      <c r="D23" s="3520"/>
      <c r="E23" s="2628"/>
      <c r="F23" s="2628"/>
      <c r="G23" s="2628"/>
      <c r="H23" s="3521"/>
      <c r="I23" s="3522"/>
      <c r="J23" s="3522"/>
      <c r="K23" s="3523"/>
      <c r="L23" s="3524"/>
      <c r="M23" s="3525"/>
      <c r="N23" s="3534"/>
      <c r="O23" s="3535"/>
      <c r="P23" s="3536"/>
      <c r="Q23" s="3537"/>
      <c r="S23" s="3491"/>
      <c r="T23" s="3492"/>
      <c r="Y23" s="1807" t="s">
        <v>6656</v>
      </c>
      <c r="Z23" s="1773">
        <v>23</v>
      </c>
      <c r="AZ23" s="2780" t="s">
        <v>6657</v>
      </c>
    </row>
    <row r="24" spans="1:52" s="265" customFormat="1" ht="15.75" customHeight="1">
      <c r="A24" s="289"/>
      <c r="B24" s="3538" t="s">
        <v>1527</v>
      </c>
      <c r="C24" s="3539"/>
      <c r="D24" s="3539"/>
      <c r="E24" s="2635"/>
      <c r="F24" s="2635"/>
      <c r="G24" s="2635"/>
      <c r="H24" s="3478"/>
      <c r="I24" s="3479"/>
      <c r="J24" s="3479"/>
      <c r="K24" s="3480"/>
      <c r="L24" s="3481"/>
      <c r="M24" s="3482"/>
      <c r="N24" s="3483"/>
      <c r="O24" s="3484"/>
      <c r="P24" s="3485"/>
      <c r="Q24" s="3486"/>
      <c r="S24" s="3491"/>
      <c r="T24" s="3492"/>
      <c r="Y24" s="1807" t="s">
        <v>6657</v>
      </c>
      <c r="Z24" s="1773">
        <v>24</v>
      </c>
      <c r="AZ24" s="2780" t="s">
        <v>6658</v>
      </c>
    </row>
    <row r="25" spans="1:52" s="265" customFormat="1" ht="15.75" customHeight="1">
      <c r="A25" s="289"/>
      <c r="B25" s="3508" t="s">
        <v>2115</v>
      </c>
      <c r="C25" s="3509"/>
      <c r="D25" s="3509"/>
      <c r="E25" s="2628"/>
      <c r="F25" s="2628"/>
      <c r="G25" s="2628"/>
      <c r="H25" s="3526"/>
      <c r="I25" s="3527"/>
      <c r="J25" s="3527"/>
      <c r="K25" s="3528"/>
      <c r="L25" s="3529"/>
      <c r="M25" s="3530"/>
      <c r="N25" s="3531"/>
      <c r="O25" s="3532"/>
      <c r="P25" s="3533"/>
      <c r="Q25" s="3533"/>
      <c r="S25" s="3491"/>
      <c r="T25" s="3492"/>
      <c r="Y25" s="1807" t="s">
        <v>6658</v>
      </c>
      <c r="Z25" s="1773">
        <v>25</v>
      </c>
      <c r="AZ25" s="2780" t="s">
        <v>6659</v>
      </c>
    </row>
    <row r="26" spans="1:52" s="265" customFormat="1" ht="15.75" customHeight="1">
      <c r="A26" s="289"/>
      <c r="B26" s="3519" t="s">
        <v>768</v>
      </c>
      <c r="C26" s="3520"/>
      <c r="D26" s="3520"/>
      <c r="E26" s="2628"/>
      <c r="H26" s="3521"/>
      <c r="I26" s="3522"/>
      <c r="J26" s="3522"/>
      <c r="K26" s="3523"/>
      <c r="L26" s="3524"/>
      <c r="M26" s="3525"/>
      <c r="N26" s="3531"/>
      <c r="O26" s="3532"/>
      <c r="P26" s="3533"/>
      <c r="Q26" s="3533"/>
      <c r="S26" s="3491"/>
      <c r="T26" s="3492"/>
      <c r="Y26" s="1807" t="s">
        <v>6659</v>
      </c>
      <c r="Z26" s="1773">
        <v>26</v>
      </c>
      <c r="AZ26" s="2780" t="s">
        <v>6660</v>
      </c>
    </row>
    <row r="27" spans="1:52" s="265" customFormat="1" ht="15.75" customHeight="1">
      <c r="A27" s="289"/>
      <c r="B27" s="3519" t="s">
        <v>611</v>
      </c>
      <c r="C27" s="3520"/>
      <c r="D27" s="3520"/>
      <c r="E27" s="2628"/>
      <c r="H27" s="3521"/>
      <c r="I27" s="3522"/>
      <c r="J27" s="3522"/>
      <c r="K27" s="3523"/>
      <c r="L27" s="3524"/>
      <c r="M27" s="3525"/>
      <c r="N27" s="3531"/>
      <c r="O27" s="3532"/>
      <c r="P27" s="3533"/>
      <c r="Q27" s="3533"/>
      <c r="S27" s="3491"/>
      <c r="T27" s="3492"/>
      <c r="Y27" s="1807" t="s">
        <v>6660</v>
      </c>
      <c r="Z27" s="1773">
        <v>27</v>
      </c>
      <c r="AZ27" s="2780" t="s">
        <v>6661</v>
      </c>
    </row>
    <row r="28" spans="1:52" s="265" customFormat="1" ht="15.75" customHeight="1">
      <c r="A28" s="289"/>
      <c r="B28" s="3519" t="s">
        <v>769</v>
      </c>
      <c r="C28" s="3520"/>
      <c r="D28" s="3520"/>
      <c r="E28" s="2628"/>
      <c r="H28" s="3521" t="s">
        <v>7028</v>
      </c>
      <c r="I28" s="3522"/>
      <c r="J28" s="3522"/>
      <c r="K28" s="3523"/>
      <c r="L28" s="3524">
        <v>1439856</v>
      </c>
      <c r="M28" s="3525"/>
      <c r="N28" s="289"/>
      <c r="Q28" s="289"/>
      <c r="S28" s="3493"/>
      <c r="T28" s="3494"/>
      <c r="Y28" s="1807" t="s">
        <v>6661</v>
      </c>
      <c r="Z28" s="1773">
        <v>28</v>
      </c>
      <c r="AZ28" s="2780" t="s">
        <v>6662</v>
      </c>
    </row>
    <row r="29" spans="1:52" s="265" customFormat="1" ht="15.75" customHeight="1">
      <c r="A29" s="289"/>
      <c r="B29" s="3519" t="s">
        <v>770</v>
      </c>
      <c r="C29" s="3520"/>
      <c r="D29" s="3520"/>
      <c r="E29" s="2628"/>
      <c r="H29" s="3521" t="s">
        <v>6890</v>
      </c>
      <c r="I29" s="3522"/>
      <c r="J29" s="3522"/>
      <c r="K29" s="3523"/>
      <c r="L29" s="3524">
        <v>751078</v>
      </c>
      <c r="M29" s="3525"/>
      <c r="N29" s="289"/>
      <c r="Q29" s="289"/>
      <c r="S29" s="3489"/>
      <c r="T29" s="3490"/>
      <c r="Y29" s="1807" t="s">
        <v>6662</v>
      </c>
      <c r="Z29" s="1773">
        <v>29</v>
      </c>
      <c r="AZ29" s="2780" t="s">
        <v>6663</v>
      </c>
    </row>
    <row r="30" spans="1:52" s="265" customFormat="1" ht="15.75" customHeight="1">
      <c r="A30" s="289"/>
      <c r="B30" s="2627" t="s">
        <v>231</v>
      </c>
      <c r="C30" s="2628"/>
      <c r="D30" s="3540"/>
      <c r="E30" s="3540"/>
      <c r="F30" s="3540"/>
      <c r="G30" s="3540"/>
      <c r="H30" s="3521"/>
      <c r="I30" s="3522"/>
      <c r="J30" s="3522"/>
      <c r="K30" s="3523"/>
      <c r="L30" s="3524"/>
      <c r="M30" s="3525"/>
      <c r="N30" s="289"/>
      <c r="Q30" s="289"/>
      <c r="S30" s="3491"/>
      <c r="T30" s="3492"/>
      <c r="Y30" s="1807" t="s">
        <v>6663</v>
      </c>
      <c r="Z30" s="1773">
        <v>30</v>
      </c>
      <c r="AZ30" s="2780" t="s">
        <v>6664</v>
      </c>
    </row>
    <row r="31" spans="1:52" s="265" customFormat="1" ht="15.75" customHeight="1">
      <c r="A31" s="289"/>
      <c r="B31" s="2627" t="s">
        <v>231</v>
      </c>
      <c r="C31" s="2628"/>
      <c r="D31" s="3541"/>
      <c r="E31" s="3541"/>
      <c r="F31" s="3541"/>
      <c r="G31" s="3541"/>
      <c r="H31" s="3521"/>
      <c r="I31" s="3522"/>
      <c r="J31" s="3522"/>
      <c r="K31" s="3523"/>
      <c r="L31" s="3524"/>
      <c r="M31" s="3525"/>
      <c r="N31" s="289"/>
      <c r="S31" s="3491"/>
      <c r="T31" s="3492"/>
      <c r="Y31" s="1807" t="s">
        <v>6664</v>
      </c>
      <c r="Z31" s="1773">
        <v>31</v>
      </c>
      <c r="AZ31" s="2780" t="s">
        <v>6665</v>
      </c>
    </row>
    <row r="32" spans="1:52" s="265" customFormat="1" ht="15.75" customHeight="1">
      <c r="A32" s="289"/>
      <c r="B32" s="2634" t="s">
        <v>231</v>
      </c>
      <c r="C32" s="2635"/>
      <c r="D32" s="3542"/>
      <c r="E32" s="3542"/>
      <c r="F32" s="3542"/>
      <c r="G32" s="3542"/>
      <c r="H32" s="3478"/>
      <c r="I32" s="3479"/>
      <c r="J32" s="3479"/>
      <c r="K32" s="3480"/>
      <c r="L32" s="3481"/>
      <c r="M32" s="3482"/>
      <c r="N32" s="289"/>
      <c r="S32" s="3491"/>
      <c r="T32" s="3492"/>
      <c r="Y32" s="1807" t="s">
        <v>6665</v>
      </c>
      <c r="Z32" s="1773">
        <v>32</v>
      </c>
      <c r="AZ32" s="2780"/>
    </row>
    <row r="33" spans="1:52" s="265" customFormat="1" ht="16.5" customHeight="1">
      <c r="A33" s="289"/>
      <c r="B33" s="1662" t="s">
        <v>1250</v>
      </c>
      <c r="C33" s="289"/>
      <c r="D33" s="289"/>
      <c r="E33" s="289"/>
      <c r="F33" s="289"/>
      <c r="G33" s="289"/>
      <c r="H33" s="289"/>
      <c r="I33" s="289"/>
      <c r="L33" s="3543">
        <f>SUM(L22:L32)</f>
        <v>10878035</v>
      </c>
      <c r="M33" s="3544"/>
      <c r="N33" s="307"/>
      <c r="S33" s="3491"/>
      <c r="T33" s="3492"/>
      <c r="Y33" s="1807"/>
      <c r="Z33" s="1773">
        <v>33</v>
      </c>
      <c r="AZ33" s="2780"/>
    </row>
    <row r="34" spans="1:52" s="265" customFormat="1" ht="16.5" customHeight="1">
      <c r="A34" s="289"/>
      <c r="B34" s="2621" t="s">
        <v>1251</v>
      </c>
      <c r="C34" s="289"/>
      <c r="D34" s="289"/>
      <c r="E34" s="289"/>
      <c r="F34" s="289"/>
      <c r="G34" s="289"/>
      <c r="H34" s="289"/>
      <c r="I34" s="289"/>
      <c r="L34" s="3545">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10224738</v>
      </c>
      <c r="M34" s="3546"/>
      <c r="N34" s="752"/>
      <c r="S34" s="3491"/>
      <c r="T34" s="3492"/>
      <c r="Y34" s="1807"/>
      <c r="Z34" s="1773">
        <v>34</v>
      </c>
      <c r="AZ34" s="2780"/>
    </row>
    <row r="35" spans="1:52" s="265" customFormat="1" ht="16.5" customHeight="1">
      <c r="A35" s="289"/>
      <c r="B35" s="2619" t="s">
        <v>2064</v>
      </c>
      <c r="C35" s="289"/>
      <c r="D35" s="289"/>
      <c r="E35" s="289"/>
      <c r="F35" s="289"/>
      <c r="G35" s="289"/>
      <c r="H35" s="289"/>
      <c r="I35" s="289"/>
      <c r="L35" s="3547">
        <f>L33-L34</f>
        <v>653297</v>
      </c>
      <c r="M35" s="3548"/>
      <c r="N35" s="752"/>
      <c r="S35" s="3493"/>
      <c r="T35" s="3494"/>
      <c r="Y35" s="1807"/>
      <c r="Z35" s="1773">
        <v>35</v>
      </c>
      <c r="AZ35" s="2784"/>
    </row>
    <row r="36" spans="1:52" ht="9.6" customHeight="1">
      <c r="A36" s="315"/>
      <c r="B36" s="1662"/>
      <c r="C36" s="307"/>
      <c r="D36" s="307"/>
      <c r="E36" s="307"/>
      <c r="F36" s="307"/>
      <c r="G36" s="307"/>
      <c r="H36" s="307"/>
      <c r="I36" s="307"/>
      <c r="J36" s="307"/>
      <c r="K36" s="307"/>
      <c r="L36" s="307"/>
      <c r="M36" s="2630"/>
      <c r="N36" s="2630"/>
      <c r="Z36" s="1773">
        <v>36</v>
      </c>
    </row>
    <row r="37" spans="1:52" ht="9.6" customHeight="1">
      <c r="A37" s="291" t="s">
        <v>712</v>
      </c>
      <c r="B37" s="1662" t="s">
        <v>767</v>
      </c>
      <c r="C37" s="307"/>
      <c r="D37" s="307"/>
      <c r="E37" s="307"/>
      <c r="F37" s="307"/>
      <c r="G37" s="307"/>
      <c r="H37" s="307"/>
      <c r="I37" s="307"/>
      <c r="J37" s="307"/>
      <c r="K37" s="307"/>
      <c r="L37" s="307"/>
      <c r="M37" s="2630"/>
      <c r="N37" s="2630"/>
      <c r="O37" s="307"/>
      <c r="S37" s="332" t="str">
        <f>B37</f>
        <v>PERMANENT FINANCING</v>
      </c>
      <c r="Z37" s="1773">
        <v>37</v>
      </c>
      <c r="AZ37" s="2780"/>
    </row>
    <row r="38" spans="1:52" s="265" customFormat="1" ht="13.35" customHeight="1">
      <c r="A38" s="289"/>
      <c r="B38" s="289"/>
      <c r="C38" s="289"/>
      <c r="D38" s="289"/>
      <c r="E38" s="289"/>
      <c r="F38" s="2630"/>
      <c r="G38" s="2630"/>
      <c r="H38" s="3533"/>
      <c r="I38" s="3533"/>
      <c r="K38" s="357" t="s">
        <v>2008</v>
      </c>
      <c r="L38" s="2630" t="s">
        <v>1247</v>
      </c>
      <c r="M38" s="2630" t="s">
        <v>1252</v>
      </c>
      <c r="P38" s="3549" t="s">
        <v>31</v>
      </c>
      <c r="Q38" s="3549"/>
      <c r="S38" s="332"/>
      <c r="Y38" s="1807"/>
      <c r="Z38" s="1773">
        <v>38</v>
      </c>
      <c r="AZ38" s="2780"/>
    </row>
    <row r="39" spans="1:52" s="265" customFormat="1" ht="13.35" customHeight="1">
      <c r="A39" s="289"/>
      <c r="B39" s="2637" t="s">
        <v>1785</v>
      </c>
      <c r="C39" s="2635"/>
      <c r="D39" s="2635"/>
      <c r="E39" s="3214" t="s">
        <v>1249</v>
      </c>
      <c r="F39" s="3214"/>
      <c r="G39" s="3214"/>
      <c r="H39" s="3214"/>
      <c r="I39" s="3202" t="s">
        <v>4024</v>
      </c>
      <c r="J39" s="3202"/>
      <c r="K39" s="2623" t="s">
        <v>1722</v>
      </c>
      <c r="L39" s="2623" t="s">
        <v>2114</v>
      </c>
      <c r="M39" s="2623" t="s">
        <v>2114</v>
      </c>
      <c r="N39" s="3202" t="s">
        <v>69</v>
      </c>
      <c r="O39" s="3202"/>
      <c r="P39" s="3299"/>
      <c r="Q39" s="3299"/>
      <c r="S39" s="3488" t="s">
        <v>2538</v>
      </c>
      <c r="T39" s="3488"/>
      <c r="Y39" s="1807"/>
      <c r="Z39" s="1773">
        <v>39</v>
      </c>
      <c r="AZ39" s="2780" t="s">
        <v>6666</v>
      </c>
    </row>
    <row r="40" spans="1:52" s="265" customFormat="1" ht="15.75" customHeight="1">
      <c r="A40" s="289"/>
      <c r="B40" s="3508" t="s">
        <v>2491</v>
      </c>
      <c r="C40" s="3509"/>
      <c r="D40" s="3509"/>
      <c r="E40" s="3510" t="s">
        <v>6891</v>
      </c>
      <c r="F40" s="3511"/>
      <c r="G40" s="3511"/>
      <c r="H40" s="3512"/>
      <c r="I40" s="3571">
        <v>797864</v>
      </c>
      <c r="J40" s="3572"/>
      <c r="K40" s="2785">
        <v>5.2499999999999998E-2</v>
      </c>
      <c r="L40" s="2692">
        <v>10</v>
      </c>
      <c r="M40" s="2692">
        <v>10</v>
      </c>
      <c r="N40" s="3554" t="s">
        <v>6892</v>
      </c>
      <c r="O40" s="3554"/>
      <c r="P40" s="3570">
        <f>IF(OR(I40&lt;=0,I40=""),"",IF(N40="Cash Flow",0,IF(N40="Amortizing",-PMT(K40/12,M40*12,I40,0,0)*12,"")))</f>
        <v>102725.02325569189</v>
      </c>
      <c r="Q40" s="3570"/>
      <c r="S40" s="3489"/>
      <c r="T40" s="3490"/>
      <c r="Y40" s="1807" t="s">
        <v>6666</v>
      </c>
      <c r="Z40" s="1773">
        <v>40</v>
      </c>
      <c r="AZ40" s="2780" t="s">
        <v>6667</v>
      </c>
    </row>
    <row r="41" spans="1:52" s="265" customFormat="1" ht="15.75" customHeight="1">
      <c r="A41" s="289"/>
      <c r="B41" s="3519" t="s">
        <v>2492</v>
      </c>
      <c r="C41" s="3520"/>
      <c r="D41" s="3520"/>
      <c r="E41" s="3521"/>
      <c r="F41" s="3522"/>
      <c r="G41" s="3522"/>
      <c r="H41" s="3523"/>
      <c r="I41" s="3551"/>
      <c r="J41" s="3552"/>
      <c r="K41" s="2786"/>
      <c r="L41" s="2681"/>
      <c r="M41" s="2681"/>
      <c r="N41" s="3550"/>
      <c r="O41" s="3550"/>
      <c r="P41" s="3553" t="str">
        <f>IF(OR(I41&lt;=0,I41=""),"",IF(N41="Cash Flow",0,IF(N41="Amortizing",-PMT(K41/12,M41*12,I41,0,0)*12,"")))</f>
        <v/>
      </c>
      <c r="Q41" s="3553"/>
      <c r="S41" s="3491"/>
      <c r="T41" s="3492"/>
      <c r="Y41" s="1807" t="s">
        <v>6667</v>
      </c>
      <c r="Z41" s="1773">
        <v>41</v>
      </c>
      <c r="AZ41" s="2780" t="s">
        <v>6668</v>
      </c>
    </row>
    <row r="42" spans="1:52" s="265" customFormat="1" ht="15.75" customHeight="1">
      <c r="A42" s="289"/>
      <c r="B42" s="3519" t="s">
        <v>2493</v>
      </c>
      <c r="C42" s="3520"/>
      <c r="D42" s="3520"/>
      <c r="E42" s="3521"/>
      <c r="F42" s="3522"/>
      <c r="G42" s="3522"/>
      <c r="H42" s="3523"/>
      <c r="I42" s="3551"/>
      <c r="J42" s="3552"/>
      <c r="K42" s="2786"/>
      <c r="L42" s="2681"/>
      <c r="M42" s="2681"/>
      <c r="N42" s="3550"/>
      <c r="O42" s="3550"/>
      <c r="P42" s="3553" t="str">
        <f>IF(OR(I42&lt;=0,I42=""),"",IF(N42="Cash Flow",0,IF(N42="Amortizing",-PMT(K42/12,M42*12,I42,0,0)*12,"")))</f>
        <v/>
      </c>
      <c r="Q42" s="3553"/>
      <c r="S42" s="3491"/>
      <c r="T42" s="3492"/>
      <c r="Y42" s="1807" t="s">
        <v>6668</v>
      </c>
      <c r="Z42" s="1773">
        <v>42</v>
      </c>
      <c r="AZ42" s="2780" t="s">
        <v>6669</v>
      </c>
    </row>
    <row r="43" spans="1:52" s="265" customFormat="1" ht="15.75" customHeight="1">
      <c r="A43" s="289"/>
      <c r="B43" s="2627" t="s">
        <v>711</v>
      </c>
      <c r="C43" s="3578"/>
      <c r="D43" s="3579"/>
      <c r="E43" s="3521"/>
      <c r="F43" s="3522"/>
      <c r="G43" s="3522"/>
      <c r="H43" s="3523"/>
      <c r="I43" s="3580"/>
      <c r="J43" s="3581"/>
      <c r="K43" s="2787"/>
      <c r="L43" s="2694"/>
      <c r="M43" s="2694"/>
      <c r="N43" s="3583"/>
      <c r="O43" s="3583"/>
      <c r="P43" s="3582" t="str">
        <f>IF(OR(I43&lt;=0,I43=""),"",IF(N43="Cash Flow",0,IF(N43="Amortizing",-PMT(K43/12,M43*12,I43,0,0)*12,"")))</f>
        <v/>
      </c>
      <c r="Q43" s="3582"/>
      <c r="S43" s="3491"/>
      <c r="T43" s="3492"/>
      <c r="Y43" s="1807" t="s">
        <v>6669</v>
      </c>
      <c r="Z43" s="1773">
        <v>43</v>
      </c>
      <c r="AZ43" s="2780" t="s">
        <v>6670</v>
      </c>
    </row>
    <row r="44" spans="1:52" s="265" customFormat="1" ht="15.75" customHeight="1">
      <c r="A44" s="289"/>
      <c r="B44" s="2627" t="s">
        <v>4147</v>
      </c>
      <c r="C44" s="2628"/>
      <c r="D44" s="2629"/>
      <c r="E44" s="3521"/>
      <c r="F44" s="3522"/>
      <c r="G44" s="3522"/>
      <c r="H44" s="3523"/>
      <c r="I44" s="3551"/>
      <c r="J44" s="3552"/>
      <c r="K44" s="437"/>
      <c r="L44" s="2626"/>
      <c r="M44" s="2626"/>
      <c r="N44" s="3585"/>
      <c r="O44" s="3585"/>
      <c r="P44" s="3584"/>
      <c r="Q44" s="3584"/>
      <c r="S44" s="3491"/>
      <c r="T44" s="3492"/>
      <c r="Y44" s="1807" t="s">
        <v>6670</v>
      </c>
      <c r="Z44" s="1773">
        <v>44</v>
      </c>
      <c r="AZ44" s="2780" t="s">
        <v>6671</v>
      </c>
    </row>
    <row r="45" spans="1:52" s="265" customFormat="1" ht="15.75" customHeight="1">
      <c r="A45" s="289"/>
      <c r="B45" s="2634" t="s">
        <v>219</v>
      </c>
      <c r="C45" s="2635"/>
      <c r="D45" s="358">
        <f>IF(OR(I45="",I45=0,'Part IV-A-Uses of Funds'!$G$127="",'Part IV-A-Uses of Funds'!$G$127=0),"",I45/'Part IV-A-Uses of Funds'!$G$127)</f>
        <v>3.2374999999999999E-3</v>
      </c>
      <c r="E45" s="3478" t="s">
        <v>6968</v>
      </c>
      <c r="F45" s="3479"/>
      <c r="G45" s="3479"/>
      <c r="H45" s="3480"/>
      <c r="I45" s="3555">
        <f>4201-316</f>
        <v>3885</v>
      </c>
      <c r="J45" s="3556"/>
      <c r="K45" s="2788">
        <v>0</v>
      </c>
      <c r="L45" s="2680">
        <v>15</v>
      </c>
      <c r="M45" s="2680">
        <v>0</v>
      </c>
      <c r="N45" s="3559" t="s">
        <v>1122</v>
      </c>
      <c r="O45" s="3560"/>
      <c r="P45" s="3557">
        <f>IF(OR(I45&lt;=0,I45=""),"",IF(N45="Cash Flow",0,IF(N45="Amortizing",-PMT(K45/12,M45*12,I45,0,0)*12,"")))</f>
        <v>0</v>
      </c>
      <c r="Q45" s="3558"/>
      <c r="S45" s="3491"/>
      <c r="T45" s="3492"/>
      <c r="Y45" s="1807" t="s">
        <v>6671</v>
      </c>
      <c r="Z45" s="1773">
        <v>45</v>
      </c>
      <c r="AZ45" s="2780"/>
    </row>
    <row r="46" spans="1:52" s="265" customFormat="1" ht="3" customHeight="1">
      <c r="A46" s="289"/>
      <c r="B46" s="289"/>
      <c r="C46" s="289"/>
      <c r="D46" s="289"/>
      <c r="E46" s="289"/>
      <c r="F46" s="289"/>
      <c r="G46" s="289"/>
      <c r="H46" s="289"/>
      <c r="I46" s="2789"/>
      <c r="J46" s="2790"/>
      <c r="K46" s="2791"/>
      <c r="L46" s="2630"/>
      <c r="M46" s="2630"/>
      <c r="N46" s="2792"/>
      <c r="O46" s="2792"/>
      <c r="P46" s="2630"/>
      <c r="Q46" s="2630"/>
      <c r="S46" s="3491"/>
      <c r="T46" s="3492"/>
      <c r="Y46" s="1807"/>
      <c r="Z46" s="1773">
        <v>46</v>
      </c>
      <c r="AZ46" s="2780"/>
    </row>
    <row r="47" spans="1:52" s="265" customFormat="1" ht="14.25" customHeight="1">
      <c r="A47" s="289"/>
      <c r="B47" s="926" t="s">
        <v>3560</v>
      </c>
      <c r="C47" s="2628"/>
      <c r="E47" s="265" t="s">
        <v>3513</v>
      </c>
      <c r="F47" s="3568">
        <f>IF(OR($I$45="",$I$45=0,'Part VII-Pro Forma'!$S$35=0,'Part VII-Pro Forma'!$S$35=""),"",VLOOKUP($L$45,'Part VII-Pro Forma'!$Q$21:$S$40,3))</f>
        <v>1154545.4084753576</v>
      </c>
      <c r="G47" s="3569"/>
      <c r="H47" s="552" t="s">
        <v>3559</v>
      </c>
      <c r="I47" s="3568">
        <f>IF(OR($I$45="",$I$45=0,'Part VII-Pro Forma'!$R$35=0,'Part VII-Pro Forma'!$R$35=""),"",VLOOKUP($L$45,'Part VII-Pro Forma'!$Q$21:$S$35,2))</f>
        <v>3885</v>
      </c>
      <c r="J47" s="3569"/>
      <c r="K47" s="552" t="s">
        <v>3561</v>
      </c>
      <c r="L47" s="3566">
        <f>IF(OR($F$47 = 0,$F$47 =""),"",$I$47/$F$47)</f>
        <v>3.3649607641940754E-3</v>
      </c>
      <c r="M47" s="3567"/>
      <c r="N47" s="3591" t="s">
        <v>4031</v>
      </c>
      <c r="O47" s="3592"/>
      <c r="P47" s="3589">
        <f>IF(OR($I$62=0,$I$60&gt;$I$61),0,ABS($I$60-$I$61))</f>
        <v>0</v>
      </c>
      <c r="Q47" s="3590"/>
      <c r="S47" s="3491"/>
      <c r="T47" s="3492"/>
      <c r="Y47" s="1807"/>
      <c r="Z47" s="1773">
        <v>47</v>
      </c>
      <c r="AZ47" s="2780"/>
    </row>
    <row r="48" spans="1:52" s="265" customFormat="1" ht="3" customHeight="1">
      <c r="A48" s="289"/>
      <c r="B48" s="289"/>
      <c r="C48" s="289"/>
      <c r="D48" s="289"/>
      <c r="E48" s="289"/>
      <c r="F48" s="289"/>
      <c r="G48" s="289"/>
      <c r="H48" s="289"/>
      <c r="I48" s="2793"/>
      <c r="J48" s="2794"/>
      <c r="K48" s="2791"/>
      <c r="L48" s="2630"/>
      <c r="M48" s="2630"/>
      <c r="N48" s="2792"/>
      <c r="O48" s="2792"/>
      <c r="P48" s="2630"/>
      <c r="Q48" s="2630"/>
      <c r="S48" s="3493"/>
      <c r="T48" s="3494"/>
      <c r="Y48" s="1807"/>
      <c r="Z48" s="1773">
        <v>48</v>
      </c>
      <c r="AZ48" s="2780" t="s">
        <v>6672</v>
      </c>
    </row>
    <row r="49" spans="1:52" s="265" customFormat="1" ht="15.75" customHeight="1">
      <c r="A49" s="289"/>
      <c r="B49" s="3573" t="s">
        <v>2115</v>
      </c>
      <c r="C49" s="3574"/>
      <c r="D49" s="3575"/>
      <c r="E49" s="3510"/>
      <c r="F49" s="3511"/>
      <c r="G49" s="3511"/>
      <c r="H49" s="3512"/>
      <c r="I49" s="3576"/>
      <c r="J49" s="3577"/>
      <c r="K49" s="359"/>
      <c r="L49" s="359"/>
      <c r="M49" s="359"/>
      <c r="N49" s="359"/>
      <c r="O49" s="359"/>
      <c r="P49" s="389" t="s">
        <v>491</v>
      </c>
      <c r="Q49" s="359"/>
      <c r="S49" s="3489"/>
      <c r="T49" s="3490"/>
      <c r="Y49" s="1807" t="s">
        <v>6672</v>
      </c>
      <c r="Z49" s="1773">
        <v>49</v>
      </c>
      <c r="AZ49" s="2780" t="s">
        <v>6673</v>
      </c>
    </row>
    <row r="50" spans="1:52" s="265" customFormat="1" ht="15.75" customHeight="1">
      <c r="A50" s="289"/>
      <c r="B50" s="3519" t="s">
        <v>768</v>
      </c>
      <c r="C50" s="3520"/>
      <c r="D50" s="3561"/>
      <c r="E50" s="3521"/>
      <c r="F50" s="3522"/>
      <c r="G50" s="3522"/>
      <c r="H50" s="3523"/>
      <c r="I50" s="3551"/>
      <c r="J50" s="3552"/>
      <c r="L50" s="3562" t="s">
        <v>492</v>
      </c>
      <c r="M50" s="3562"/>
      <c r="N50" s="3563" t="s">
        <v>493</v>
      </c>
      <c r="O50" s="3563"/>
      <c r="P50" s="390" t="s">
        <v>2442</v>
      </c>
      <c r="Q50" s="359"/>
      <c r="S50" s="3491"/>
      <c r="T50" s="3492"/>
      <c r="Y50" s="1807" t="s">
        <v>6673</v>
      </c>
      <c r="Z50" s="1773">
        <v>50</v>
      </c>
      <c r="AZ50" s="2780" t="s">
        <v>6674</v>
      </c>
    </row>
    <row r="51" spans="1:52" s="265" customFormat="1" ht="15.75" customHeight="1">
      <c r="A51" s="289"/>
      <c r="B51" s="3519" t="s">
        <v>769</v>
      </c>
      <c r="C51" s="3520"/>
      <c r="D51" s="3561"/>
      <c r="E51" s="3521" t="s">
        <v>7028</v>
      </c>
      <c r="F51" s="3522"/>
      <c r="G51" s="3522"/>
      <c r="H51" s="3523"/>
      <c r="I51" s="3551">
        <v>7198560</v>
      </c>
      <c r="J51" s="3551"/>
      <c r="L51" s="3564">
        <f>'Part IV-A-Uses of Funds'!$J$197*10*'Part IV-A-Uses of Funds'!$N$188</f>
        <v>7200000</v>
      </c>
      <c r="M51" s="3564"/>
      <c r="N51" s="3565">
        <f>I51-L51</f>
        <v>-1440</v>
      </c>
      <c r="O51" s="3565"/>
      <c r="P51" s="391">
        <f>I51/I61</f>
        <v>0.61229275591875942</v>
      </c>
      <c r="Q51" s="359"/>
      <c r="S51" s="3491"/>
      <c r="T51" s="3492"/>
      <c r="Y51" s="1807" t="s">
        <v>6674</v>
      </c>
      <c r="Z51" s="1773">
        <v>51</v>
      </c>
      <c r="AZ51" s="2780" t="s">
        <v>6675</v>
      </c>
    </row>
    <row r="52" spans="1:52" s="265" customFormat="1" ht="15.75" customHeight="1">
      <c r="A52" s="289"/>
      <c r="B52" s="3519" t="s">
        <v>770</v>
      </c>
      <c r="C52" s="3520"/>
      <c r="D52" s="3561"/>
      <c r="E52" s="3521" t="s">
        <v>6890</v>
      </c>
      <c r="F52" s="3522"/>
      <c r="G52" s="3522"/>
      <c r="H52" s="3523"/>
      <c r="I52" s="3551">
        <f>900000*10*0.4173+720</f>
        <v>3756420</v>
      </c>
      <c r="J52" s="3551"/>
      <c r="L52" s="3564">
        <f>'Part IV-A-Uses of Funds'!$J$197*10*'Part IV-A-Uses of Funds'!$Q$188</f>
        <v>3755700</v>
      </c>
      <c r="M52" s="3564"/>
      <c r="N52" s="3565">
        <f>I52-L52</f>
        <v>720</v>
      </c>
      <c r="O52" s="3565"/>
      <c r="P52" s="391">
        <f>I52/I61</f>
        <v>0.31951234054982469</v>
      </c>
      <c r="Q52" s="359"/>
      <c r="S52" s="3491"/>
      <c r="T52" s="3492"/>
      <c r="Y52" s="1807" t="s">
        <v>6675</v>
      </c>
      <c r="Z52" s="1773">
        <v>52</v>
      </c>
      <c r="AZ52" s="2780" t="s">
        <v>6676</v>
      </c>
    </row>
    <row r="53" spans="1:52" s="265" customFormat="1" ht="15.75" customHeight="1">
      <c r="A53" s="289"/>
      <c r="B53" s="3519" t="s">
        <v>1360</v>
      </c>
      <c r="C53" s="3520"/>
      <c r="D53" s="3561"/>
      <c r="E53" s="3521"/>
      <c r="F53" s="3522"/>
      <c r="G53" s="3522"/>
      <c r="H53" s="3523"/>
      <c r="I53" s="3551"/>
      <c r="J53" s="3551"/>
      <c r="P53" s="392">
        <f>SUM(P51:P52)</f>
        <v>0.93180509646858412</v>
      </c>
      <c r="Q53" s="359"/>
      <c r="S53" s="3493"/>
      <c r="T53" s="3494"/>
      <c r="Y53" s="1807" t="s">
        <v>6676</v>
      </c>
      <c r="Z53" s="1773">
        <v>53</v>
      </c>
      <c r="AZ53" s="2780"/>
    </row>
    <row r="54" spans="1:52" s="265" customFormat="1" ht="15.75" customHeight="1">
      <c r="A54" s="289"/>
      <c r="B54" s="2627" t="s">
        <v>506</v>
      </c>
      <c r="C54" s="2628"/>
      <c r="D54" s="2629"/>
      <c r="E54" s="3521"/>
      <c r="F54" s="3522"/>
      <c r="G54" s="3522"/>
      <c r="H54" s="3523"/>
      <c r="I54" s="3551"/>
      <c r="J54" s="3551"/>
      <c r="K54" s="289"/>
      <c r="Q54" s="359"/>
      <c r="S54" s="3491"/>
      <c r="T54" s="3492"/>
      <c r="Y54" s="1807"/>
      <c r="Z54" s="1773">
        <v>54</v>
      </c>
      <c r="AZ54" s="2780"/>
    </row>
    <row r="55" spans="1:52" s="265" customFormat="1" ht="15.75" customHeight="1">
      <c r="A55" s="289"/>
      <c r="B55" s="2627" t="s">
        <v>1783</v>
      </c>
      <c r="C55" s="2628"/>
      <c r="D55" s="2629"/>
      <c r="E55" s="3521"/>
      <c r="F55" s="3522"/>
      <c r="G55" s="3522"/>
      <c r="H55" s="3523"/>
      <c r="I55" s="3551"/>
      <c r="J55" s="3551"/>
      <c r="N55" s="360"/>
      <c r="O55" s="360"/>
      <c r="P55" s="360"/>
      <c r="Q55" s="359"/>
      <c r="S55" s="3491"/>
      <c r="T55" s="3492"/>
      <c r="Y55" s="1807"/>
      <c r="Z55" s="1773">
        <v>55</v>
      </c>
      <c r="AZ55" s="2780"/>
    </row>
    <row r="56" spans="1:52" s="265" customFormat="1" ht="15.75" customHeight="1">
      <c r="A56" s="289"/>
      <c r="B56" s="2627" t="s">
        <v>1784</v>
      </c>
      <c r="C56" s="2628"/>
      <c r="D56" s="2629"/>
      <c r="E56" s="3521"/>
      <c r="F56" s="3522"/>
      <c r="G56" s="3522"/>
      <c r="H56" s="3523"/>
      <c r="I56" s="3551"/>
      <c r="J56" s="3551"/>
      <c r="M56" s="360"/>
      <c r="N56" s="360"/>
      <c r="O56" s="360"/>
      <c r="P56" s="360"/>
      <c r="Q56" s="359"/>
      <c r="S56" s="3491"/>
      <c r="T56" s="3492"/>
      <c r="Y56" s="1807"/>
      <c r="Z56" s="1773">
        <v>56</v>
      </c>
      <c r="AZ56" s="2780" t="s">
        <v>6677</v>
      </c>
    </row>
    <row r="57" spans="1:52" s="265" customFormat="1" ht="15.75" customHeight="1">
      <c r="A57" s="289"/>
      <c r="B57" s="2627" t="s">
        <v>711</v>
      </c>
      <c r="C57" s="3540"/>
      <c r="D57" s="3540"/>
      <c r="E57" s="3521"/>
      <c r="F57" s="3522"/>
      <c r="G57" s="3522"/>
      <c r="H57" s="3523"/>
      <c r="I57" s="3551"/>
      <c r="J57" s="3551"/>
      <c r="M57" s="360"/>
      <c r="N57" s="360"/>
      <c r="O57" s="360"/>
      <c r="P57" s="360"/>
      <c r="Q57" s="359"/>
      <c r="S57" s="3491"/>
      <c r="T57" s="3492"/>
      <c r="Y57" s="1807" t="s">
        <v>6677</v>
      </c>
      <c r="Z57" s="1773">
        <v>57</v>
      </c>
      <c r="AZ57" s="2780" t="s">
        <v>6678</v>
      </c>
    </row>
    <row r="58" spans="1:52" s="265" customFormat="1" ht="15.75" customHeight="1">
      <c r="A58" s="289"/>
      <c r="B58" s="2627" t="s">
        <v>711</v>
      </c>
      <c r="C58" s="3541"/>
      <c r="D58" s="3541"/>
      <c r="E58" s="3521"/>
      <c r="F58" s="3522"/>
      <c r="G58" s="3522"/>
      <c r="H58" s="3523"/>
      <c r="I58" s="3551"/>
      <c r="J58" s="3551"/>
      <c r="K58" s="289"/>
      <c r="L58" s="361"/>
      <c r="M58" s="360"/>
      <c r="N58" s="360"/>
      <c r="O58" s="360"/>
      <c r="P58" s="360"/>
      <c r="Q58" s="359"/>
      <c r="S58" s="3491"/>
      <c r="T58" s="3492"/>
      <c r="Y58" s="1807" t="s">
        <v>6678</v>
      </c>
      <c r="Z58" s="1773">
        <v>58</v>
      </c>
      <c r="AZ58" s="2780" t="s">
        <v>6679</v>
      </c>
    </row>
    <row r="59" spans="1:52" s="265" customFormat="1" ht="15.75" customHeight="1">
      <c r="A59" s="289"/>
      <c r="B59" s="2634" t="s">
        <v>711</v>
      </c>
      <c r="C59" s="3542"/>
      <c r="D59" s="3542"/>
      <c r="E59" s="3478"/>
      <c r="F59" s="3479"/>
      <c r="G59" s="3479"/>
      <c r="H59" s="3480"/>
      <c r="I59" s="3593"/>
      <c r="J59" s="3593"/>
      <c r="K59" s="289"/>
      <c r="L59" s="361"/>
      <c r="M59" s="360"/>
      <c r="N59" s="360"/>
      <c r="O59" s="360"/>
      <c r="P59" s="360"/>
      <c r="Q59" s="359"/>
      <c r="S59" s="3491"/>
      <c r="T59" s="3492"/>
      <c r="Y59" s="1807" t="s">
        <v>6679</v>
      </c>
      <c r="Z59" s="1773">
        <v>59</v>
      </c>
      <c r="AZ59" s="2780"/>
    </row>
    <row r="60" spans="1:52" s="265" customFormat="1" ht="14.25" customHeight="1">
      <c r="A60" s="289"/>
      <c r="B60" s="2621" t="s">
        <v>2116</v>
      </c>
      <c r="C60" s="289"/>
      <c r="D60" s="289"/>
      <c r="E60" s="289"/>
      <c r="F60" s="289"/>
      <c r="G60" s="289"/>
      <c r="I60" s="3594">
        <f>SUM(I40:J45)+SUM(I49:J59)</f>
        <v>11756729</v>
      </c>
      <c r="J60" s="3595"/>
      <c r="K60" s="289"/>
      <c r="L60" s="361"/>
      <c r="M60" s="360"/>
      <c r="N60" s="360"/>
      <c r="O60" s="360"/>
      <c r="P60" s="360"/>
      <c r="Q60" s="359"/>
      <c r="S60" s="3491"/>
      <c r="T60" s="3492"/>
      <c r="Y60" s="1807"/>
      <c r="Z60" s="1773">
        <v>60</v>
      </c>
      <c r="AZ60" s="2780"/>
    </row>
    <row r="61" spans="1:52" s="265" customFormat="1" ht="14.25" customHeight="1" thickBot="1">
      <c r="A61" s="289"/>
      <c r="B61" s="2621" t="s">
        <v>2117</v>
      </c>
      <c r="C61" s="289"/>
      <c r="D61" s="289"/>
      <c r="E61" s="289"/>
      <c r="F61" s="289"/>
      <c r="G61" s="289"/>
      <c r="I61" s="3596">
        <f>'Part IV-A-Uses of Funds'!$G$146</f>
        <v>11756729</v>
      </c>
      <c r="J61" s="3597"/>
      <c r="K61" s="289"/>
      <c r="L61" s="361"/>
      <c r="M61" s="360"/>
      <c r="N61" s="360"/>
      <c r="O61" s="360"/>
      <c r="P61" s="360"/>
      <c r="Q61" s="359"/>
      <c r="S61" s="3491"/>
      <c r="T61" s="3492"/>
      <c r="Y61" s="1807"/>
      <c r="Z61" s="1773">
        <v>61</v>
      </c>
      <c r="AZ61" s="2780"/>
    </row>
    <row r="62" spans="1:52" s="265" customFormat="1" ht="14.25" customHeight="1" thickBot="1">
      <c r="A62" s="289"/>
      <c r="B62" s="2619" t="s">
        <v>1464</v>
      </c>
      <c r="C62" s="289"/>
      <c r="D62" s="289"/>
      <c r="E62" s="289"/>
      <c r="F62" s="289"/>
      <c r="G62" s="289"/>
      <c r="I62" s="3598">
        <f>I60-I61</f>
        <v>0</v>
      </c>
      <c r="J62" s="3599"/>
      <c r="K62" s="289"/>
      <c r="L62" s="361"/>
      <c r="M62" s="360"/>
      <c r="N62" s="360"/>
      <c r="O62" s="360"/>
      <c r="P62" s="360"/>
      <c r="Q62" s="359"/>
      <c r="S62" s="3493"/>
      <c r="T62" s="3494"/>
      <c r="Y62" s="1807"/>
      <c r="Z62" s="1773">
        <v>62</v>
      </c>
      <c r="AZ62" s="2780"/>
    </row>
    <row r="63" spans="1:52" s="265" customFormat="1" ht="13.35" customHeight="1">
      <c r="A63" s="289" t="s">
        <v>4148</v>
      </c>
      <c r="B63" s="2619"/>
      <c r="C63" s="289"/>
      <c r="D63" s="289"/>
      <c r="E63" s="289"/>
      <c r="F63" s="289"/>
      <c r="G63" s="289"/>
      <c r="H63" s="354"/>
      <c r="I63" s="354"/>
      <c r="J63" s="307"/>
      <c r="K63" s="289"/>
      <c r="L63" s="361"/>
      <c r="M63" s="360"/>
      <c r="N63" s="360"/>
      <c r="O63" s="360"/>
      <c r="P63" s="360"/>
      <c r="Q63" s="359"/>
      <c r="R63" s="359"/>
      <c r="S63" s="359"/>
      <c r="T63" s="359"/>
      <c r="Y63" s="1807"/>
      <c r="Z63" s="1773">
        <v>63</v>
      </c>
      <c r="AZ63" s="2784"/>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5"/>
    </row>
    <row r="66" spans="1:52" ht="111.75" customHeight="1">
      <c r="A66" s="3588" t="s">
        <v>7030</v>
      </c>
      <c r="B66" s="3588"/>
      <c r="C66" s="3588"/>
      <c r="D66" s="3588"/>
      <c r="E66" s="3588"/>
      <c r="F66" s="3588"/>
      <c r="G66" s="3588"/>
      <c r="H66" s="3588"/>
      <c r="I66" s="3588"/>
      <c r="J66" s="3588"/>
      <c r="K66" s="3588"/>
      <c r="L66" s="3588"/>
      <c r="M66" s="3587"/>
      <c r="N66" s="3587"/>
      <c r="O66" s="3587"/>
      <c r="P66" s="3587"/>
      <c r="Q66" s="3587"/>
      <c r="S66" s="3586" t="s">
        <v>2543</v>
      </c>
      <c r="T66" s="3586"/>
      <c r="U66" s="446"/>
      <c r="V66" s="446"/>
      <c r="W66" s="446"/>
      <c r="Y66" s="2796"/>
      <c r="Z66" s="1773">
        <v>66</v>
      </c>
      <c r="AZ66" s="2795"/>
    </row>
    <row r="67" spans="1:52" ht="11.25" customHeight="1">
      <c r="S67" s="446"/>
      <c r="T67" s="446"/>
      <c r="U67" s="446"/>
      <c r="V67" s="446"/>
      <c r="W67" s="446"/>
      <c r="Y67" s="2796"/>
    </row>
    <row r="68" spans="1:52" ht="12" customHeight="1"/>
    <row r="69" spans="1:52" ht="12" customHeight="1">
      <c r="B69" s="334"/>
    </row>
    <row r="70" spans="1:52" ht="14.45" customHeight="1">
      <c r="AZ70" s="2780"/>
    </row>
    <row r="71" spans="1:52" s="265" customFormat="1" ht="14.45" customHeight="1">
      <c r="Y71" s="1807"/>
      <c r="Z71" s="1807"/>
      <c r="AZ71" s="2780"/>
    </row>
    <row r="72" spans="1:52" s="265" customFormat="1" ht="14.45" customHeight="1">
      <c r="Y72" s="1807"/>
      <c r="Z72" s="1807"/>
      <c r="AZ72" s="2780"/>
    </row>
    <row r="73" spans="1:52" s="265" customFormat="1" ht="14.45" customHeight="1">
      <c r="Y73" s="1807"/>
      <c r="Z73" s="1807"/>
      <c r="AZ73" s="2784"/>
    </row>
    <row r="74" spans="1:52" ht="14.45" customHeight="1">
      <c r="AZ74" s="2780"/>
    </row>
    <row r="75" spans="1:52" s="265" customFormat="1" ht="14.45" customHeight="1">
      <c r="A75" s="335"/>
      <c r="Y75" s="1807"/>
      <c r="Z75" s="1807"/>
      <c r="AZ75" s="2780"/>
    </row>
    <row r="76" spans="1:52" s="265" customFormat="1" ht="14.45" customHeight="1">
      <c r="A76" s="335"/>
      <c r="Y76" s="1807"/>
      <c r="Z76" s="1807"/>
      <c r="AZ76" s="2780"/>
    </row>
    <row r="77" spans="1:52" s="265" customFormat="1" ht="14.45" customHeight="1">
      <c r="Y77" s="1807"/>
      <c r="Z77" s="1807"/>
      <c r="AZ77" s="2780"/>
    </row>
    <row r="78" spans="1:52" s="265" customFormat="1" ht="14.45" customHeight="1">
      <c r="A78" s="335"/>
      <c r="Y78" s="1807"/>
      <c r="Z78" s="1807"/>
      <c r="AZ78" s="2780"/>
    </row>
    <row r="79" spans="1:52" s="265" customFormat="1" ht="14.45" customHeight="1">
      <c r="A79" s="333"/>
      <c r="Y79" s="1807"/>
      <c r="Z79" s="1807"/>
      <c r="AZ79" s="2780"/>
    </row>
    <row r="80" spans="1:52" s="265" customFormat="1" ht="14.45" customHeight="1">
      <c r="A80" s="333"/>
      <c r="Y80" s="1807"/>
      <c r="Z80" s="1807"/>
      <c r="AZ80" s="2780"/>
    </row>
    <row r="81" spans="1:52" s="265" customFormat="1" ht="14.45" customHeight="1">
      <c r="A81" s="336"/>
      <c r="Y81" s="1807"/>
      <c r="Z81" s="1807"/>
      <c r="AZ81" s="2780"/>
    </row>
    <row r="82" spans="1:52" s="265" customFormat="1" ht="14.45" customHeight="1">
      <c r="A82" s="335"/>
      <c r="Y82" s="1807"/>
      <c r="Z82" s="1807"/>
      <c r="AZ82" s="2780"/>
    </row>
    <row r="83" spans="1:52" s="265" customFormat="1" ht="14.45" customHeight="1">
      <c r="A83" s="333"/>
      <c r="Y83" s="1807"/>
      <c r="Z83" s="1807"/>
      <c r="AZ83" s="2780"/>
    </row>
    <row r="84" spans="1:52" s="265" customFormat="1" ht="14.45" customHeight="1">
      <c r="A84" s="333"/>
      <c r="Y84" s="1807"/>
      <c r="Z84" s="1807"/>
      <c r="AZ84" s="2780"/>
    </row>
    <row r="85" spans="1:52" s="265" customFormat="1" ht="14.45" customHeight="1">
      <c r="A85" s="336"/>
      <c r="Y85" s="1807"/>
      <c r="Z85" s="1807"/>
      <c r="AZ85" s="2780"/>
    </row>
    <row r="86" spans="1:52" s="265" customFormat="1" ht="14.45" customHeight="1">
      <c r="A86" s="335"/>
      <c r="Y86" s="1807"/>
      <c r="Z86" s="1807"/>
      <c r="AZ86" s="2780"/>
    </row>
    <row r="87" spans="1:52" s="265" customFormat="1" ht="14.45" customHeight="1">
      <c r="A87" s="333"/>
      <c r="Y87" s="1807"/>
      <c r="Z87" s="1807"/>
      <c r="AZ87" s="2780"/>
    </row>
    <row r="88" spans="1:52" s="265" customFormat="1" ht="14.45" customHeight="1">
      <c r="A88" s="333"/>
      <c r="Y88" s="1807"/>
      <c r="Z88" s="1807"/>
      <c r="AZ88" s="2780"/>
    </row>
    <row r="89" spans="1:52" s="265" customFormat="1" ht="14.45" customHeight="1">
      <c r="A89" s="336"/>
      <c r="Y89" s="1807"/>
      <c r="Z89" s="1807"/>
      <c r="AZ89" s="2780"/>
    </row>
    <row r="90" spans="1:52" s="265" customFormat="1" ht="14.45" customHeight="1">
      <c r="A90" s="336"/>
      <c r="Y90" s="1807"/>
      <c r="Z90" s="1807"/>
      <c r="AZ90" s="2780"/>
    </row>
    <row r="91" spans="1:52" s="265" customFormat="1" ht="14.45" customHeight="1">
      <c r="A91" s="336"/>
      <c r="Y91" s="1807"/>
      <c r="Z91" s="1807"/>
      <c r="AZ91" s="2780"/>
    </row>
    <row r="92" spans="1:52" s="265" customFormat="1" ht="14.45" customHeight="1">
      <c r="A92" s="336"/>
      <c r="Y92" s="1807"/>
      <c r="Z92" s="1807"/>
      <c r="AZ92" s="2780"/>
    </row>
    <row r="93" spans="1:52" s="265" customFormat="1" ht="14.45" customHeight="1">
      <c r="Y93" s="1807"/>
      <c r="Z93" s="1807"/>
      <c r="AZ93" s="2780"/>
    </row>
    <row r="94" spans="1:52" s="265" customFormat="1" ht="14.45" customHeight="1">
      <c r="Y94" s="1807"/>
      <c r="Z94" s="1807"/>
      <c r="AZ94" s="2784"/>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hvtWTCTPz0MrJzPXE/g4EIPdBCSWbFHXLMkPeUv7INj5aJNE0oNWh0lygjvMvD3c2H0QxP1rWsW1CGxJQdTcIg==" saltValue="QgNySlX5YqZPazISaF+7fA=="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00" priority="6" stopIfTrue="1" operator="equal">
      <formula>"Make a selection FIRST --&gt;"</formula>
    </cfRule>
  </conditionalFormatting>
  <conditionalFormatting sqref="J48">
    <cfRule type="cellIs" dxfId="99" priority="5" operator="equal">
      <formula>"No"</formula>
    </cfRule>
  </conditionalFormatting>
  <conditionalFormatting sqref="J46">
    <cfRule type="cellIs" dxfId="98" priority="4" operator="equal">
      <formula>"No"</formula>
    </cfRule>
  </conditionalFormatting>
  <conditionalFormatting sqref="D45">
    <cfRule type="cellIs" dxfId="97" priority="3" operator="greaterThan">
      <formula>50.000001%</formula>
    </cfRule>
  </conditionalFormatting>
  <conditionalFormatting sqref="P47:Q47">
    <cfRule type="cellIs" dxfId="9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8" t="e">
        <f>CONCATENATE("PART III B: USD 538 LOAN","  -  ",#REF!," ",#REF!,", ",#REF!,", ",#REF!," County")</f>
        <v>#REF!</v>
      </c>
      <c r="B1" s="3609"/>
      <c r="C1" s="3609"/>
      <c r="D1" s="3609"/>
      <c r="E1" s="3609"/>
      <c r="F1" s="3610"/>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01" t="s">
        <v>209</v>
      </c>
      <c r="B3" s="3601"/>
      <c r="C3" s="3601"/>
      <c r="D3" s="3601"/>
      <c r="E3" s="3601"/>
      <c r="F3" s="3601"/>
      <c r="G3" s="191"/>
      <c r="H3" s="191"/>
    </row>
    <row r="4" spans="1:17" s="179" customFormat="1" ht="6" customHeight="1"/>
    <row r="5" spans="1:17">
      <c r="A5" s="33" t="s">
        <v>2153</v>
      </c>
      <c r="B5" s="33"/>
      <c r="C5" s="255"/>
      <c r="D5" s="256">
        <f>IF(C5&gt;1500000,1500000,0)</f>
        <v>0</v>
      </c>
      <c r="E5" s="257">
        <f>IF(C5&gt;1500000,C5-1500000,0)</f>
        <v>0</v>
      </c>
    </row>
    <row r="6" spans="1:17">
      <c r="A6" s="33" t="s">
        <v>2352</v>
      </c>
      <c r="B6" s="212" t="s">
        <v>483</v>
      </c>
      <c r="C6" s="258">
        <v>0</v>
      </c>
      <c r="D6" s="116" t="s">
        <v>484</v>
      </c>
      <c r="E6" s="33"/>
    </row>
    <row r="7" spans="1:17">
      <c r="A7" s="33"/>
      <c r="B7" s="212" t="s">
        <v>2368</v>
      </c>
      <c r="C7" s="259"/>
      <c r="D7" s="116" t="s">
        <v>1590</v>
      </c>
      <c r="E7" s="33"/>
    </row>
    <row r="8" spans="1:17" ht="13.35" customHeight="1">
      <c r="A8" s="33" t="s">
        <v>2356</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02" t="s">
        <v>121</v>
      </c>
      <c r="B14" s="3602"/>
      <c r="C14" s="3602"/>
      <c r="D14" s="3602"/>
      <c r="E14" s="3602"/>
      <c r="F14" s="3602"/>
      <c r="G14" s="191"/>
      <c r="H14" s="191"/>
    </row>
    <row r="15" spans="1:17" ht="5.45" customHeight="1">
      <c r="A15" s="28"/>
      <c r="E15" s="202"/>
      <c r="F15" s="191"/>
      <c r="G15" s="191"/>
      <c r="H15" s="191"/>
    </row>
    <row r="16" spans="1:17" ht="13.35" customHeight="1">
      <c r="A16" s="204" t="s">
        <v>2369</v>
      </c>
      <c r="B16" s="205" t="s">
        <v>2366</v>
      </c>
      <c r="C16" s="205" t="s">
        <v>2367</v>
      </c>
      <c r="D16" s="3611" t="s">
        <v>2152</v>
      </c>
      <c r="E16" s="3611"/>
      <c r="F16" s="191"/>
      <c r="G16" s="191"/>
      <c r="H16" s="191"/>
    </row>
    <row r="17" spans="1:8" ht="12.6" customHeight="1">
      <c r="A17" s="80">
        <v>1</v>
      </c>
      <c r="B17" s="180">
        <f>IF(A17&gt;$C$9,0,SUM(C64:C75)*($C$6/$C$7))</f>
        <v>0</v>
      </c>
      <c r="C17" s="203">
        <f>IF(A17&gt;C9,0,(E63+K63)*$C$8)</f>
        <v>0</v>
      </c>
      <c r="D17" s="3606">
        <f t="shared" ref="D17:D56" si="0">IF(A17&gt;$C$9,0,$C$11+C17)</f>
        <v>0</v>
      </c>
      <c r="E17" s="3606"/>
      <c r="F17" s="191"/>
      <c r="G17" s="191"/>
      <c r="H17" s="191"/>
    </row>
    <row r="18" spans="1:8" ht="12.6" customHeight="1">
      <c r="A18" s="80">
        <v>2</v>
      </c>
      <c r="B18" s="180">
        <f>IF(A18&gt;C9,0,SUM(C76:C87)*($C$6/$C$7))</f>
        <v>0</v>
      </c>
      <c r="C18" s="210">
        <f>IF(A18&gt;C9,0,(E75+K75)*$C$8)</f>
        <v>0</v>
      </c>
      <c r="D18" s="3604">
        <f t="shared" si="0"/>
        <v>0</v>
      </c>
      <c r="E18" s="3604"/>
      <c r="F18" s="191"/>
      <c r="G18" s="191"/>
      <c r="H18" s="191"/>
    </row>
    <row r="19" spans="1:8" ht="12.6" customHeight="1">
      <c r="A19" s="80">
        <v>3</v>
      </c>
      <c r="B19" s="180">
        <f>IF(A19&gt;C9,0,SUM(C88:C99)*($C$6/$C$7))</f>
        <v>0</v>
      </c>
      <c r="C19" s="203">
        <f>IF(A19&gt;C9,0,(E87+K87)*$C$8)</f>
        <v>0</v>
      </c>
      <c r="D19" s="3604">
        <f t="shared" si="0"/>
        <v>0</v>
      </c>
      <c r="E19" s="3604"/>
      <c r="F19" s="191"/>
      <c r="G19" s="191"/>
      <c r="H19" s="191"/>
    </row>
    <row r="20" spans="1:8" ht="12.6" customHeight="1">
      <c r="A20" s="80">
        <v>4</v>
      </c>
      <c r="B20" s="180">
        <f>IF(A20&gt;C9,0,SUM(C100:C111)*($C$6/$C$7))</f>
        <v>0</v>
      </c>
      <c r="C20" s="203">
        <f>IF(A20&gt;C9,0,(E99+K99)*$C$8)</f>
        <v>0</v>
      </c>
      <c r="D20" s="3604">
        <f t="shared" si="0"/>
        <v>0</v>
      </c>
      <c r="E20" s="3604"/>
      <c r="F20" s="191"/>
      <c r="G20" s="191"/>
      <c r="H20" s="191"/>
    </row>
    <row r="21" spans="1:8" ht="12.6" customHeight="1">
      <c r="A21" s="80">
        <v>5</v>
      </c>
      <c r="B21" s="180">
        <f>IF(A21&gt;C9,0,SUM(C112:C123)*($C$6/$C$7))</f>
        <v>0</v>
      </c>
      <c r="C21" s="203">
        <f>IF(A21&gt;C9,0,(E111+K111)*$C$8)</f>
        <v>0</v>
      </c>
      <c r="D21" s="3605">
        <f t="shared" si="0"/>
        <v>0</v>
      </c>
      <c r="E21" s="3605"/>
      <c r="F21" s="191"/>
      <c r="G21" s="191"/>
      <c r="H21" s="191"/>
    </row>
    <row r="22" spans="1:8" ht="12.6" customHeight="1">
      <c r="A22" s="181">
        <v>6</v>
      </c>
      <c r="B22" s="182">
        <f>IF(A22&gt;C9,0,SUM(C124:C135)*($C$6/$C$7))</f>
        <v>0</v>
      </c>
      <c r="C22" s="207">
        <f>IF(A22&gt;C9,0,(E123+K123)*$C$8)</f>
        <v>0</v>
      </c>
      <c r="D22" s="3604">
        <f t="shared" si="0"/>
        <v>0</v>
      </c>
      <c r="E22" s="3604"/>
      <c r="F22" s="191"/>
      <c r="G22" s="191"/>
      <c r="H22" s="191"/>
    </row>
    <row r="23" spans="1:8" ht="12.6" customHeight="1">
      <c r="A23" s="183">
        <v>7</v>
      </c>
      <c r="B23" s="184">
        <f>IF(A23&gt;C9,0,SUM(C136:C147)*($C$6/$C$7))</f>
        <v>0</v>
      </c>
      <c r="C23" s="185">
        <f>IF(A23&gt;C9,0,(E135+K135)*$C$8)</f>
        <v>0</v>
      </c>
      <c r="D23" s="3604">
        <f t="shared" si="0"/>
        <v>0</v>
      </c>
      <c r="E23" s="3604"/>
      <c r="F23" s="191"/>
      <c r="G23" s="191"/>
      <c r="H23" s="191"/>
    </row>
    <row r="24" spans="1:8" ht="12.6" customHeight="1">
      <c r="A24" s="183">
        <v>8</v>
      </c>
      <c r="B24" s="184">
        <f>IF(A24&gt;C9,0,SUM(C148:C159)*($C$6/$C$7))</f>
        <v>0</v>
      </c>
      <c r="C24" s="185">
        <f>IF(A24&gt;C9,0,(E147+K147)*$C$8)</f>
        <v>0</v>
      </c>
      <c r="D24" s="3604">
        <f t="shared" si="0"/>
        <v>0</v>
      </c>
      <c r="E24" s="3604"/>
      <c r="F24" s="191"/>
      <c r="G24" s="191"/>
      <c r="H24" s="191"/>
    </row>
    <row r="25" spans="1:8" ht="12.6" customHeight="1">
      <c r="A25" s="183">
        <v>9</v>
      </c>
      <c r="B25" s="184">
        <f>IF(A25&gt;C9,0,SUM(C160:C171)*($C$6/$C$7))</f>
        <v>0</v>
      </c>
      <c r="C25" s="185">
        <f>IF(A25&gt;C9,0,(E159+K159)*$C$8)</f>
        <v>0</v>
      </c>
      <c r="D25" s="3604">
        <f t="shared" si="0"/>
        <v>0</v>
      </c>
      <c r="E25" s="3604"/>
      <c r="F25" s="191"/>
      <c r="G25" s="191"/>
      <c r="H25" s="191"/>
    </row>
    <row r="26" spans="1:8" ht="12.6" customHeight="1">
      <c r="A26" s="186">
        <v>10</v>
      </c>
      <c r="B26" s="187">
        <f>IF(A26&gt;C9,0,SUM(C172:C183)*($C$6/$C$7))</f>
        <v>0</v>
      </c>
      <c r="C26" s="206">
        <f>IF(A26&gt;C9,0,(E171+K171)*$C$8)</f>
        <v>0</v>
      </c>
      <c r="D26" s="3605">
        <f t="shared" si="0"/>
        <v>0</v>
      </c>
      <c r="E26" s="3605"/>
      <c r="F26" s="191"/>
      <c r="G26" s="191"/>
      <c r="H26" s="191"/>
    </row>
    <row r="27" spans="1:8" ht="12.6" customHeight="1">
      <c r="A27" s="188">
        <v>11</v>
      </c>
      <c r="B27" s="180">
        <f>IF(A27&gt;C9,0,SUM(C184:C195)*($C$6/$C$7))</f>
        <v>0</v>
      </c>
      <c r="C27" s="203">
        <f>IF(A27&gt;C9,0,(E183+K183)*$C$8)</f>
        <v>0</v>
      </c>
      <c r="D27" s="3604">
        <f t="shared" si="0"/>
        <v>0</v>
      </c>
      <c r="E27" s="3604"/>
      <c r="F27" s="191"/>
      <c r="G27" s="191"/>
      <c r="H27" s="191"/>
    </row>
    <row r="28" spans="1:8" ht="12.6" customHeight="1">
      <c r="A28" s="188">
        <v>12</v>
      </c>
      <c r="B28" s="180">
        <f>IF(A28&gt;C9,0,SUM(C196:C207)*($C$6/$C$7))</f>
        <v>0</v>
      </c>
      <c r="C28" s="203">
        <f>IF(A28&gt;C9,0,(E195+K195)*$C$8)</f>
        <v>0</v>
      </c>
      <c r="D28" s="3604">
        <f t="shared" si="0"/>
        <v>0</v>
      </c>
      <c r="E28" s="3604"/>
      <c r="F28" s="191"/>
      <c r="G28" s="191"/>
      <c r="H28" s="191"/>
    </row>
    <row r="29" spans="1:8" ht="12.6" customHeight="1">
      <c r="A29" s="188">
        <v>13</v>
      </c>
      <c r="B29" s="180">
        <f>IF(A29&gt;C9,0,SUM(C208:C219)*($C$6/$C$7))</f>
        <v>0</v>
      </c>
      <c r="C29" s="203">
        <f>IF(A29&gt;C9,0,(E207+K207)*$C$8)</f>
        <v>0</v>
      </c>
      <c r="D29" s="3604">
        <f t="shared" si="0"/>
        <v>0</v>
      </c>
      <c r="E29" s="3604"/>
      <c r="F29" s="191"/>
      <c r="G29" s="191"/>
      <c r="H29" s="191"/>
    </row>
    <row r="30" spans="1:8" ht="12.6" customHeight="1">
      <c r="A30" s="188">
        <v>14</v>
      </c>
      <c r="B30" s="180">
        <f>IF(A30&gt;C9,0,SUM(C220:C231)*($C$6/$C$7))</f>
        <v>0</v>
      </c>
      <c r="C30" s="203">
        <f>IF(A30&gt;C9,0,(E219+K219)*$C$8)</f>
        <v>0</v>
      </c>
      <c r="D30" s="3604">
        <f t="shared" si="0"/>
        <v>0</v>
      </c>
      <c r="E30" s="3604"/>
      <c r="F30" s="191"/>
      <c r="G30" s="191"/>
      <c r="H30" s="191"/>
    </row>
    <row r="31" spans="1:8" ht="12.6" customHeight="1">
      <c r="A31" s="188">
        <v>15</v>
      </c>
      <c r="B31" s="180">
        <f>IF(A31&gt;C9,0,SUM(C232:C243)*($C$6/$C$7))</f>
        <v>0</v>
      </c>
      <c r="C31" s="203">
        <f>IF(A31&gt;C9,0,(E231+K231)*$C$8)</f>
        <v>0</v>
      </c>
      <c r="D31" s="3605">
        <f t="shared" si="0"/>
        <v>0</v>
      </c>
      <c r="E31" s="3605"/>
      <c r="F31" s="191"/>
      <c r="G31" s="191"/>
      <c r="H31" s="191"/>
    </row>
    <row r="32" spans="1:8" ht="12.6" customHeight="1">
      <c r="A32" s="190">
        <v>16</v>
      </c>
      <c r="B32" s="182">
        <f>IF(A32&gt;C9,0,SUM(C244:C255)*($C$6/$C$7))</f>
        <v>0</v>
      </c>
      <c r="C32" s="207">
        <f>IF(A32&gt;C9,0,(E243+K243)*$C$8)</f>
        <v>0</v>
      </c>
      <c r="D32" s="3604">
        <f t="shared" si="0"/>
        <v>0</v>
      </c>
      <c r="E32" s="3604"/>
      <c r="F32" s="191"/>
      <c r="G32" s="191"/>
      <c r="H32" s="191"/>
    </row>
    <row r="33" spans="1:8" ht="12.6" customHeight="1">
      <c r="A33" s="183">
        <v>17</v>
      </c>
      <c r="B33" s="184">
        <f>IF(A33&gt;C9,0,SUM(C256:C267)*($C$6/$C$7))</f>
        <v>0</v>
      </c>
      <c r="C33" s="185">
        <f>IF(A33&gt;C9,0,(E255+K255)*$C$8)</f>
        <v>0</v>
      </c>
      <c r="D33" s="3604">
        <f t="shared" si="0"/>
        <v>0</v>
      </c>
      <c r="E33" s="3604"/>
      <c r="F33" s="191"/>
      <c r="G33" s="191"/>
      <c r="H33" s="191"/>
    </row>
    <row r="34" spans="1:8" ht="12.6" customHeight="1">
      <c r="A34" s="183">
        <v>18</v>
      </c>
      <c r="B34" s="184">
        <f>IF(A34&gt;C9,0,SUM(C268:C279)*($C$6/$C$7))</f>
        <v>0</v>
      </c>
      <c r="C34" s="185">
        <f>IF(A34&gt;C9,0,(E267+K267)*$C$8)</f>
        <v>0</v>
      </c>
      <c r="D34" s="3604">
        <f t="shared" si="0"/>
        <v>0</v>
      </c>
      <c r="E34" s="3604"/>
      <c r="F34" s="191"/>
      <c r="G34" s="191"/>
      <c r="H34" s="191"/>
    </row>
    <row r="35" spans="1:8" ht="12.6" customHeight="1">
      <c r="A35" s="183">
        <v>19</v>
      </c>
      <c r="B35" s="184">
        <f>IF(A35&gt;C9,0,SUM(C280:C291)*($C$6/$C$7))</f>
        <v>0</v>
      </c>
      <c r="C35" s="185">
        <f>IF(A35&gt;C9,0,(E279+K279)*$C$8)</f>
        <v>0</v>
      </c>
      <c r="D35" s="3604">
        <f t="shared" si="0"/>
        <v>0</v>
      </c>
      <c r="E35" s="3604"/>
      <c r="F35" s="191"/>
      <c r="G35" s="191"/>
      <c r="H35" s="191"/>
    </row>
    <row r="36" spans="1:8" ht="12.6" customHeight="1">
      <c r="A36" s="186">
        <v>20</v>
      </c>
      <c r="B36" s="187">
        <f>IF(A36&gt;C9,0,SUM(C292:C303)*($C$6/$C$7))</f>
        <v>0</v>
      </c>
      <c r="C36" s="206">
        <f>IF(A36&gt;C9,0,(E291+K291)*$C$8)</f>
        <v>0</v>
      </c>
      <c r="D36" s="3605">
        <f t="shared" si="0"/>
        <v>0</v>
      </c>
      <c r="E36" s="3605"/>
      <c r="F36" s="191"/>
      <c r="G36" s="191"/>
      <c r="H36" s="191"/>
    </row>
    <row r="37" spans="1:8" ht="12.6" customHeight="1">
      <c r="A37" s="80">
        <v>21</v>
      </c>
      <c r="B37" s="182">
        <f>IF(A37&gt;C9,0,SUM(C293:C304)*($C$6/$C$7))</f>
        <v>0</v>
      </c>
      <c r="C37" s="207">
        <f>IF(A37&gt;C9,0,(E303+K303)*$C$8)</f>
        <v>0</v>
      </c>
      <c r="D37" s="3607">
        <f t="shared" si="0"/>
        <v>0</v>
      </c>
      <c r="E37" s="3607"/>
      <c r="F37" s="191"/>
      <c r="G37" s="191"/>
      <c r="H37" s="191"/>
    </row>
    <row r="38" spans="1:8" ht="12.6" customHeight="1">
      <c r="A38" s="80">
        <v>22</v>
      </c>
      <c r="B38" s="184">
        <f>IF(A38&gt;C9,0,SUM(C294:C305)*($C$6/$C$7))</f>
        <v>0</v>
      </c>
      <c r="C38" s="185">
        <f>IF(A38&gt;C9,0,(E315+K315)*$C$8)</f>
        <v>0</v>
      </c>
      <c r="D38" s="3604">
        <f t="shared" si="0"/>
        <v>0</v>
      </c>
      <c r="E38" s="3604"/>
      <c r="F38" s="191"/>
      <c r="G38" s="191"/>
      <c r="H38" s="191"/>
    </row>
    <row r="39" spans="1:8" ht="12.6" customHeight="1">
      <c r="A39" s="80">
        <v>23</v>
      </c>
      <c r="B39" s="184">
        <f>IF(A39&gt;C9,0,SUM(C295:C306)*($C$6/$C$7))</f>
        <v>0</v>
      </c>
      <c r="C39" s="185">
        <f>IF(A39&gt;C9,0,(E327+K327)*$C$8)</f>
        <v>0</v>
      </c>
      <c r="D39" s="3604">
        <f t="shared" si="0"/>
        <v>0</v>
      </c>
      <c r="E39" s="3604"/>
      <c r="F39" s="191"/>
      <c r="G39" s="191"/>
      <c r="H39" s="191"/>
    </row>
    <row r="40" spans="1:8" ht="12.6" customHeight="1">
      <c r="A40" s="80">
        <v>24</v>
      </c>
      <c r="B40" s="184">
        <f>IF(A40&gt;C9,0,SUM(C296:C307)*($C$6/$C$7))</f>
        <v>0</v>
      </c>
      <c r="C40" s="185">
        <f>IF(A40&gt;C9,0,(E339+K339)*$C$8)</f>
        <v>0</v>
      </c>
      <c r="D40" s="3604">
        <f t="shared" si="0"/>
        <v>0</v>
      </c>
      <c r="E40" s="3604"/>
      <c r="F40" s="191"/>
      <c r="G40" s="191"/>
      <c r="H40" s="191"/>
    </row>
    <row r="41" spans="1:8" ht="12.6" customHeight="1">
      <c r="A41" s="80">
        <v>25</v>
      </c>
      <c r="B41" s="187">
        <f>IF(A41&gt;C9,0,SUM(C297:C308)*($C$6/$C$7))</f>
        <v>0</v>
      </c>
      <c r="C41" s="206">
        <f>IF(A41&gt;C9,0,(E351+K351)*$C$8)</f>
        <v>0</v>
      </c>
      <c r="D41" s="3605">
        <f t="shared" si="0"/>
        <v>0</v>
      </c>
      <c r="E41" s="3605"/>
      <c r="F41" s="191"/>
      <c r="G41" s="191"/>
      <c r="H41" s="191"/>
    </row>
    <row r="42" spans="1:8" ht="12.6" customHeight="1">
      <c r="A42" s="181">
        <v>26</v>
      </c>
      <c r="B42" s="182">
        <f>IF(A42&gt;C9,0,SUM(C298:C309)*($C$6/$C$7))</f>
        <v>0</v>
      </c>
      <c r="C42" s="207">
        <f>IF(A42&gt;C9,0,(E363+K363)*$C$8)</f>
        <v>0</v>
      </c>
      <c r="D42" s="3607">
        <f t="shared" si="0"/>
        <v>0</v>
      </c>
      <c r="E42" s="3607"/>
      <c r="F42" s="191"/>
      <c r="G42" s="191"/>
      <c r="H42" s="191"/>
    </row>
    <row r="43" spans="1:8" ht="12.6" customHeight="1">
      <c r="A43" s="183">
        <v>27</v>
      </c>
      <c r="B43" s="184">
        <f>IF(A43&gt;C9,0,SUM(C299:C310)*($C$6/$C$7))</f>
        <v>0</v>
      </c>
      <c r="C43" s="185">
        <f>IF(A43&gt;C9,0,(E375+K375)*$C$8)</f>
        <v>0</v>
      </c>
      <c r="D43" s="3604">
        <f t="shared" si="0"/>
        <v>0</v>
      </c>
      <c r="E43" s="3604"/>
      <c r="F43" s="191"/>
      <c r="G43" s="191"/>
      <c r="H43" s="191"/>
    </row>
    <row r="44" spans="1:8" ht="12.6" customHeight="1">
      <c r="A44" s="183">
        <v>28</v>
      </c>
      <c r="B44" s="184">
        <f>IF(A44&gt;C9,0,SUM(C300:C311)*($C$6/$C$7))</f>
        <v>0</v>
      </c>
      <c r="C44" s="185">
        <f>IF(A44&gt;C9,0,(E387+K387)*$C$8)</f>
        <v>0</v>
      </c>
      <c r="D44" s="3604">
        <f t="shared" si="0"/>
        <v>0</v>
      </c>
      <c r="E44" s="3604"/>
      <c r="F44" s="191"/>
      <c r="G44" s="191"/>
      <c r="H44" s="191"/>
    </row>
    <row r="45" spans="1:8" ht="12.6" customHeight="1">
      <c r="A45" s="183">
        <v>29</v>
      </c>
      <c r="B45" s="184">
        <f>IF(A45&gt;C9,0,SUM(C301:C312)*($C$6/$C$7))</f>
        <v>0</v>
      </c>
      <c r="C45" s="185">
        <f>IF(A45&gt;C9,0,(E411+K411)*$C$8)</f>
        <v>0</v>
      </c>
      <c r="D45" s="3604">
        <f t="shared" si="0"/>
        <v>0</v>
      </c>
      <c r="E45" s="3604"/>
      <c r="F45" s="191"/>
      <c r="G45" s="191"/>
      <c r="H45" s="191"/>
    </row>
    <row r="46" spans="1:8" ht="12.6" customHeight="1">
      <c r="A46" s="186">
        <v>30</v>
      </c>
      <c r="B46" s="187">
        <f>IF(A46&gt;C9,0,SUM(C302:C313)*($C$6/$C$7))</f>
        <v>0</v>
      </c>
      <c r="C46" s="206">
        <f>IF(A46&gt;C9,0,(E423+K423)*$C$8)</f>
        <v>0</v>
      </c>
      <c r="D46" s="3605">
        <f t="shared" si="0"/>
        <v>0</v>
      </c>
      <c r="E46" s="3605"/>
      <c r="F46" s="191"/>
      <c r="G46" s="191"/>
      <c r="H46" s="191"/>
    </row>
    <row r="47" spans="1:8" ht="12.6" customHeight="1">
      <c r="A47" s="190">
        <v>31</v>
      </c>
      <c r="B47" s="182">
        <f>IF(A47&gt;C9,0,SUM(C303:C314)*($C$6/$C$7))</f>
        <v>0</v>
      </c>
      <c r="C47" s="207">
        <f>IF(A47&gt;C9,0,(E435+K435)*$C$8)</f>
        <v>0</v>
      </c>
      <c r="D47" s="3607">
        <f t="shared" si="0"/>
        <v>0</v>
      </c>
      <c r="E47" s="3607"/>
      <c r="F47" s="191"/>
      <c r="G47" s="191"/>
      <c r="H47" s="191"/>
    </row>
    <row r="48" spans="1:8" ht="12.6" customHeight="1">
      <c r="A48" s="183">
        <v>32</v>
      </c>
      <c r="B48" s="184">
        <f>IF(A48&gt;C9,0,SUM(C304:C315)*($C$6/$C$7))</f>
        <v>0</v>
      </c>
      <c r="C48" s="185">
        <f>IF(A48&gt;C9,0,(E447+K447)*$C$8)</f>
        <v>0</v>
      </c>
      <c r="D48" s="3604">
        <f t="shared" si="0"/>
        <v>0</v>
      </c>
      <c r="E48" s="3604"/>
      <c r="F48" s="191"/>
      <c r="G48" s="191"/>
      <c r="H48" s="191"/>
    </row>
    <row r="49" spans="1:12" ht="12.6" customHeight="1">
      <c r="A49" s="183">
        <v>33</v>
      </c>
      <c r="B49" s="184">
        <f>IF(A49&gt;C9,0,SUM(C305:C316)*($C$6/$C$7))</f>
        <v>0</v>
      </c>
      <c r="C49" s="185">
        <f>IF(A49&gt;C9,0,(E459+K459)*$C$8)</f>
        <v>0</v>
      </c>
      <c r="D49" s="3604">
        <f t="shared" si="0"/>
        <v>0</v>
      </c>
      <c r="E49" s="3604"/>
      <c r="F49" s="191"/>
      <c r="G49" s="191"/>
      <c r="H49" s="191"/>
    </row>
    <row r="50" spans="1:12" ht="12.6" customHeight="1">
      <c r="A50" s="183">
        <v>34</v>
      </c>
      <c r="B50" s="184">
        <f>IF(A50&gt;C9,0,SUM(C306:C317)*($C$6/$C$7))</f>
        <v>0</v>
      </c>
      <c r="C50" s="185">
        <f>IF(A50&gt;C9,0,(E471+K471)*$C$8)</f>
        <v>0</v>
      </c>
      <c r="D50" s="3604">
        <f t="shared" si="0"/>
        <v>0</v>
      </c>
      <c r="E50" s="3604"/>
      <c r="F50" s="191"/>
      <c r="G50" s="191"/>
      <c r="H50" s="191"/>
    </row>
    <row r="51" spans="1:12" ht="12.6" customHeight="1">
      <c r="A51" s="186">
        <v>35</v>
      </c>
      <c r="B51" s="187">
        <f>IF(A51&gt;C9,0,SUM(C307:C318)*($C$6/$C$7))</f>
        <v>0</v>
      </c>
      <c r="C51" s="206">
        <f>IF(A51&gt;C9,0,(E483+K483)*$C$8)</f>
        <v>0</v>
      </c>
      <c r="D51" s="3605">
        <f t="shared" si="0"/>
        <v>0</v>
      </c>
      <c r="E51" s="3605"/>
      <c r="F51" s="191"/>
      <c r="G51" s="191"/>
      <c r="H51" s="191"/>
    </row>
    <row r="52" spans="1:12" ht="12.6" customHeight="1">
      <c r="A52" s="190">
        <v>36</v>
      </c>
      <c r="B52" s="182">
        <f>IF(A52&gt;C9,0,SUM(C308:C319)*($C$6/$C$7))</f>
        <v>0</v>
      </c>
      <c r="C52" s="207">
        <f>IF(A52&gt;C9,0,(E495+K495)*$C$8)</f>
        <v>0</v>
      </c>
      <c r="D52" s="3607">
        <f t="shared" si="0"/>
        <v>0</v>
      </c>
      <c r="E52" s="3607"/>
      <c r="F52" s="191"/>
      <c r="G52" s="191"/>
      <c r="H52" s="191"/>
    </row>
    <row r="53" spans="1:12" ht="12.6" customHeight="1">
      <c r="A53" s="183">
        <v>37</v>
      </c>
      <c r="B53" s="184">
        <f>IF(A53&gt;C9,0,SUM(C309:C320)*($C$6/$C$7))</f>
        <v>0</v>
      </c>
      <c r="C53" s="185">
        <f>IF(A53&gt;C9,0,(E507+K507)*$C$8)</f>
        <v>0</v>
      </c>
      <c r="D53" s="3604">
        <f t="shared" si="0"/>
        <v>0</v>
      </c>
      <c r="E53" s="3604"/>
      <c r="F53" s="191"/>
      <c r="G53" s="191"/>
      <c r="H53" s="191"/>
    </row>
    <row r="54" spans="1:12" ht="12.6" customHeight="1">
      <c r="A54" s="183">
        <v>38</v>
      </c>
      <c r="B54" s="184">
        <f>IF(A54&gt;C9,0,SUM(C310:C321)*($C$6/$C$7))</f>
        <v>0</v>
      </c>
      <c r="C54" s="185">
        <f>IF(A54&gt;C9,0,(E519+K519)*$C$8)</f>
        <v>0</v>
      </c>
      <c r="D54" s="3604">
        <f t="shared" si="0"/>
        <v>0</v>
      </c>
      <c r="E54" s="3604"/>
      <c r="F54" s="191"/>
      <c r="G54" s="191"/>
      <c r="H54" s="191"/>
    </row>
    <row r="55" spans="1:12" ht="12.6" customHeight="1">
      <c r="A55" s="183">
        <v>39</v>
      </c>
      <c r="B55" s="184">
        <f>IF(A55&gt;C9,0,SUM(C311:C322)*($C$6/$C$7))</f>
        <v>0</v>
      </c>
      <c r="C55" s="185">
        <f>IF(A55&gt;C9,0,(E531+K531)*$C$8)</f>
        <v>0</v>
      </c>
      <c r="D55" s="3604">
        <f t="shared" si="0"/>
        <v>0</v>
      </c>
      <c r="E55" s="3604"/>
      <c r="F55" s="191"/>
      <c r="G55" s="191"/>
      <c r="H55" s="191"/>
    </row>
    <row r="56" spans="1:12" ht="12.6" customHeight="1">
      <c r="A56" s="186">
        <v>40</v>
      </c>
      <c r="B56" s="187">
        <f>IF(A56&gt;C9,0,SUM(C312:C323)*($C$6/$C$7))</f>
        <v>0</v>
      </c>
      <c r="C56" s="206">
        <f>IF(A56&gt;C9,0,(E543+K543)*$C$8)</f>
        <v>0</v>
      </c>
      <c r="D56" s="3605">
        <f t="shared" si="0"/>
        <v>0</v>
      </c>
      <c r="E56" s="3605"/>
      <c r="F56" s="191"/>
      <c r="G56" s="191"/>
      <c r="H56" s="191"/>
    </row>
    <row r="57" spans="1:12" ht="3" customHeight="1">
      <c r="A57" s="191"/>
      <c r="B57" s="191"/>
      <c r="C57" s="191"/>
      <c r="D57" s="191"/>
      <c r="E57" s="191"/>
      <c r="F57" s="191"/>
      <c r="G57" s="191"/>
      <c r="H57" s="191"/>
    </row>
    <row r="58" spans="1:12" ht="13.35" customHeight="1">
      <c r="A58" s="3603" t="e">
        <f>CONCATENATE(#REF!," ",#REF!,", ",#REF!,", ",#REF!," County")</f>
        <v>#REF!</v>
      </c>
      <c r="B58" s="3603"/>
      <c r="C58" s="3603"/>
      <c r="D58" s="3603"/>
      <c r="E58" s="3603"/>
      <c r="F58" s="3603"/>
      <c r="G58" s="3603" t="e">
        <f>CONCATENATE(#REF!," ",#REF!,", ",#REF!,", ",#REF!," County")</f>
        <v>#REF!</v>
      </c>
      <c r="H58" s="3603"/>
      <c r="I58" s="3603"/>
      <c r="J58" s="3603"/>
      <c r="K58" s="3603"/>
      <c r="L58" s="3603"/>
    </row>
    <row r="59" spans="1:12" ht="15">
      <c r="A59" s="3600" t="s">
        <v>2360</v>
      </c>
      <c r="B59" s="3600"/>
      <c r="C59" s="3600"/>
      <c r="D59" s="3600"/>
      <c r="E59" s="3600"/>
      <c r="F59" s="3600"/>
      <c r="G59" s="3600" t="s">
        <v>2360</v>
      </c>
      <c r="H59" s="3600"/>
      <c r="I59" s="3600"/>
      <c r="J59" s="3600"/>
      <c r="K59" s="3600"/>
      <c r="L59" s="3600"/>
    </row>
    <row r="60" spans="1:12" ht="6" customHeight="1">
      <c r="C60" s="189"/>
      <c r="D60" s="189"/>
      <c r="I60" s="189"/>
      <c r="J60" s="189"/>
    </row>
    <row r="61" spans="1:12">
      <c r="A61" s="192" t="s">
        <v>2361</v>
      </c>
      <c r="B61" s="193" t="s">
        <v>2362</v>
      </c>
      <c r="C61" s="193" t="s">
        <v>1246</v>
      </c>
      <c r="D61" s="193" t="s">
        <v>2363</v>
      </c>
      <c r="E61" s="192" t="s">
        <v>2364</v>
      </c>
      <c r="F61" s="219" t="s">
        <v>2369</v>
      </c>
      <c r="G61" s="192" t="s">
        <v>2361</v>
      </c>
      <c r="H61" s="193" t="s">
        <v>2362</v>
      </c>
      <c r="I61" s="193" t="s">
        <v>1246</v>
      </c>
      <c r="J61" s="193" t="s">
        <v>2363</v>
      </c>
      <c r="K61" s="192" t="s">
        <v>2364</v>
      </c>
      <c r="L61" s="219" t="s">
        <v>2369</v>
      </c>
    </row>
    <row r="62" spans="1:12" ht="3.6" customHeight="1">
      <c r="A62" s="195"/>
      <c r="B62" s="115"/>
      <c r="C62" s="115"/>
      <c r="D62" s="115"/>
      <c r="E62" s="115"/>
      <c r="F62" s="80"/>
      <c r="G62" s="195"/>
      <c r="H62" s="115"/>
      <c r="I62" s="115"/>
      <c r="J62" s="115"/>
      <c r="K62" s="115"/>
      <c r="L62" s="80"/>
    </row>
    <row r="63" spans="1:12">
      <c r="A63" s="196" t="s">
        <v>2365</v>
      </c>
      <c r="B63" s="197"/>
      <c r="C63" s="197"/>
      <c r="D63" s="197"/>
      <c r="E63" s="198">
        <f>IF($C$5&gt;1500000,$D$5,$C$5)</f>
        <v>0</v>
      </c>
      <c r="F63" s="80"/>
      <c r="G63" s="196" t="s">
        <v>2365</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8" t="e">
        <f>CONCATENATE("PART III C  - HUD INSURED LOAN","  -  ",#REF!," ",#REF!,", ",#REF!,", ",#REF!," County")</f>
        <v>#REF!</v>
      </c>
      <c r="B1" s="3609"/>
      <c r="C1" s="3609"/>
      <c r="D1" s="3609"/>
      <c r="E1" s="3609"/>
      <c r="F1" s="3610"/>
      <c r="G1" s="160"/>
      <c r="H1" s="160"/>
      <c r="I1" s="160"/>
      <c r="J1" s="160"/>
      <c r="K1" s="160"/>
      <c r="L1" s="160"/>
      <c r="M1" s="160"/>
      <c r="N1" s="160"/>
      <c r="O1" s="160"/>
      <c r="P1" s="160"/>
      <c r="Q1" s="160"/>
    </row>
    <row r="2" spans="1:17">
      <c r="A2" s="13"/>
      <c r="B2" s="179"/>
      <c r="C2" s="179"/>
      <c r="D2" s="179"/>
    </row>
    <row r="3" spans="1:17" ht="15.6" customHeight="1">
      <c r="A3" s="3601" t="s">
        <v>209</v>
      </c>
      <c r="B3" s="3601"/>
      <c r="C3" s="3601"/>
      <c r="D3" s="3601"/>
      <c r="E3" s="3601"/>
      <c r="F3" s="3601"/>
      <c r="G3" s="222"/>
      <c r="H3" s="222"/>
    </row>
    <row r="4" spans="1:17">
      <c r="A4" s="13"/>
      <c r="B4" s="179"/>
      <c r="C4" s="179"/>
      <c r="D4" s="179"/>
    </row>
    <row r="5" spans="1:17" ht="13.35" customHeight="1">
      <c r="A5" s="27" t="s">
        <v>2153</v>
      </c>
      <c r="D5" s="217"/>
      <c r="E5" s="3612" t="s">
        <v>920</v>
      </c>
      <c r="F5" s="3613"/>
      <c r="G5" s="158"/>
    </row>
    <row r="6" spans="1:17">
      <c r="E6" s="3613"/>
      <c r="F6" s="3613"/>
      <c r="G6" s="158"/>
    </row>
    <row r="7" spans="1:17">
      <c r="A7" s="27" t="s">
        <v>2352</v>
      </c>
      <c r="C7" s="27" t="s">
        <v>2353</v>
      </c>
      <c r="D7" s="218"/>
      <c r="E7" s="3613"/>
      <c r="F7" s="3613"/>
      <c r="G7" s="158"/>
    </row>
    <row r="8" spans="1:17">
      <c r="C8" s="27" t="s">
        <v>2354</v>
      </c>
      <c r="D8" s="218"/>
      <c r="E8" s="3613"/>
      <c r="F8" s="3613"/>
      <c r="G8" s="158"/>
    </row>
    <row r="9" spans="1:17">
      <c r="C9" s="27" t="s">
        <v>2355</v>
      </c>
      <c r="D9" s="218"/>
      <c r="E9" s="3613"/>
      <c r="F9" s="3613"/>
      <c r="G9" s="158"/>
    </row>
    <row r="10" spans="1:17">
      <c r="C10" s="27" t="s">
        <v>2368</v>
      </c>
      <c r="D10" s="223">
        <f>D7+D8+D9</f>
        <v>0</v>
      </c>
      <c r="E10" s="3613"/>
      <c r="F10" s="3613"/>
      <c r="G10" s="158"/>
    </row>
    <row r="11" spans="1:17">
      <c r="F11" s="158"/>
      <c r="G11" s="158"/>
    </row>
    <row r="12" spans="1:17">
      <c r="A12" s="27" t="s">
        <v>1639</v>
      </c>
      <c r="D12" s="216"/>
      <c r="E12" s="27" t="s">
        <v>2041</v>
      </c>
      <c r="F12" s="158"/>
      <c r="G12" s="158"/>
    </row>
    <row r="13" spans="1:17">
      <c r="D13" s="189"/>
      <c r="F13" s="158"/>
      <c r="G13" s="158"/>
    </row>
    <row r="14" spans="1:17">
      <c r="A14" s="27" t="s">
        <v>2357</v>
      </c>
      <c r="D14" s="215"/>
      <c r="E14" s="27" t="s">
        <v>2358</v>
      </c>
      <c r="F14" s="224"/>
    </row>
    <row r="15" spans="1:17">
      <c r="D15" s="209"/>
      <c r="F15" s="224"/>
    </row>
    <row r="16" spans="1:17">
      <c r="A16" s="27" t="s">
        <v>2359</v>
      </c>
      <c r="D16" s="215"/>
      <c r="E16" s="27" t="s">
        <v>2358</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02" t="s">
        <v>1640</v>
      </c>
      <c r="B24" s="3602"/>
      <c r="C24" s="3602"/>
      <c r="D24" s="3602"/>
      <c r="E24" s="3602"/>
      <c r="F24" s="3602"/>
      <c r="J24" s="226"/>
    </row>
    <row r="25" spans="1:10">
      <c r="C25" s="189"/>
      <c r="J25" s="226"/>
    </row>
    <row r="26" spans="1:10">
      <c r="A26" s="103"/>
      <c r="B26" s="80"/>
      <c r="C26" s="3614" t="s">
        <v>2152</v>
      </c>
      <c r="D26" s="221"/>
      <c r="E26" s="80"/>
      <c r="F26" s="3614" t="s">
        <v>2152</v>
      </c>
      <c r="J26" s="226"/>
    </row>
    <row r="27" spans="1:10">
      <c r="A27" s="227" t="s">
        <v>2369</v>
      </c>
      <c r="B27" s="71" t="s">
        <v>987</v>
      </c>
      <c r="C27" s="3615"/>
      <c r="D27" s="228" t="s">
        <v>2369</v>
      </c>
      <c r="E27" s="71" t="s">
        <v>987</v>
      </c>
      <c r="F27" s="3615"/>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603" t="e">
        <f>CONCATENATE(#REF!," ",#REF!,", ",#REF!,", ",#REF!," County")</f>
        <v>#REF!</v>
      </c>
      <c r="B50" s="3603"/>
      <c r="C50" s="3603"/>
      <c r="D50" s="3603"/>
      <c r="E50" s="3603"/>
      <c r="F50" s="3603"/>
      <c r="G50" s="212"/>
      <c r="H50" s="212"/>
    </row>
    <row r="51" spans="1:10" ht="15">
      <c r="A51" s="3600" t="s">
        <v>2360</v>
      </c>
      <c r="B51" s="3600"/>
      <c r="C51" s="3600"/>
      <c r="D51" s="3600"/>
      <c r="E51" s="3600"/>
      <c r="F51" s="3600"/>
      <c r="G51" s="238"/>
      <c r="H51" s="238"/>
      <c r="I51" s="238"/>
      <c r="J51" s="238"/>
    </row>
    <row r="52" spans="1:10" ht="5.45" customHeight="1">
      <c r="C52" s="189"/>
      <c r="D52" s="189"/>
      <c r="G52" s="194"/>
      <c r="H52" s="188"/>
      <c r="I52" s="194"/>
    </row>
    <row r="53" spans="1:10">
      <c r="A53" s="192" t="s">
        <v>2361</v>
      </c>
      <c r="B53" s="192" t="s">
        <v>2362</v>
      </c>
      <c r="C53" s="192" t="s">
        <v>1246</v>
      </c>
      <c r="D53" s="192" t="s">
        <v>2363</v>
      </c>
      <c r="E53" s="192" t="s">
        <v>2364</v>
      </c>
      <c r="F53" s="219" t="s">
        <v>2369</v>
      </c>
      <c r="G53" s="239"/>
      <c r="H53" s="239"/>
      <c r="I53" s="239"/>
    </row>
    <row r="54" spans="1:10" ht="3.6" customHeight="1">
      <c r="F54" s="80"/>
      <c r="G54" s="194"/>
      <c r="H54" s="188"/>
      <c r="I54" s="194"/>
    </row>
    <row r="55" spans="1:10">
      <c r="A55" s="27" t="s">
        <v>2365</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106" zoomScaleNormal="106" workbookViewId="0">
      <selection activeCell="A2"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6648</v>
      </c>
      <c r="J1" s="1809" t="s">
        <v>6649</v>
      </c>
      <c r="M1" s="1809" t="s">
        <v>6650</v>
      </c>
      <c r="N1" s="1809" t="s">
        <v>6651</v>
      </c>
      <c r="P1" s="1809" t="s">
        <v>6652</v>
      </c>
      <c r="Q1" s="1809" t="s">
        <v>6653</v>
      </c>
      <c r="S1" s="1809" t="s">
        <v>6654</v>
      </c>
      <c r="BA1" s="1773">
        <v>1</v>
      </c>
    </row>
    <row r="2" spans="1:53" s="289" customFormat="1" ht="13.5" customHeight="1">
      <c r="A2" s="3673" t="str">
        <f>CONCATENATE("PART FOUR (A):  USES OF FUNDS","  -  ",'Part I-Project Information'!$O$7," ",'Part I-Project Information'!$F$35,", ",'Part I-Project Information'!F39,", ",'Part I-Project Information'!J40," County")</f>
        <v>PART FOUR (A):  USES OF FUNDS  -  2021-015 The Peaks at Turnberry, Rincon, Effingham County</v>
      </c>
      <c r="B2" s="3674"/>
      <c r="C2" s="3674"/>
      <c r="D2" s="3674"/>
      <c r="E2" s="3674"/>
      <c r="F2" s="3674"/>
      <c r="G2" s="3674"/>
      <c r="H2" s="3674"/>
      <c r="I2" s="3674"/>
      <c r="J2" s="3674"/>
      <c r="K2" s="3674"/>
      <c r="L2" s="3674"/>
      <c r="M2" s="3674"/>
      <c r="N2" s="3674"/>
      <c r="O2" s="3674"/>
      <c r="P2" s="3674"/>
      <c r="Q2" s="3674"/>
      <c r="R2" s="3674"/>
      <c r="S2" s="3674"/>
      <c r="T2" s="3674"/>
      <c r="W2" s="3675" t="str">
        <f>A2</f>
        <v>PART FOUR (A):  USES OF FUNDS  -  2021-015 The Peaks at Turnberry, Rincon, Effingham County</v>
      </c>
      <c r="X2" s="3675"/>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62" t="str">
        <f>'Part I-Project Information'!$B$7</f>
        <v>2021 Core App
May 10 Rev</v>
      </c>
      <c r="E6" s="3762"/>
      <c r="F6" s="3762"/>
      <c r="G6" s="3762"/>
      <c r="H6" s="3762"/>
      <c r="I6" s="455"/>
      <c r="J6" s="3650" t="s">
        <v>260</v>
      </c>
      <c r="K6" s="3651"/>
      <c r="L6" s="337"/>
      <c r="M6" s="3654" t="s">
        <v>468</v>
      </c>
      <c r="N6" s="3655"/>
      <c r="P6" s="3650" t="s">
        <v>261</v>
      </c>
      <c r="Q6" s="3651"/>
      <c r="S6" s="3650" t="s">
        <v>262</v>
      </c>
      <c r="T6" s="3651"/>
      <c r="V6" s="411" t="str">
        <f>B6</f>
        <v>DEVELOPMENT BUDGET</v>
      </c>
      <c r="AZ6" s="1808"/>
      <c r="BA6" s="1773">
        <v>6</v>
      </c>
    </row>
    <row r="7" spans="1:53" s="289" customFormat="1" ht="19.5" customHeight="1" thickBot="1">
      <c r="D7" s="1311"/>
      <c r="E7" s="1311"/>
      <c r="F7" s="1311"/>
      <c r="G7" s="3616" t="s">
        <v>94</v>
      </c>
      <c r="H7" s="3617"/>
      <c r="J7" s="3652"/>
      <c r="K7" s="3653"/>
      <c r="L7" s="337"/>
      <c r="M7" s="3656"/>
      <c r="N7" s="3657"/>
      <c r="P7" s="3652"/>
      <c r="Q7" s="3653"/>
      <c r="S7" s="3652"/>
      <c r="T7" s="3653"/>
      <c r="V7" s="325" t="s">
        <v>2538</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1911</v>
      </c>
      <c r="G9" s="3513">
        <v>8500</v>
      </c>
      <c r="H9" s="3514"/>
      <c r="J9" s="3513">
        <v>8500</v>
      </c>
      <c r="K9" s="3514"/>
      <c r="L9" s="2642"/>
      <c r="M9" s="3513"/>
      <c r="N9" s="3514"/>
      <c r="P9" s="3513"/>
      <c r="Q9" s="3514"/>
      <c r="S9" s="3513"/>
      <c r="T9" s="3514"/>
      <c r="V9" s="2797"/>
      <c r="W9" s="3640"/>
      <c r="X9" s="3641"/>
      <c r="AZ9" s="1808"/>
      <c r="BA9" s="1773">
        <v>9</v>
      </c>
    </row>
    <row r="10" spans="1:53" s="289" customFormat="1" ht="11.25" customHeight="1">
      <c r="B10" s="289" t="s">
        <v>437</v>
      </c>
      <c r="G10" s="3524">
        <v>10500</v>
      </c>
      <c r="H10" s="3525"/>
      <c r="J10" s="3524">
        <v>10500</v>
      </c>
      <c r="K10" s="3525"/>
      <c r="L10" s="2642"/>
      <c r="M10" s="3524"/>
      <c r="N10" s="3525"/>
      <c r="P10" s="3524"/>
      <c r="Q10" s="3525"/>
      <c r="S10" s="3524"/>
      <c r="T10" s="3525"/>
      <c r="V10" s="2797"/>
      <c r="W10" s="3640"/>
      <c r="X10" s="3641"/>
      <c r="AZ10" s="1808"/>
      <c r="BA10" s="1773">
        <v>10</v>
      </c>
    </row>
    <row r="11" spans="1:53" s="289" customFormat="1" ht="11.25" customHeight="1">
      <c r="B11" s="289" t="s">
        <v>466</v>
      </c>
      <c r="G11" s="3524">
        <v>15000</v>
      </c>
      <c r="H11" s="3525"/>
      <c r="J11" s="3524">
        <v>15000</v>
      </c>
      <c r="K11" s="3525"/>
      <c r="L11" s="2642"/>
      <c r="M11" s="3524"/>
      <c r="N11" s="3525"/>
      <c r="P11" s="3524"/>
      <c r="Q11" s="3525"/>
      <c r="S11" s="3524"/>
      <c r="T11" s="3525"/>
      <c r="V11" s="2797"/>
      <c r="W11" s="3640"/>
      <c r="X11" s="3641"/>
      <c r="AZ11" s="1808"/>
      <c r="BA11" s="1773">
        <v>11</v>
      </c>
    </row>
    <row r="12" spans="1:53" s="289" customFormat="1" ht="11.25" customHeight="1">
      <c r="B12" s="289" t="s">
        <v>467</v>
      </c>
      <c r="G12" s="3524">
        <v>10000</v>
      </c>
      <c r="H12" s="3525"/>
      <c r="J12" s="3524">
        <v>10000</v>
      </c>
      <c r="K12" s="3525"/>
      <c r="L12" s="2642"/>
      <c r="M12" s="3524"/>
      <c r="N12" s="3525"/>
      <c r="P12" s="3524"/>
      <c r="Q12" s="3525"/>
      <c r="S12" s="3524"/>
      <c r="T12" s="3525"/>
      <c r="V12" s="2797"/>
      <c r="W12" s="3640"/>
      <c r="X12" s="3641"/>
      <c r="AZ12" s="1808"/>
      <c r="BA12" s="1773">
        <v>12</v>
      </c>
    </row>
    <row r="13" spans="1:53" s="289" customFormat="1" ht="11.25" customHeight="1">
      <c r="B13" s="289" t="s">
        <v>2386</v>
      </c>
      <c r="G13" s="3524">
        <v>14000</v>
      </c>
      <c r="H13" s="3525"/>
      <c r="J13" s="3524">
        <v>14000</v>
      </c>
      <c r="K13" s="3525"/>
      <c r="L13" s="2642"/>
      <c r="M13" s="3524"/>
      <c r="N13" s="3525"/>
      <c r="P13" s="3524"/>
      <c r="Q13" s="3525"/>
      <c r="S13" s="3524"/>
      <c r="T13" s="3525"/>
      <c r="V13" s="2797"/>
      <c r="W13" s="3640"/>
      <c r="X13" s="3641"/>
      <c r="AZ13" s="1808"/>
      <c r="BA13" s="1773">
        <v>13</v>
      </c>
    </row>
    <row r="14" spans="1:53" s="289" customFormat="1" ht="11.25" customHeight="1">
      <c r="B14" s="289" t="s">
        <v>182</v>
      </c>
      <c r="G14" s="3524">
        <f>2200+2500</f>
        <v>4700</v>
      </c>
      <c r="H14" s="3525"/>
      <c r="J14" s="3524">
        <f>G14</f>
        <v>4700</v>
      </c>
      <c r="K14" s="3525"/>
      <c r="L14" s="2642"/>
      <c r="M14" s="3524"/>
      <c r="N14" s="3525"/>
      <c r="P14" s="3524"/>
      <c r="Q14" s="3525"/>
      <c r="S14" s="3524"/>
      <c r="T14" s="3525"/>
      <c r="V14" s="2797"/>
      <c r="W14" s="3640"/>
      <c r="X14" s="3641"/>
      <c r="AZ14" s="1808"/>
      <c r="BA14" s="1773">
        <v>14</v>
      </c>
    </row>
    <row r="15" spans="1:53" s="289" customFormat="1" ht="11.25" customHeight="1">
      <c r="A15" s="363" t="str">
        <f>IF(AND(G15&gt;0,OR(C15="",C15="&lt;Enter detailed description here; use Comments section if needed&gt;")),"X","")</f>
        <v/>
      </c>
      <c r="B15" s="170" t="s">
        <v>6579</v>
      </c>
      <c r="C15" s="3676" t="s">
        <v>3344</v>
      </c>
      <c r="D15" s="3676"/>
      <c r="E15" s="3676"/>
      <c r="F15" s="3677"/>
      <c r="G15" s="3524"/>
      <c r="H15" s="3525"/>
      <c r="J15" s="3524"/>
      <c r="K15" s="3525"/>
      <c r="L15" s="2642"/>
      <c r="M15" s="3524"/>
      <c r="N15" s="3525"/>
      <c r="P15" s="3524"/>
      <c r="Q15" s="3525"/>
      <c r="S15" s="3524"/>
      <c r="T15" s="3525"/>
      <c r="U15" s="362" t="str">
        <f>IF(AND(G15&gt;0,OR(C15="",C15="&lt;Enter detailed description here; use Comments section if needed&gt;")),"NO DESCRIPTION PROVIDED - please enter detailed description in Other box at left; use Comments section below if needed.","")</f>
        <v/>
      </c>
      <c r="V15" s="2798"/>
      <c r="W15" s="3640"/>
      <c r="X15" s="3641"/>
      <c r="AZ15" s="1808" t="s">
        <v>6680</v>
      </c>
      <c r="BA15" s="1773">
        <v>15</v>
      </c>
    </row>
    <row r="16" spans="1:53" s="289" customFormat="1" ht="11.25" customHeight="1">
      <c r="A16" s="363" t="str">
        <f>IF(AND(G16&gt;0,OR(C16="",C16="&lt;Enter detailed description here; use Comments section if needed&gt;")),"X","")</f>
        <v/>
      </c>
      <c r="B16" s="170" t="s">
        <v>6580</v>
      </c>
      <c r="C16" s="3676" t="s">
        <v>3344</v>
      </c>
      <c r="D16" s="3676"/>
      <c r="E16" s="3676"/>
      <c r="F16" s="3677"/>
      <c r="G16" s="3524"/>
      <c r="H16" s="3525"/>
      <c r="J16" s="3524"/>
      <c r="K16" s="3525"/>
      <c r="L16" s="2642"/>
      <c r="M16" s="3524"/>
      <c r="N16" s="3525"/>
      <c r="P16" s="3524"/>
      <c r="Q16" s="3525"/>
      <c r="S16" s="3524"/>
      <c r="T16" s="3525"/>
      <c r="U16" s="362" t="str">
        <f>IF(AND(G16&gt;0,OR(C16="",C16="&lt;Enter detailed description here; use Comments section if needed&gt;")),"NO DESCRIPTION PROVIDED - please enter detailed description in Other box at left; use Comments section below if needed.","")</f>
        <v/>
      </c>
      <c r="V16" s="2798"/>
      <c r="W16" s="3640"/>
      <c r="X16" s="3641"/>
      <c r="AZ16" s="1808" t="s">
        <v>6681</v>
      </c>
      <c r="BA16" s="1773">
        <v>16</v>
      </c>
    </row>
    <row r="17" spans="1:53" s="289" customFormat="1" ht="11.25" customHeight="1" thickBot="1">
      <c r="A17" s="363" t="str">
        <f>IF(AND(G17&gt;0,OR(C17="",C17="&lt;Enter detailed description here; use Comments section if needed&gt;")),"X","")</f>
        <v/>
      </c>
      <c r="B17" s="170" t="s">
        <v>6581</v>
      </c>
      <c r="C17" s="3676" t="s">
        <v>3344</v>
      </c>
      <c r="D17" s="3676"/>
      <c r="E17" s="3676"/>
      <c r="F17" s="3677"/>
      <c r="G17" s="3634"/>
      <c r="H17" s="3635"/>
      <c r="J17" s="3634"/>
      <c r="K17" s="3635"/>
      <c r="L17" s="2642"/>
      <c r="M17" s="3634"/>
      <c r="N17" s="3635"/>
      <c r="P17" s="3634"/>
      <c r="Q17" s="3635"/>
      <c r="S17" s="3634"/>
      <c r="T17" s="3635"/>
      <c r="U17" s="362" t="str">
        <f>IF(AND(G17&gt;0,OR(C17="",C17="&lt;Enter detailed description here; use Comments section if needed&gt;")),"NO DESCRIPTION PROVIDED - please enter detailed description in Other box at left; use Comments section below if needed.","")</f>
        <v/>
      </c>
      <c r="V17" s="2798"/>
      <c r="W17" s="3628"/>
      <c r="X17" s="3629"/>
      <c r="AZ17" s="1808" t="s">
        <v>6682</v>
      </c>
      <c r="BA17" s="1773">
        <v>17</v>
      </c>
    </row>
    <row r="18" spans="1:53" s="289" customFormat="1" ht="12.6" customHeight="1" thickTop="1">
      <c r="F18" s="338" t="s">
        <v>183</v>
      </c>
      <c r="G18" s="3666">
        <f>SUM(G9:G17)</f>
        <v>62700</v>
      </c>
      <c r="H18" s="3667"/>
      <c r="J18" s="3666">
        <f>SUM(J9:J17)</f>
        <v>62700</v>
      </c>
      <c r="K18" s="3667"/>
      <c r="L18" s="2642"/>
      <c r="M18" s="3666">
        <f>SUM(M9:M17)</f>
        <v>0</v>
      </c>
      <c r="N18" s="3667"/>
      <c r="P18" s="3666">
        <f>SUM(P9:P17)</f>
        <v>0</v>
      </c>
      <c r="Q18" s="3667"/>
      <c r="S18" s="3666">
        <f>SUM(S9:S17)</f>
        <v>0</v>
      </c>
      <c r="T18" s="3667"/>
      <c r="V18" s="2799">
        <f>SUM(V9:V17)</f>
        <v>0</v>
      </c>
      <c r="W18" s="3642"/>
      <c r="X18" s="3643"/>
      <c r="AZ18" s="1808" t="s">
        <v>6683</v>
      </c>
      <c r="BA18" s="1773">
        <v>18</v>
      </c>
    </row>
    <row r="19" spans="1:53" s="289" customFormat="1" ht="12" customHeight="1">
      <c r="B19" s="291" t="s">
        <v>2103</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2104</v>
      </c>
      <c r="E20" s="753" t="s">
        <v>3354</v>
      </c>
      <c r="F20" s="438">
        <f>IF('Part I-Project Information'!$O$38="","",G20/'Part I-Project Information'!$O$38)</f>
        <v>36764.705882352944</v>
      </c>
      <c r="G20" s="3513">
        <v>650000</v>
      </c>
      <c r="H20" s="3514"/>
      <c r="J20" s="340"/>
      <c r="K20" s="337"/>
      <c r="L20" s="340"/>
      <c r="M20" s="340"/>
      <c r="N20" s="337"/>
      <c r="P20" s="340"/>
      <c r="Q20" s="337"/>
      <c r="S20" s="3513">
        <f>G20</f>
        <v>650000</v>
      </c>
      <c r="T20" s="3514"/>
      <c r="V20" s="2797"/>
      <c r="W20" s="3640"/>
      <c r="X20" s="3641"/>
      <c r="AZ20" s="1808"/>
      <c r="BA20" s="1773">
        <v>20</v>
      </c>
    </row>
    <row r="21" spans="1:53" s="289" customFormat="1" ht="11.25" customHeight="1">
      <c r="B21" s="289" t="s">
        <v>1079</v>
      </c>
      <c r="G21" s="3524"/>
      <c r="H21" s="3525"/>
      <c r="J21" s="340"/>
      <c r="K21" s="337"/>
      <c r="L21" s="340"/>
      <c r="M21" s="340"/>
      <c r="N21" s="337"/>
      <c r="P21" s="340"/>
      <c r="Q21" s="337"/>
      <c r="S21" s="3524"/>
      <c r="T21" s="3525"/>
      <c r="V21" s="2797"/>
      <c r="W21" s="3640"/>
      <c r="X21" s="3641"/>
      <c r="AZ21" s="1808"/>
      <c r="BA21" s="1773">
        <v>21</v>
      </c>
    </row>
    <row r="22" spans="1:53" s="289" customFormat="1" ht="11.25" customHeight="1">
      <c r="B22" s="289" t="s">
        <v>438</v>
      </c>
      <c r="G22" s="3524"/>
      <c r="H22" s="3525"/>
      <c r="J22" s="340"/>
      <c r="K22" s="337"/>
      <c r="L22" s="340"/>
      <c r="M22" s="3513"/>
      <c r="N22" s="3514"/>
      <c r="P22" s="340"/>
      <c r="Q22" s="337"/>
      <c r="S22" s="3524"/>
      <c r="T22" s="3525"/>
      <c r="V22" s="2797"/>
      <c r="W22" s="3640"/>
      <c r="X22" s="3641"/>
      <c r="AZ22" s="1808"/>
      <c r="BA22" s="1773">
        <v>22</v>
      </c>
    </row>
    <row r="23" spans="1:53" s="289" customFormat="1" ht="11.25" customHeight="1" thickBot="1">
      <c r="B23" s="289" t="s">
        <v>411</v>
      </c>
      <c r="G23" s="3634"/>
      <c r="H23" s="3635"/>
      <c r="J23" s="340"/>
      <c r="K23" s="337"/>
      <c r="L23" s="340"/>
      <c r="M23" s="3634"/>
      <c r="N23" s="3635"/>
      <c r="P23" s="340"/>
      <c r="Q23" s="337"/>
      <c r="S23" s="3634"/>
      <c r="T23" s="3635"/>
      <c r="V23" s="2797"/>
      <c r="W23" s="3628"/>
      <c r="X23" s="3629"/>
      <c r="AZ23" s="1808"/>
      <c r="BA23" s="1773">
        <v>23</v>
      </c>
    </row>
    <row r="24" spans="1:53" s="289" customFormat="1" ht="12.6" customHeight="1" thickTop="1">
      <c r="F24" s="338" t="s">
        <v>183</v>
      </c>
      <c r="G24" s="3666">
        <f>SUM(G20:G23)</f>
        <v>650000</v>
      </c>
      <c r="H24" s="3667"/>
      <c r="J24" s="340"/>
      <c r="K24" s="337"/>
      <c r="L24" s="340"/>
      <c r="M24" s="3666">
        <f>SUM(M22:M23)</f>
        <v>0</v>
      </c>
      <c r="N24" s="3667"/>
      <c r="P24" s="340"/>
      <c r="Q24" s="337"/>
      <c r="S24" s="3666">
        <f>SUM(S20:S23)</f>
        <v>650000</v>
      </c>
      <c r="T24" s="3667"/>
      <c r="V24" s="2799">
        <f>SUM(V20:V23)</f>
        <v>0</v>
      </c>
      <c r="W24" s="3642"/>
      <c r="X24" s="3643"/>
      <c r="AZ24" s="1808" t="s">
        <v>6684</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3354</v>
      </c>
      <c r="F26" s="438">
        <f>IF('Part I-Project Information'!$O$38="","",G26/'Part I-Project Information'!$O$38)</f>
        <v>117251.13122171946</v>
      </c>
      <c r="G26" s="3513">
        <v>2073000</v>
      </c>
      <c r="H26" s="3514"/>
      <c r="J26" s="3513">
        <f>G26</f>
        <v>2073000</v>
      </c>
      <c r="K26" s="3514"/>
      <c r="L26" s="2642"/>
      <c r="M26" s="3678"/>
      <c r="N26" s="3679"/>
      <c r="P26" s="3678"/>
      <c r="Q26" s="3679"/>
      <c r="S26" s="3513"/>
      <c r="T26" s="3514"/>
      <c r="V26" s="2797"/>
      <c r="W26" s="3640"/>
      <c r="X26" s="3641"/>
      <c r="AZ26" s="1808"/>
      <c r="BA26" s="1773">
        <v>26</v>
      </c>
    </row>
    <row r="27" spans="1:53" s="289" customFormat="1" ht="11.25" customHeight="1" thickBot="1">
      <c r="B27" s="289" t="s">
        <v>1082</v>
      </c>
      <c r="G27" s="3634"/>
      <c r="H27" s="3635"/>
      <c r="J27" s="3634"/>
      <c r="K27" s="3635"/>
      <c r="L27" s="341"/>
      <c r="M27" s="3680"/>
      <c r="N27" s="3680"/>
      <c r="P27" s="3680"/>
      <c r="Q27" s="3680"/>
      <c r="S27" s="3634"/>
      <c r="T27" s="3635"/>
      <c r="V27" s="2797"/>
      <c r="W27" s="3628"/>
      <c r="X27" s="3629"/>
      <c r="AZ27" s="1808"/>
      <c r="BA27" s="1773">
        <v>27</v>
      </c>
    </row>
    <row r="28" spans="1:53" s="289" customFormat="1" ht="12.6" customHeight="1" thickTop="1">
      <c r="F28" s="338" t="s">
        <v>183</v>
      </c>
      <c r="G28" s="3666">
        <f>SUM(G26:G27)</f>
        <v>2073000</v>
      </c>
      <c r="H28" s="3667"/>
      <c r="J28" s="3666">
        <f>SUM(J26:J27)</f>
        <v>2073000</v>
      </c>
      <c r="K28" s="3667"/>
      <c r="L28" s="340"/>
      <c r="M28" s="3666">
        <f>M26</f>
        <v>0</v>
      </c>
      <c r="N28" s="3667"/>
      <c r="P28" s="3666">
        <f>P26</f>
        <v>0</v>
      </c>
      <c r="Q28" s="3667"/>
      <c r="S28" s="3666">
        <f>SUM(S26:S27)</f>
        <v>0</v>
      </c>
      <c r="T28" s="3667"/>
      <c r="V28" s="2799">
        <f>SUM(V26:V27)</f>
        <v>0</v>
      </c>
      <c r="W28" s="3642"/>
      <c r="X28" s="3643"/>
      <c r="AZ28" s="1808" t="s">
        <v>6685</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13">
        <f>4775700-125000</f>
        <v>4650700</v>
      </c>
      <c r="H30" s="3514"/>
      <c r="J30" s="3513">
        <f>G30</f>
        <v>4650700</v>
      </c>
      <c r="K30" s="3514"/>
      <c r="L30" s="2642"/>
      <c r="M30" s="3513"/>
      <c r="N30" s="3514"/>
      <c r="P30" s="3513"/>
      <c r="Q30" s="3514"/>
      <c r="S30" s="3513"/>
      <c r="T30" s="3514"/>
      <c r="V30" s="2797"/>
      <c r="W30" s="3640"/>
      <c r="X30" s="3641"/>
      <c r="AZ30" s="1808"/>
      <c r="BA30" s="1773">
        <v>30</v>
      </c>
    </row>
    <row r="31" spans="1:53" s="289" customFormat="1" ht="11.25" customHeight="1">
      <c r="B31" s="289" t="s">
        <v>1085</v>
      </c>
      <c r="G31" s="3524"/>
      <c r="H31" s="3525"/>
      <c r="J31" s="3524"/>
      <c r="K31" s="3525"/>
      <c r="L31" s="2642"/>
      <c r="M31" s="3524"/>
      <c r="N31" s="3525"/>
      <c r="P31" s="3524"/>
      <c r="Q31" s="3525"/>
      <c r="S31" s="3524"/>
      <c r="T31" s="3525"/>
      <c r="V31" s="2797"/>
      <c r="W31" s="3640"/>
      <c r="X31" s="3641"/>
      <c r="AZ31" s="1808"/>
      <c r="BA31" s="1773">
        <v>31</v>
      </c>
    </row>
    <row r="32" spans="1:53" s="289" customFormat="1" ht="11.25" customHeight="1">
      <c r="B32" s="289" t="s">
        <v>6303</v>
      </c>
      <c r="G32" s="3524">
        <v>125000</v>
      </c>
      <c r="H32" s="3525"/>
      <c r="J32" s="3524">
        <v>125000</v>
      </c>
      <c r="K32" s="3525"/>
      <c r="L32" s="2642"/>
      <c r="M32" s="3524"/>
      <c r="N32" s="3525"/>
      <c r="P32" s="3524"/>
      <c r="Q32" s="3525"/>
      <c r="S32" s="3524"/>
      <c r="T32" s="3525"/>
      <c r="V32" s="2797"/>
      <c r="W32" s="3640"/>
      <c r="X32" s="3641"/>
      <c r="AZ32" s="1808"/>
      <c r="BA32" s="1773">
        <v>32</v>
      </c>
    </row>
    <row r="33" spans="1:53" s="289" customFormat="1" ht="11.25" customHeight="1">
      <c r="B33" s="289" t="s">
        <v>6301</v>
      </c>
      <c r="G33" s="3524"/>
      <c r="H33" s="3525"/>
      <c r="J33" s="3524"/>
      <c r="K33" s="3525"/>
      <c r="L33" s="2642"/>
      <c r="M33" s="3524"/>
      <c r="N33" s="3525"/>
      <c r="P33" s="3524"/>
      <c r="Q33" s="3525"/>
      <c r="S33" s="3524"/>
      <c r="T33" s="3525"/>
      <c r="V33" s="2797"/>
      <c r="W33" s="3640"/>
      <c r="X33" s="3641"/>
      <c r="AZ33" s="1808"/>
      <c r="BA33" s="1773">
        <v>33</v>
      </c>
    </row>
    <row r="34" spans="1:53" ht="11.25" customHeight="1">
      <c r="B34" s="289" t="s">
        <v>2605</v>
      </c>
      <c r="G34" s="3524"/>
      <c r="H34" s="3525"/>
      <c r="I34" s="289"/>
      <c r="J34" s="3524"/>
      <c r="K34" s="3525"/>
      <c r="L34" s="2642"/>
      <c r="M34" s="3524"/>
      <c r="N34" s="3525"/>
      <c r="O34" s="289"/>
      <c r="P34" s="3524"/>
      <c r="Q34" s="3525"/>
      <c r="R34" s="289"/>
      <c r="S34" s="3524"/>
      <c r="T34" s="3525"/>
      <c r="V34" s="2797"/>
      <c r="W34" s="3628"/>
      <c r="X34" s="3629"/>
      <c r="BA34" s="1773">
        <v>34</v>
      </c>
    </row>
    <row r="35" spans="1:53" ht="11.25" customHeight="1" thickBot="1">
      <c r="B35" s="289" t="s">
        <v>6302</v>
      </c>
      <c r="G35" s="3681"/>
      <c r="H35" s="3682"/>
      <c r="I35" s="289"/>
      <c r="J35" s="3681"/>
      <c r="K35" s="3682"/>
      <c r="L35" s="2642"/>
      <c r="M35" s="3681"/>
      <c r="N35" s="3682"/>
      <c r="O35" s="289"/>
      <c r="P35" s="3681"/>
      <c r="Q35" s="3682"/>
      <c r="R35" s="289"/>
      <c r="S35" s="3681"/>
      <c r="T35" s="3682"/>
      <c r="V35" s="2797"/>
      <c r="W35" s="3628"/>
      <c r="X35" s="3629"/>
      <c r="BA35" s="1773">
        <v>35</v>
      </c>
    </row>
    <row r="36" spans="1:53" s="289" customFormat="1" ht="12.6" customHeight="1" thickTop="1">
      <c r="C36" s="3684"/>
      <c r="D36" s="3684"/>
      <c r="E36" s="2643"/>
      <c r="F36" s="338" t="s">
        <v>183</v>
      </c>
      <c r="G36" s="3666">
        <f>SUM(G30:G35)</f>
        <v>4775700</v>
      </c>
      <c r="H36" s="3667"/>
      <c r="J36" s="3666">
        <f>SUM(J30:J35)</f>
        <v>4775700</v>
      </c>
      <c r="K36" s="3667"/>
      <c r="L36" s="2642"/>
      <c r="M36" s="3666">
        <f>SUM(M30:M35)</f>
        <v>0</v>
      </c>
      <c r="N36" s="3667"/>
      <c r="P36" s="3666">
        <f>SUM(P30:P35)</f>
        <v>0</v>
      </c>
      <c r="Q36" s="3667"/>
      <c r="S36" s="3666">
        <f>SUM(S30:S35)</f>
        <v>0</v>
      </c>
      <c r="T36" s="3667"/>
      <c r="V36" s="2799">
        <f>SUM(V30:V35)</f>
        <v>0</v>
      </c>
      <c r="W36" s="3642"/>
      <c r="X36" s="3643"/>
      <c r="AZ36" s="1808" t="s">
        <v>6686</v>
      </c>
      <c r="BA36" s="1773">
        <v>36</v>
      </c>
    </row>
    <row r="37" spans="1:53" s="289" customFormat="1" ht="12" customHeight="1">
      <c r="B37" s="291" t="s">
        <v>2240</v>
      </c>
      <c r="D37" s="3683" t="s">
        <v>3358</v>
      </c>
      <c r="E37" s="3683"/>
      <c r="F37" s="851">
        <f>SUM(F38:F40)</f>
        <v>0.13999883189510418</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2241</v>
      </c>
      <c r="D38" s="853">
        <f>'DCA Underwriting Assumptions'!$R$78</f>
        <v>0.06</v>
      </c>
      <c r="E38" s="855">
        <f>D38*(G28+G36)</f>
        <v>410922</v>
      </c>
      <c r="F38" s="852">
        <f>IF(($G$28+$G$36)=0,0,G38/($G$28+$G$36))</f>
        <v>5.9999707973776045E-2</v>
      </c>
      <c r="G38" s="3513">
        <v>410920</v>
      </c>
      <c r="H38" s="3514"/>
      <c r="I38" s="307"/>
      <c r="J38" s="3513">
        <f>G38</f>
        <v>410920</v>
      </c>
      <c r="K38" s="3514"/>
      <c r="L38" s="2642"/>
      <c r="M38" s="3513"/>
      <c r="N38" s="3514"/>
      <c r="P38" s="3513"/>
      <c r="Q38" s="3514"/>
      <c r="S38" s="3513"/>
      <c r="T38" s="3514"/>
      <c r="V38" s="2797"/>
      <c r="W38" s="3640"/>
      <c r="X38" s="3641"/>
      <c r="AZ38" s="1808"/>
      <c r="BA38" s="1773">
        <v>38</v>
      </c>
    </row>
    <row r="39" spans="1:53" s="289" customFormat="1" ht="11.25" customHeight="1">
      <c r="B39" s="289" t="s">
        <v>2575</v>
      </c>
      <c r="D39" s="854">
        <f>'DCA Underwriting Assumptions'!$R$79</f>
        <v>0.02</v>
      </c>
      <c r="E39" s="855">
        <f>D39*(G28+G36)</f>
        <v>136974</v>
      </c>
      <c r="F39" s="852">
        <f>IF(($G$28+$G$36)=0,0,G39/($G$28+$G$36))</f>
        <v>1.9999415947552092E-2</v>
      </c>
      <c r="G39" s="3524">
        <v>136970</v>
      </c>
      <c r="H39" s="3525"/>
      <c r="I39" s="307"/>
      <c r="J39" s="3524">
        <f>G39</f>
        <v>136970</v>
      </c>
      <c r="K39" s="3525"/>
      <c r="L39" s="2642"/>
      <c r="M39" s="3524"/>
      <c r="N39" s="3525"/>
      <c r="P39" s="3524"/>
      <c r="Q39" s="3525"/>
      <c r="S39" s="3524"/>
      <c r="T39" s="3525"/>
      <c r="V39" s="2797"/>
      <c r="W39" s="3640"/>
      <c r="X39" s="3641"/>
      <c r="AZ39" s="1808"/>
      <c r="BA39" s="1773">
        <v>39</v>
      </c>
    </row>
    <row r="40" spans="1:53" s="289" customFormat="1" ht="11.25" customHeight="1" thickBot="1">
      <c r="B40" s="289" t="s">
        <v>2576</v>
      </c>
      <c r="D40" s="858">
        <f>'DCA Underwriting Assumptions'!$R$80</f>
        <v>0.06</v>
      </c>
      <c r="E40" s="859">
        <f>D40*(G28+G36)</f>
        <v>410922</v>
      </c>
      <c r="F40" s="1014">
        <f>IF(($G$28+$G$36)=0,0,G40/($G$28+$G$36))</f>
        <v>5.9999707973776045E-2</v>
      </c>
      <c r="G40" s="3634">
        <v>410920</v>
      </c>
      <c r="H40" s="3635"/>
      <c r="I40" s="307"/>
      <c r="J40" s="3634">
        <f>G40</f>
        <v>410920</v>
      </c>
      <c r="K40" s="3635"/>
      <c r="L40" s="2642"/>
      <c r="M40" s="3634"/>
      <c r="N40" s="3635"/>
      <c r="P40" s="3634"/>
      <c r="Q40" s="3635"/>
      <c r="S40" s="3634"/>
      <c r="T40" s="3635"/>
      <c r="V40" s="2797"/>
      <c r="W40" s="3628"/>
      <c r="X40" s="3629"/>
      <c r="AZ40" s="1808"/>
      <c r="BA40" s="1773">
        <v>40</v>
      </c>
    </row>
    <row r="41" spans="1:53" s="289" customFormat="1" ht="12.6" customHeight="1" thickTop="1">
      <c r="B41" s="170" t="s">
        <v>3359</v>
      </c>
      <c r="D41" s="856">
        <f>SUM(D38:D40)</f>
        <v>0.14000000000000001</v>
      </c>
      <c r="E41" s="857">
        <f>SUM(E38:E40)</f>
        <v>958818</v>
      </c>
      <c r="F41" s="839" t="s">
        <v>183</v>
      </c>
      <c r="G41" s="3666">
        <f>SUM(G38:G40)</f>
        <v>958810</v>
      </c>
      <c r="H41" s="3667"/>
      <c r="J41" s="3666">
        <f>SUM(J38:J40)</f>
        <v>958810</v>
      </c>
      <c r="K41" s="3667"/>
      <c r="L41" s="340"/>
      <c r="M41" s="3666">
        <f>SUM(M38:M40)</f>
        <v>0</v>
      </c>
      <c r="N41" s="3667"/>
      <c r="P41" s="3666">
        <f>SUM(P38:P40)</f>
        <v>0</v>
      </c>
      <c r="Q41" s="3667"/>
      <c r="S41" s="3666">
        <f>SUM(S38:S40)</f>
        <v>0</v>
      </c>
      <c r="T41" s="3667"/>
      <c r="V41" s="2799">
        <f>SUM(V38:V40)</f>
        <v>0</v>
      </c>
      <c r="W41" s="3642"/>
      <c r="X41" s="3643"/>
      <c r="AZ41" s="1808" t="s">
        <v>6687</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6819</v>
      </c>
      <c r="D43" s="1779"/>
      <c r="E43" s="1727"/>
      <c r="F43" s="1727"/>
      <c r="G43" s="3759">
        <f>G28+G36+G41</f>
        <v>7807510</v>
      </c>
      <c r="H43" s="3760"/>
      <c r="I43" s="1711"/>
      <c r="J43" s="1711"/>
      <c r="K43" s="1711"/>
      <c r="L43" s="1711"/>
      <c r="M43" s="1711"/>
      <c r="N43" s="1711"/>
      <c r="O43" s="1711"/>
      <c r="P43" s="1711"/>
      <c r="Q43" s="1711"/>
      <c r="R43" s="1711"/>
      <c r="S43" s="1711"/>
      <c r="T43" s="1711"/>
      <c r="V43" s="935"/>
      <c r="AZ43" s="1808"/>
      <c r="BA43" s="1773">
        <v>43</v>
      </c>
    </row>
    <row r="44" spans="1:53" s="166" customFormat="1" ht="3" customHeight="1">
      <c r="A44" s="2800"/>
      <c r="B44" s="2800"/>
      <c r="C44" s="2800"/>
      <c r="D44" s="2800"/>
      <c r="E44" s="2800"/>
      <c r="F44" s="2800"/>
      <c r="G44" s="2800"/>
      <c r="H44" s="2800"/>
      <c r="I44" s="2800"/>
      <c r="J44" s="2800"/>
      <c r="K44" s="2800"/>
      <c r="L44" s="2800"/>
      <c r="M44" s="2800"/>
      <c r="N44" s="2800"/>
      <c r="O44" s="2800"/>
      <c r="P44" s="2800"/>
      <c r="Q44" s="2800"/>
      <c r="R44" s="2800"/>
      <c r="S44" s="2800"/>
      <c r="T44" s="2800"/>
      <c r="AZ44" s="1809" t="s">
        <v>6688</v>
      </c>
      <c r="BA44" s="1773">
        <v>44</v>
      </c>
    </row>
    <row r="45" spans="1:53" s="289" customFormat="1" ht="12" customHeight="1">
      <c r="B45" s="291" t="s">
        <v>2577</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6582</v>
      </c>
      <c r="C46" s="3676" t="s">
        <v>3344</v>
      </c>
      <c r="D46" s="3699"/>
      <c r="E46" s="3699"/>
      <c r="F46" s="3700"/>
      <c r="G46" s="3648"/>
      <c r="H46" s="3649"/>
      <c r="I46" s="289"/>
      <c r="J46" s="3648"/>
      <c r="K46" s="3649"/>
      <c r="L46" s="2642"/>
      <c r="M46" s="3648"/>
      <c r="N46" s="3649"/>
      <c r="O46" s="289"/>
      <c r="P46" s="3648"/>
      <c r="Q46" s="3649"/>
      <c r="R46" s="289"/>
      <c r="S46" s="3648"/>
      <c r="T46" s="3649"/>
      <c r="V46" s="2797"/>
      <c r="W46" s="3687"/>
      <c r="X46" s="3688"/>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89"/>
      <c r="X47" s="3690"/>
      <c r="AZ47" s="1808" t="s">
        <v>6689</v>
      </c>
      <c r="BA47" s="1773">
        <v>47</v>
      </c>
    </row>
    <row r="48" spans="1:53" s="289" customFormat="1" ht="12.6" customHeight="1">
      <c r="B48" s="1740" t="s">
        <v>2581</v>
      </c>
      <c r="C48" s="1741"/>
      <c r="E48" s="3693" t="s">
        <v>2580</v>
      </c>
      <c r="F48" s="2638">
        <f>C49/'Part VI-Revenues &amp; Expenses'!$P$65</f>
        <v>162656.45833333334</v>
      </c>
      <c r="G48" s="2639" t="s">
        <v>2599</v>
      </c>
      <c r="H48" s="1742"/>
      <c r="I48" s="1742"/>
      <c r="J48" s="3695">
        <f>C49/'Part VI-Revenues &amp; Expenses'!$P$67</f>
        <v>162656.45833333334</v>
      </c>
      <c r="K48" s="3695"/>
      <c r="L48" s="1742"/>
      <c r="M48" s="3696" t="s">
        <v>6799</v>
      </c>
      <c r="N48" s="3696"/>
      <c r="O48" s="1742"/>
      <c r="P48" s="3695">
        <f>C49/'Part I-Project Information'!$P$70</f>
        <v>147.13383838383839</v>
      </c>
      <c r="Q48" s="3695"/>
      <c r="R48" s="1742"/>
      <c r="S48" s="3697" t="s">
        <v>6801</v>
      </c>
      <c r="T48" s="3698"/>
      <c r="V48" s="935"/>
      <c r="W48" s="3689"/>
      <c r="X48" s="3690"/>
      <c r="AZ48" s="1808"/>
      <c r="BA48" s="1773">
        <v>48</v>
      </c>
    </row>
    <row r="49" spans="1:53" s="289" customFormat="1" ht="12.6" customHeight="1">
      <c r="B49" s="1781" t="s">
        <v>6818</v>
      </c>
      <c r="C49" s="1780">
        <f>G28+G36+G41+G46</f>
        <v>7807510</v>
      </c>
      <c r="E49" s="3694"/>
      <c r="F49" s="2640">
        <f>C49/'Part VI-Revenues &amp; Expenses'!$P$166</f>
        <v>151.41397098751068</v>
      </c>
      <c r="G49" s="1743" t="s">
        <v>2600</v>
      </c>
      <c r="H49" s="1744"/>
      <c r="I49" s="1744"/>
      <c r="J49" s="3685">
        <f>C49/'Part VI-Revenues &amp; Expenses'!$P$168</f>
        <v>151.41397098751068</v>
      </c>
      <c r="K49" s="3685"/>
      <c r="L49" s="1744"/>
      <c r="M49" s="3686" t="s">
        <v>6800</v>
      </c>
      <c r="N49" s="3686"/>
      <c r="O49" s="1744"/>
      <c r="P49" s="1744"/>
      <c r="Q49" s="1744"/>
      <c r="R49" s="1744"/>
      <c r="S49" s="1744"/>
      <c r="T49" s="1745"/>
      <c r="V49" s="935"/>
      <c r="W49" s="3691"/>
      <c r="X49" s="3692"/>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2639</v>
      </c>
      <c r="H51" s="2628"/>
      <c r="I51" s="2628"/>
      <c r="J51" s="3650" t="s">
        <v>260</v>
      </c>
      <c r="K51" s="3651"/>
      <c r="L51" s="337"/>
      <c r="M51" s="3654" t="s">
        <v>468</v>
      </c>
      <c r="N51" s="3655"/>
      <c r="P51" s="3650" t="s">
        <v>261</v>
      </c>
      <c r="Q51" s="3651"/>
      <c r="S51" s="3650" t="s">
        <v>262</v>
      </c>
      <c r="T51" s="3651"/>
      <c r="V51" s="935"/>
      <c r="W51" s="411" t="str">
        <f>B51</f>
        <v>DEVELOPMENT BUDGET (cont'd)</v>
      </c>
      <c r="AZ51" s="1808"/>
      <c r="BA51" s="1773">
        <v>58</v>
      </c>
    </row>
    <row r="52" spans="1:53" s="289" customFormat="1" ht="18.75" customHeight="1" thickBot="1">
      <c r="G52" s="3616" t="s">
        <v>94</v>
      </c>
      <c r="H52" s="3617"/>
      <c r="J52" s="3652"/>
      <c r="K52" s="3653"/>
      <c r="L52" s="337"/>
      <c r="M52" s="3656"/>
      <c r="N52" s="3657"/>
      <c r="P52" s="3652"/>
      <c r="Q52" s="3653"/>
      <c r="S52" s="3652"/>
      <c r="T52" s="3653"/>
      <c r="V52" s="935"/>
      <c r="W52" s="3756" t="s">
        <v>2538</v>
      </c>
      <c r="X52" s="3756"/>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6610</v>
      </c>
      <c r="F54" s="1850" t="s">
        <v>3565</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1873</v>
      </c>
      <c r="D55" s="753" t="s">
        <v>3564</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390375.5</v>
      </c>
      <c r="F55" s="1849">
        <f>G55/C49</f>
        <v>4.9999295550053731E-2</v>
      </c>
      <c r="G55" s="3648">
        <v>390370</v>
      </c>
      <c r="H55" s="3649"/>
      <c r="I55" s="289"/>
      <c r="J55" s="3648">
        <f>G55</f>
        <v>390370</v>
      </c>
      <c r="K55" s="3649"/>
      <c r="L55" s="2642"/>
      <c r="M55" s="3648"/>
      <c r="N55" s="3649"/>
      <c r="O55" s="289"/>
      <c r="P55" s="3648"/>
      <c r="Q55" s="3649"/>
      <c r="R55" s="289"/>
      <c r="S55" s="3648"/>
      <c r="T55" s="3649"/>
      <c r="V55" s="2797"/>
      <c r="W55" s="3640"/>
      <c r="X55" s="3641"/>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87"/>
      <c r="X56" s="3688"/>
      <c r="AZ56" s="1808"/>
      <c r="BA56" s="1773">
        <v>53</v>
      </c>
    </row>
    <row r="57" spans="1:53" s="289" customFormat="1" ht="12.6" customHeight="1">
      <c r="B57" s="1746" t="s">
        <v>6611</v>
      </c>
      <c r="C57" s="1741"/>
      <c r="E57" s="3776" t="s">
        <v>6612</v>
      </c>
      <c r="F57" s="2638">
        <f>B58/'Part VI-Revenues &amp; Expenses'!$P$65</f>
        <v>170789.16666666666</v>
      </c>
      <c r="G57" s="2639" t="s">
        <v>2599</v>
      </c>
      <c r="H57" s="1742"/>
      <c r="I57" s="1742"/>
      <c r="J57" s="3695">
        <f>B58/'Part VI-Revenues &amp; Expenses'!$P$67</f>
        <v>170789.16666666666</v>
      </c>
      <c r="K57" s="3695"/>
      <c r="L57" s="1742"/>
      <c r="M57" s="3696" t="s">
        <v>6799</v>
      </c>
      <c r="N57" s="3696"/>
      <c r="O57" s="1742"/>
      <c r="P57" s="3695">
        <f>B58/'Part I-Project Information'!$P$70</f>
        <v>154.49042665460576</v>
      </c>
      <c r="Q57" s="3695"/>
      <c r="R57" s="1742"/>
      <c r="S57" s="3697" t="s">
        <v>6801</v>
      </c>
      <c r="T57" s="3698"/>
      <c r="V57" s="935"/>
      <c r="W57" s="3689"/>
      <c r="X57" s="3690"/>
      <c r="AZ57" s="1808"/>
      <c r="BA57" s="1773">
        <v>54</v>
      </c>
    </row>
    <row r="58" spans="1:53" s="289" customFormat="1" ht="12.6" customHeight="1">
      <c r="B58" s="3774">
        <f>C49+G55</f>
        <v>8197880</v>
      </c>
      <c r="C58" s="3775"/>
      <c r="E58" s="3777"/>
      <c r="F58" s="2640">
        <f>B58/'Part VI-Revenues &amp; Expenses'!$P$166</f>
        <v>158.98456287332246</v>
      </c>
      <c r="G58" s="1743" t="s">
        <v>2600</v>
      </c>
      <c r="H58" s="1744"/>
      <c r="I58" s="1744"/>
      <c r="J58" s="3685">
        <f>B58/'Part VI-Revenues &amp; Expenses'!$P$168</f>
        <v>158.98456287332246</v>
      </c>
      <c r="K58" s="3685"/>
      <c r="L58" s="1744"/>
      <c r="M58" s="3686" t="s">
        <v>6800</v>
      </c>
      <c r="N58" s="3686"/>
      <c r="O58" s="1744"/>
      <c r="P58" s="1744"/>
      <c r="Q58" s="1744"/>
      <c r="R58" s="1744"/>
      <c r="S58" s="1744"/>
      <c r="T58" s="1745"/>
      <c r="V58" s="935"/>
      <c r="W58" s="3689"/>
      <c r="X58" s="3690"/>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91"/>
      <c r="X59" s="3692"/>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3360</v>
      </c>
      <c r="G61" s="3513"/>
      <c r="H61" s="3514"/>
      <c r="J61" s="3513"/>
      <c r="K61" s="3514"/>
      <c r="L61" s="2642"/>
      <c r="M61" s="3513"/>
      <c r="N61" s="3514"/>
      <c r="P61" s="3513"/>
      <c r="Q61" s="3514"/>
      <c r="S61" s="3513"/>
      <c r="T61" s="3514"/>
      <c r="V61" s="2801"/>
      <c r="W61" s="3640"/>
      <c r="X61" s="3641"/>
      <c r="AZ61" s="1808"/>
      <c r="BA61" s="1773">
        <v>61</v>
      </c>
    </row>
    <row r="62" spans="1:53" s="289" customFormat="1" ht="12" customHeight="1">
      <c r="B62" s="289" t="s">
        <v>3361</v>
      </c>
      <c r="G62" s="3524"/>
      <c r="H62" s="3525"/>
      <c r="J62" s="3524"/>
      <c r="K62" s="3525"/>
      <c r="L62" s="2642"/>
      <c r="M62" s="3524"/>
      <c r="N62" s="3525"/>
      <c r="P62" s="3524"/>
      <c r="Q62" s="3525"/>
      <c r="S62" s="3524"/>
      <c r="T62" s="3525"/>
      <c r="V62" s="2801"/>
      <c r="W62" s="3640"/>
      <c r="X62" s="3641"/>
      <c r="AZ62" s="1808"/>
      <c r="BA62" s="1773">
        <v>62</v>
      </c>
    </row>
    <row r="63" spans="1:53" s="289" customFormat="1" ht="12" customHeight="1">
      <c r="B63" s="289" t="s">
        <v>2243</v>
      </c>
      <c r="G63" s="3524">
        <v>86871</v>
      </c>
      <c r="H63" s="3525"/>
      <c r="J63" s="3524">
        <f>G63</f>
        <v>86871</v>
      </c>
      <c r="K63" s="3525"/>
      <c r="L63" s="2642"/>
      <c r="M63" s="3524"/>
      <c r="N63" s="3525"/>
      <c r="P63" s="3524"/>
      <c r="Q63" s="3525"/>
      <c r="S63" s="3524"/>
      <c r="T63" s="3525"/>
      <c r="V63" s="2801"/>
      <c r="W63" s="3640"/>
      <c r="X63" s="3641"/>
      <c r="AZ63" s="1808"/>
      <c r="BA63" s="1773">
        <v>63</v>
      </c>
    </row>
    <row r="64" spans="1:53" s="289" customFormat="1" ht="12" customHeight="1">
      <c r="B64" s="289" t="s">
        <v>2244</v>
      </c>
      <c r="G64" s="3524">
        <v>268397</v>
      </c>
      <c r="H64" s="3525"/>
      <c r="J64" s="3524">
        <f>G64</f>
        <v>268397</v>
      </c>
      <c r="K64" s="3525"/>
      <c r="L64" s="2642"/>
      <c r="M64" s="3524"/>
      <c r="N64" s="3525"/>
      <c r="P64" s="3524"/>
      <c r="Q64" s="3525"/>
      <c r="S64" s="3524"/>
      <c r="T64" s="3525"/>
      <c r="V64" s="2801"/>
      <c r="W64" s="3640"/>
      <c r="X64" s="3641"/>
      <c r="AZ64" s="1808"/>
      <c r="BA64" s="1773">
        <v>64</v>
      </c>
    </row>
    <row r="65" spans="1:53" s="289" customFormat="1" ht="12" customHeight="1">
      <c r="B65" s="289" t="s">
        <v>2245</v>
      </c>
      <c r="G65" s="3524">
        <v>25000</v>
      </c>
      <c r="H65" s="3525"/>
      <c r="J65" s="3524">
        <v>25000</v>
      </c>
      <c r="K65" s="3525"/>
      <c r="L65" s="2642"/>
      <c r="M65" s="3524"/>
      <c r="N65" s="3525"/>
      <c r="P65" s="3524"/>
      <c r="Q65" s="3525"/>
      <c r="S65" s="3524"/>
      <c r="T65" s="3525"/>
      <c r="V65" s="2801"/>
      <c r="W65" s="3640"/>
      <c r="X65" s="3641"/>
      <c r="AZ65" s="1808" t="s">
        <v>6690</v>
      </c>
      <c r="BA65" s="1773">
        <v>65</v>
      </c>
    </row>
    <row r="66" spans="1:53" s="289" customFormat="1" ht="12" customHeight="1">
      <c r="B66" s="289" t="s">
        <v>2540</v>
      </c>
      <c r="G66" s="3524">
        <v>14500</v>
      </c>
      <c r="H66" s="3525"/>
      <c r="J66" s="3524">
        <v>14500</v>
      </c>
      <c r="K66" s="3525"/>
      <c r="L66" s="2642"/>
      <c r="M66" s="3524"/>
      <c r="N66" s="3525"/>
      <c r="P66" s="3524"/>
      <c r="Q66" s="3525"/>
      <c r="S66" s="3524"/>
      <c r="T66" s="3525"/>
      <c r="V66" s="2801"/>
      <c r="W66" s="3640"/>
      <c r="X66" s="3641"/>
      <c r="AZ66" s="1808" t="s">
        <v>6691</v>
      </c>
      <c r="BA66" s="1773">
        <v>66</v>
      </c>
    </row>
    <row r="67" spans="1:53" s="289" customFormat="1" ht="12" customHeight="1">
      <c r="B67" s="289" t="s">
        <v>693</v>
      </c>
      <c r="G67" s="3524">
        <v>5000</v>
      </c>
      <c r="H67" s="3525"/>
      <c r="J67" s="3524">
        <v>0</v>
      </c>
      <c r="K67" s="3525"/>
      <c r="L67" s="2642"/>
      <c r="M67" s="3524"/>
      <c r="N67" s="3525"/>
      <c r="P67" s="3524"/>
      <c r="Q67" s="3525"/>
      <c r="S67" s="3524">
        <v>5000</v>
      </c>
      <c r="T67" s="3525"/>
      <c r="V67" s="2801"/>
      <c r="W67" s="3640"/>
      <c r="X67" s="3641"/>
      <c r="AZ67" s="1808" t="s">
        <v>6692</v>
      </c>
      <c r="BA67" s="1773">
        <v>67</v>
      </c>
    </row>
    <row r="68" spans="1:53" s="289" customFormat="1" ht="12" customHeight="1">
      <c r="B68" s="289" t="s">
        <v>2246</v>
      </c>
      <c r="G68" s="3524">
        <v>60000</v>
      </c>
      <c r="H68" s="3525"/>
      <c r="J68" s="3524">
        <v>60000</v>
      </c>
      <c r="K68" s="3525"/>
      <c r="L68" s="2642"/>
      <c r="M68" s="3524"/>
      <c r="N68" s="3525"/>
      <c r="P68" s="3524"/>
      <c r="Q68" s="3525"/>
      <c r="S68" s="3524"/>
      <c r="T68" s="3525"/>
      <c r="V68" s="2801"/>
      <c r="W68" s="3640"/>
      <c r="X68" s="3641"/>
      <c r="AZ68" s="1808"/>
      <c r="BA68" s="1773">
        <v>68</v>
      </c>
    </row>
    <row r="69" spans="1:53" s="289" customFormat="1" ht="12" customHeight="1">
      <c r="B69" s="289" t="s">
        <v>1228</v>
      </c>
      <c r="G69" s="3524">
        <v>50000</v>
      </c>
      <c r="H69" s="3525"/>
      <c r="J69" s="3524">
        <v>50000</v>
      </c>
      <c r="K69" s="3525"/>
      <c r="L69" s="2642"/>
      <c r="M69" s="3524"/>
      <c r="N69" s="3525"/>
      <c r="P69" s="3524"/>
      <c r="Q69" s="3525"/>
      <c r="S69" s="3524"/>
      <c r="T69" s="3525"/>
      <c r="V69" s="2801"/>
      <c r="W69" s="3640"/>
      <c r="X69" s="3641"/>
      <c r="AZ69" s="1808"/>
      <c r="BA69" s="1773">
        <v>69</v>
      </c>
    </row>
    <row r="70" spans="1:53" s="289" customFormat="1" ht="12" customHeight="1">
      <c r="B70" s="344" t="s">
        <v>1111</v>
      </c>
      <c r="D70" s="342"/>
      <c r="E70" s="342"/>
      <c r="F70" s="343"/>
      <c r="G70" s="3524"/>
      <c r="H70" s="3525"/>
      <c r="I70" s="307"/>
      <c r="J70" s="3524"/>
      <c r="K70" s="3525"/>
      <c r="L70" s="2642"/>
      <c r="M70" s="3524"/>
      <c r="N70" s="3525"/>
      <c r="P70" s="3524"/>
      <c r="Q70" s="3525"/>
      <c r="S70" s="3524"/>
      <c r="T70" s="3525"/>
      <c r="V70" s="2801"/>
      <c r="W70" s="3640"/>
      <c r="X70" s="3641"/>
      <c r="AZ70" s="1808"/>
      <c r="BA70" s="1773">
        <v>70</v>
      </c>
    </row>
    <row r="71" spans="1:53" s="289" customFormat="1" ht="12" customHeight="1">
      <c r="A71" s="363" t="str">
        <f>IF(AND(G71&gt;0,OR(C71="",C71="&lt;Enter detailed description here; use Comments section if needed&gt;")),"X","")</f>
        <v/>
      </c>
      <c r="B71" s="170" t="s">
        <v>6584</v>
      </c>
      <c r="C71" s="3703" t="s">
        <v>3344</v>
      </c>
      <c r="D71" s="3703"/>
      <c r="E71" s="3703"/>
      <c r="F71" s="3704"/>
      <c r="G71" s="3524"/>
      <c r="H71" s="3525"/>
      <c r="J71" s="3524"/>
      <c r="K71" s="3525"/>
      <c r="L71" s="2642"/>
      <c r="M71" s="3524"/>
      <c r="N71" s="3525"/>
      <c r="P71" s="3524"/>
      <c r="Q71" s="3525"/>
      <c r="S71" s="3524"/>
      <c r="T71" s="3525"/>
      <c r="U71" s="362" t="str">
        <f>IF(AND(G71&gt;0,OR(C71="",C71="&lt;Enter detailed description here; use Comments section if needed&gt;")),"NO DESCRIPTION PROVIDED - please enter detailed description in Other box at left; use Comments section below if needed.","")</f>
        <v/>
      </c>
      <c r="V71" s="2801"/>
      <c r="W71" s="3640"/>
      <c r="X71" s="3641"/>
      <c r="AZ71" s="1808"/>
      <c r="BA71" s="1773">
        <v>71</v>
      </c>
    </row>
    <row r="72" spans="1:53" s="289" customFormat="1" ht="12" customHeight="1" thickBot="1">
      <c r="A72" s="363" t="str">
        <f>IF(AND(G72&gt;0,OR(C72="",C72="&lt;Enter detailed description here; use Comments section if needed&gt;")),"X","")</f>
        <v/>
      </c>
      <c r="B72" s="170" t="s">
        <v>6585</v>
      </c>
      <c r="C72" s="3701" t="s">
        <v>3344</v>
      </c>
      <c r="D72" s="3701"/>
      <c r="E72" s="3701"/>
      <c r="F72" s="3702"/>
      <c r="G72" s="3481"/>
      <c r="H72" s="3482"/>
      <c r="J72" s="3481"/>
      <c r="K72" s="3482"/>
      <c r="L72" s="2642"/>
      <c r="M72" s="3481"/>
      <c r="N72" s="3482"/>
      <c r="P72" s="3481"/>
      <c r="Q72" s="3482"/>
      <c r="S72" s="3481"/>
      <c r="T72" s="3482"/>
      <c r="U72" s="362" t="str">
        <f>IF(AND(G72&gt;0,OR(C72="",C72="&lt;Enter detailed description here; use Comments section if needed&gt;")),"NO DESCRIPTION PROVIDED - please enter detailed description in Other box at left; use Comments section below if needed.","")</f>
        <v/>
      </c>
      <c r="V72" s="2801"/>
      <c r="W72" s="3628"/>
      <c r="X72" s="3629"/>
      <c r="AZ72" s="1808"/>
      <c r="BA72" s="1773">
        <v>72</v>
      </c>
    </row>
    <row r="73" spans="1:53" s="289" customFormat="1" ht="12" customHeight="1" thickTop="1">
      <c r="F73" s="338" t="s">
        <v>183</v>
      </c>
      <c r="G73" s="3666">
        <f>SUM(G61:G72)</f>
        <v>509768</v>
      </c>
      <c r="H73" s="3667"/>
      <c r="J73" s="3666">
        <f>SUM(J61:J72)</f>
        <v>504768</v>
      </c>
      <c r="K73" s="3667"/>
      <c r="L73" s="340"/>
      <c r="M73" s="3666">
        <f>SUM(M61:M72)</f>
        <v>0</v>
      </c>
      <c r="N73" s="3667"/>
      <c r="P73" s="3666">
        <f>SUM(P61:P72)</f>
        <v>0</v>
      </c>
      <c r="Q73" s="3667"/>
      <c r="S73" s="3666">
        <f>SUM(S61:S72)</f>
        <v>5000</v>
      </c>
      <c r="T73" s="3667"/>
      <c r="V73" s="2802">
        <f>SUM(V61:V72)</f>
        <v>0</v>
      </c>
      <c r="W73" s="3642"/>
      <c r="X73" s="3643"/>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13">
        <v>100800</v>
      </c>
      <c r="H75" s="3514"/>
      <c r="J75" s="3513">
        <f>G75</f>
        <v>100800</v>
      </c>
      <c r="K75" s="3514"/>
      <c r="L75" s="2642"/>
      <c r="M75" s="3513"/>
      <c r="N75" s="3514"/>
      <c r="P75" s="3513"/>
      <c r="Q75" s="3514"/>
      <c r="S75" s="3513"/>
      <c r="T75" s="3514"/>
      <c r="V75" s="2797"/>
      <c r="W75" s="3640"/>
      <c r="X75" s="3641"/>
      <c r="AZ75" s="1808"/>
      <c r="BA75" s="1773">
        <v>75</v>
      </c>
    </row>
    <row r="76" spans="1:53" s="289" customFormat="1" ht="12" customHeight="1">
      <c r="B76" s="289" t="s">
        <v>458</v>
      </c>
      <c r="G76" s="3524">
        <v>12000</v>
      </c>
      <c r="H76" s="3525"/>
      <c r="J76" s="3524">
        <v>12000</v>
      </c>
      <c r="K76" s="3525"/>
      <c r="L76" s="2642"/>
      <c r="M76" s="3524"/>
      <c r="N76" s="3525"/>
      <c r="P76" s="3524"/>
      <c r="Q76" s="3525"/>
      <c r="S76" s="3524"/>
      <c r="T76" s="3525"/>
      <c r="V76" s="2797"/>
      <c r="W76" s="3640"/>
      <c r="X76" s="3641"/>
      <c r="AZ76" s="1808"/>
      <c r="BA76" s="1773">
        <v>76</v>
      </c>
    </row>
    <row r="77" spans="1:53" s="289" customFormat="1" ht="12" customHeight="1">
      <c r="B77" s="289" t="s">
        <v>1086</v>
      </c>
      <c r="D77" s="301"/>
      <c r="E77" s="927"/>
      <c r="F77" s="928"/>
      <c r="G77" s="3524">
        <v>35000</v>
      </c>
      <c r="H77" s="3525"/>
      <c r="J77" s="3524">
        <v>35000</v>
      </c>
      <c r="K77" s="3525"/>
      <c r="L77" s="2642"/>
      <c r="M77" s="3524"/>
      <c r="N77" s="3525"/>
      <c r="P77" s="3524"/>
      <c r="Q77" s="3525"/>
      <c r="S77" s="3524"/>
      <c r="T77" s="3525"/>
      <c r="V77" s="2797"/>
      <c r="W77" s="3640"/>
      <c r="X77" s="3641"/>
      <c r="AZ77" s="1808"/>
      <c r="BA77" s="1773">
        <v>77</v>
      </c>
    </row>
    <row r="78" spans="1:53" s="289" customFormat="1" ht="12" customHeight="1">
      <c r="B78" s="289" t="s">
        <v>1087</v>
      </c>
      <c r="G78" s="3524">
        <f>5400-2800</f>
        <v>2600</v>
      </c>
      <c r="H78" s="3525"/>
      <c r="J78" s="3524">
        <f>G78</f>
        <v>2600</v>
      </c>
      <c r="K78" s="3525"/>
      <c r="L78" s="2642"/>
      <c r="M78" s="3524"/>
      <c r="N78" s="3525"/>
      <c r="P78" s="3524"/>
      <c r="Q78" s="3525"/>
      <c r="S78" s="3524"/>
      <c r="T78" s="3525"/>
      <c r="V78" s="2797"/>
      <c r="W78" s="3640"/>
      <c r="X78" s="3641"/>
      <c r="AZ78" s="1808"/>
      <c r="BA78" s="1773">
        <v>78</v>
      </c>
    </row>
    <row r="79" spans="1:53" s="289" customFormat="1" ht="12" customHeight="1">
      <c r="B79" s="289" t="s">
        <v>1088</v>
      </c>
      <c r="G79" s="3524">
        <v>20000</v>
      </c>
      <c r="H79" s="3525"/>
      <c r="J79" s="3524">
        <v>20000</v>
      </c>
      <c r="K79" s="3525"/>
      <c r="L79" s="2642"/>
      <c r="M79" s="3524"/>
      <c r="N79" s="3525"/>
      <c r="P79" s="3524"/>
      <c r="Q79" s="3525"/>
      <c r="S79" s="3524"/>
      <c r="T79" s="3525"/>
      <c r="V79" s="2797"/>
      <c r="W79" s="3640"/>
      <c r="X79" s="3641"/>
      <c r="AZ79" s="1808" t="s">
        <v>6693</v>
      </c>
      <c r="BA79" s="1773">
        <v>79</v>
      </c>
    </row>
    <row r="80" spans="1:53" s="289" customFormat="1" ht="12" customHeight="1">
      <c r="B80" s="289" t="s">
        <v>1089</v>
      </c>
      <c r="G80" s="3524"/>
      <c r="H80" s="3525"/>
      <c r="J80" s="3524"/>
      <c r="K80" s="3525"/>
      <c r="L80" s="2642"/>
      <c r="M80" s="3524"/>
      <c r="N80" s="3525"/>
      <c r="P80" s="3524"/>
      <c r="Q80" s="3525"/>
      <c r="S80" s="3524"/>
      <c r="T80" s="3525"/>
      <c r="V80" s="2797"/>
      <c r="W80" s="3640"/>
      <c r="X80" s="3641"/>
      <c r="AZ80" s="1808" t="s">
        <v>6694</v>
      </c>
      <c r="BA80" s="1773">
        <v>80</v>
      </c>
    </row>
    <row r="81" spans="1:53" s="289" customFormat="1" ht="12" customHeight="1">
      <c r="B81" s="289" t="s">
        <v>459</v>
      </c>
      <c r="G81" s="3524">
        <v>45000</v>
      </c>
      <c r="H81" s="3525"/>
      <c r="J81" s="3524">
        <v>45000</v>
      </c>
      <c r="K81" s="3525"/>
      <c r="L81" s="2642"/>
      <c r="M81" s="3524"/>
      <c r="N81" s="3525"/>
      <c r="P81" s="3524"/>
      <c r="Q81" s="3525"/>
      <c r="S81" s="3524"/>
      <c r="T81" s="3525"/>
      <c r="V81" s="2797"/>
      <c r="W81" s="3640"/>
      <c r="X81" s="3641"/>
      <c r="AZ81" s="1809"/>
      <c r="BA81" s="1773">
        <v>81</v>
      </c>
    </row>
    <row r="82" spans="1:53" s="289" customFormat="1" ht="12" customHeight="1">
      <c r="B82" s="289" t="s">
        <v>460</v>
      </c>
      <c r="G82" s="3524">
        <v>70000</v>
      </c>
      <c r="H82" s="3525"/>
      <c r="J82" s="3524">
        <f>70000-7000</f>
        <v>63000</v>
      </c>
      <c r="K82" s="3525"/>
      <c r="L82" s="2642"/>
      <c r="M82" s="3524"/>
      <c r="N82" s="3525"/>
      <c r="P82" s="3524"/>
      <c r="Q82" s="3525"/>
      <c r="S82" s="3524">
        <v>7000</v>
      </c>
      <c r="T82" s="3525"/>
      <c r="V82" s="2797"/>
      <c r="W82" s="3640"/>
      <c r="X82" s="3641"/>
      <c r="AZ82" s="1808"/>
      <c r="BA82" s="1773">
        <v>82</v>
      </c>
    </row>
    <row r="83" spans="1:53" s="289" customFormat="1" ht="12" customHeight="1">
      <c r="B83" s="289" t="s">
        <v>1958</v>
      </c>
      <c r="G83" s="3524">
        <v>25000</v>
      </c>
      <c r="H83" s="3525"/>
      <c r="J83" s="3524">
        <f>25000-2500</f>
        <v>22500</v>
      </c>
      <c r="K83" s="3525"/>
      <c r="L83" s="2642"/>
      <c r="M83" s="3524"/>
      <c r="N83" s="3525"/>
      <c r="P83" s="3524"/>
      <c r="Q83" s="3525"/>
      <c r="S83" s="3524">
        <v>2500</v>
      </c>
      <c r="T83" s="3525"/>
      <c r="V83" s="2797"/>
      <c r="W83" s="3640"/>
      <c r="X83" s="3641"/>
      <c r="AZ83" s="1808"/>
      <c r="BA83" s="1773">
        <v>83</v>
      </c>
    </row>
    <row r="84" spans="1:53" s="289" customFormat="1" ht="12" customHeight="1">
      <c r="B84" s="289" t="s">
        <v>1229</v>
      </c>
      <c r="G84" s="3524">
        <v>8000</v>
      </c>
      <c r="H84" s="3525"/>
      <c r="J84" s="3524">
        <v>8000</v>
      </c>
      <c r="K84" s="3525"/>
      <c r="L84" s="2642"/>
      <c r="M84" s="3524"/>
      <c r="N84" s="3525"/>
      <c r="P84" s="3524"/>
      <c r="Q84" s="3525"/>
      <c r="S84" s="3524"/>
      <c r="T84" s="3525"/>
      <c r="V84" s="2797"/>
      <c r="W84" s="3640"/>
      <c r="X84" s="3641"/>
      <c r="AZ84" s="1808"/>
      <c r="BA84" s="1773">
        <v>84</v>
      </c>
    </row>
    <row r="85" spans="1:53" s="289" customFormat="1" ht="12" customHeight="1" thickBot="1">
      <c r="A85" s="363" t="str">
        <f>IF(AND(G85&gt;0,OR(C85="",C85="&lt;Enter detailed description here; use Comments section if needed&gt;")),"X","")</f>
        <v/>
      </c>
      <c r="B85" s="170" t="s">
        <v>6586</v>
      </c>
      <c r="C85" s="3676" t="s">
        <v>3344</v>
      </c>
      <c r="D85" s="3676"/>
      <c r="E85" s="3676"/>
      <c r="F85" s="3677"/>
      <c r="G85" s="3481"/>
      <c r="H85" s="3482"/>
      <c r="J85" s="3481"/>
      <c r="K85" s="3482"/>
      <c r="L85" s="2642"/>
      <c r="M85" s="3481"/>
      <c r="N85" s="3482"/>
      <c r="P85" s="3481"/>
      <c r="Q85" s="3482"/>
      <c r="S85" s="3481"/>
      <c r="T85" s="3482"/>
      <c r="U85" s="362" t="str">
        <f>IF(AND(G85&gt;0,OR(C85="",C85="&lt;Enter detailed description here; use Comments section if needed&gt;")),"NO DESCRIPTION PROVIDED - please enter detailed description in Other box at left; use Comments section below if needed.","")</f>
        <v/>
      </c>
      <c r="V85" s="2797"/>
      <c r="W85" s="3628"/>
      <c r="X85" s="3629"/>
      <c r="AZ85" s="1808"/>
      <c r="BA85" s="1773">
        <v>85</v>
      </c>
    </row>
    <row r="86" spans="1:53" s="289" customFormat="1" ht="12" customHeight="1" thickTop="1">
      <c r="F86" s="338" t="s">
        <v>183</v>
      </c>
      <c r="G86" s="3666">
        <f>SUM(G75:G85)</f>
        <v>318400</v>
      </c>
      <c r="H86" s="3667"/>
      <c r="J86" s="3666">
        <f>SUM(J75:J85)</f>
        <v>308900</v>
      </c>
      <c r="K86" s="3667"/>
      <c r="L86" s="340"/>
      <c r="M86" s="3666">
        <f>SUM(M75:M85)</f>
        <v>0</v>
      </c>
      <c r="N86" s="3667"/>
      <c r="P86" s="3666">
        <f>SUM(P75:P85)</f>
        <v>0</v>
      </c>
      <c r="Q86" s="3667"/>
      <c r="S86" s="3666">
        <f>SUM(S75:S85)</f>
        <v>9500</v>
      </c>
      <c r="T86" s="3667"/>
      <c r="V86" s="2799">
        <f>SUM(V75:V85)</f>
        <v>0</v>
      </c>
      <c r="W86" s="3642"/>
      <c r="X86" s="3643"/>
      <c r="AZ86" s="1808" t="s">
        <v>6695</v>
      </c>
      <c r="BA86" s="1773">
        <v>86</v>
      </c>
    </row>
    <row r="87" spans="1:53" ht="12" customHeight="1">
      <c r="A87" s="289"/>
      <c r="B87" s="291" t="s">
        <v>1221</v>
      </c>
      <c r="C87" s="289"/>
      <c r="D87" s="788" t="s">
        <v>3362</v>
      </c>
      <c r="E87" s="861">
        <f>G92/'Part VI-Revenues &amp; Expenses'!$P$67</f>
        <v>7739.375</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13">
        <v>48090</v>
      </c>
      <c r="H88" s="3514"/>
      <c r="J88" s="3513">
        <f>G88</f>
        <v>48090</v>
      </c>
      <c r="K88" s="3514"/>
      <c r="L88" s="2642"/>
      <c r="M88" s="3513"/>
      <c r="N88" s="3514"/>
      <c r="P88" s="3513"/>
      <c r="Q88" s="3514"/>
      <c r="S88" s="3513"/>
      <c r="T88" s="3514"/>
      <c r="V88" s="2797"/>
      <c r="W88" s="3640"/>
      <c r="X88" s="3641"/>
      <c r="AZ88" s="1808"/>
      <c r="BA88" s="1773">
        <v>88</v>
      </c>
    </row>
    <row r="89" spans="1:53" s="289" customFormat="1" ht="12" customHeight="1">
      <c r="B89" s="289" t="s">
        <v>1223</v>
      </c>
      <c r="G89" s="3524">
        <v>63700</v>
      </c>
      <c r="H89" s="3525"/>
      <c r="J89" s="3524">
        <f>G89</f>
        <v>63700</v>
      </c>
      <c r="K89" s="3525"/>
      <c r="L89" s="2642"/>
      <c r="M89" s="3524"/>
      <c r="N89" s="3525"/>
      <c r="P89" s="3524"/>
      <c r="Q89" s="3525"/>
      <c r="S89" s="3524"/>
      <c r="T89" s="3525"/>
      <c r="V89" s="2797"/>
      <c r="W89" s="3640"/>
      <c r="X89" s="3641"/>
      <c r="AZ89" s="1808"/>
      <c r="BA89" s="1773">
        <v>89</v>
      </c>
    </row>
    <row r="90" spans="1:53" s="289" customFormat="1" ht="12" customHeight="1">
      <c r="B90" s="289" t="s">
        <v>1224</v>
      </c>
      <c r="D90" s="346" t="s">
        <v>1353</v>
      </c>
      <c r="E90" s="2803" t="s">
        <v>2773</v>
      </c>
      <c r="G90" s="3524">
        <v>98000</v>
      </c>
      <c r="H90" s="3525"/>
      <c r="I90" s="307"/>
      <c r="J90" s="3524">
        <f>G90</f>
        <v>98000</v>
      </c>
      <c r="K90" s="3525"/>
      <c r="L90" s="2642"/>
      <c r="M90" s="3524"/>
      <c r="N90" s="3525"/>
      <c r="P90" s="3524"/>
      <c r="Q90" s="3525"/>
      <c r="S90" s="3524"/>
      <c r="T90" s="3525"/>
      <c r="V90" s="2797"/>
      <c r="W90" s="3640"/>
      <c r="X90" s="3641"/>
      <c r="AZ90" s="1808"/>
      <c r="BA90" s="1773">
        <v>90</v>
      </c>
    </row>
    <row r="91" spans="1:53" s="289" customFormat="1" ht="12" customHeight="1" thickBot="1">
      <c r="B91" s="289" t="s">
        <v>1225</v>
      </c>
      <c r="D91" s="346" t="s">
        <v>1353</v>
      </c>
      <c r="E91" s="2804" t="s">
        <v>2773</v>
      </c>
      <c r="G91" s="3481">
        <v>161700</v>
      </c>
      <c r="H91" s="3482"/>
      <c r="I91" s="307"/>
      <c r="J91" s="3481">
        <f>G91</f>
        <v>161700</v>
      </c>
      <c r="K91" s="3482"/>
      <c r="L91" s="2642"/>
      <c r="M91" s="3481"/>
      <c r="N91" s="3482"/>
      <c r="P91" s="3481"/>
      <c r="Q91" s="3482"/>
      <c r="S91" s="3481"/>
      <c r="T91" s="3482"/>
      <c r="V91" s="2797"/>
      <c r="W91" s="3628"/>
      <c r="X91" s="3629"/>
      <c r="AZ91" s="1808"/>
      <c r="BA91" s="1773">
        <v>91</v>
      </c>
    </row>
    <row r="92" spans="1:53" s="289" customFormat="1" ht="12" customHeight="1" thickTop="1">
      <c r="F92" s="338" t="s">
        <v>183</v>
      </c>
      <c r="G92" s="3666">
        <f>SUM(G88:G91)</f>
        <v>371490</v>
      </c>
      <c r="H92" s="3667"/>
      <c r="J92" s="3666">
        <f>SUM(J88:J91)</f>
        <v>371490</v>
      </c>
      <c r="K92" s="3667"/>
      <c r="L92" s="340"/>
      <c r="M92" s="3666">
        <f>SUM(M88:M91)</f>
        <v>0</v>
      </c>
      <c r="N92" s="3667"/>
      <c r="P92" s="3666">
        <f>SUM(P88:P91)</f>
        <v>0</v>
      </c>
      <c r="Q92" s="3667"/>
      <c r="S92" s="3666">
        <f>SUM(S88:S91)</f>
        <v>0</v>
      </c>
      <c r="T92" s="3667"/>
      <c r="V92" s="2799">
        <f>SUM(V88:V91)</f>
        <v>0</v>
      </c>
      <c r="W92" s="3642"/>
      <c r="X92" s="3643"/>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2638</v>
      </c>
      <c r="H94" s="2628"/>
      <c r="I94" s="2628"/>
      <c r="J94" s="3650" t="s">
        <v>260</v>
      </c>
      <c r="K94" s="3651"/>
      <c r="L94" s="337"/>
      <c r="M94" s="3654" t="s">
        <v>468</v>
      </c>
      <c r="N94" s="3655"/>
      <c r="P94" s="3650" t="s">
        <v>261</v>
      </c>
      <c r="Q94" s="3651"/>
      <c r="S94" s="3650" t="s">
        <v>262</v>
      </c>
      <c r="T94" s="3651"/>
      <c r="V94" s="411" t="str">
        <f>B94</f>
        <v>DEVELOPMENT BUDGET  (cont'd)</v>
      </c>
      <c r="AZ94" s="1808"/>
      <c r="BA94" s="1773">
        <v>102</v>
      </c>
    </row>
    <row r="95" spans="1:53" s="289" customFormat="1" ht="18" customHeight="1" thickBot="1">
      <c r="G95" s="3616" t="s">
        <v>94</v>
      </c>
      <c r="H95" s="3617"/>
      <c r="J95" s="3652"/>
      <c r="K95" s="3653"/>
      <c r="L95" s="337"/>
      <c r="M95" s="3656"/>
      <c r="N95" s="3657"/>
      <c r="P95" s="3652"/>
      <c r="Q95" s="3653"/>
      <c r="S95" s="3652"/>
      <c r="T95" s="3653"/>
      <c r="V95" s="325" t="s">
        <v>2538</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6696</v>
      </c>
      <c r="BA96" s="1773">
        <v>93</v>
      </c>
    </row>
    <row r="97" spans="1:53" s="289" customFormat="1" ht="12" customHeight="1">
      <c r="B97" s="289" t="s">
        <v>1226</v>
      </c>
      <c r="G97" s="3513">
        <v>7979</v>
      </c>
      <c r="H97" s="3514"/>
      <c r="J97" s="3705"/>
      <c r="K97" s="3705"/>
      <c r="L97" s="2642"/>
      <c r="M97" s="3705"/>
      <c r="N97" s="3705"/>
      <c r="P97" s="3705"/>
      <c r="Q97" s="3705"/>
      <c r="S97" s="3513">
        <f>G97</f>
        <v>7979</v>
      </c>
      <c r="T97" s="3514"/>
      <c r="V97" s="2797"/>
      <c r="W97" s="3640"/>
      <c r="X97" s="3641"/>
      <c r="AZ97" s="1808" t="s">
        <v>6697</v>
      </c>
      <c r="BA97" s="1773">
        <v>94</v>
      </c>
    </row>
    <row r="98" spans="1:53" s="289" customFormat="1" ht="12" customHeight="1">
      <c r="B98" s="289" t="s">
        <v>1227</v>
      </c>
      <c r="G98" s="3524">
        <v>15000</v>
      </c>
      <c r="H98" s="3525"/>
      <c r="J98" s="3705"/>
      <c r="K98" s="3705"/>
      <c r="L98" s="2642"/>
      <c r="M98" s="3705"/>
      <c r="N98" s="3705"/>
      <c r="P98" s="3705"/>
      <c r="Q98" s="3705"/>
      <c r="S98" s="3524">
        <v>15000</v>
      </c>
      <c r="T98" s="3525"/>
      <c r="V98" s="2797"/>
      <c r="W98" s="3640"/>
      <c r="X98" s="3641"/>
      <c r="AZ98" s="1808"/>
      <c r="BA98" s="1773">
        <v>95</v>
      </c>
    </row>
    <row r="99" spans="1:53" s="289" customFormat="1" ht="12" customHeight="1">
      <c r="B99" s="289" t="s">
        <v>1228</v>
      </c>
      <c r="G99" s="3524">
        <v>5000</v>
      </c>
      <c r="H99" s="3525"/>
      <c r="J99" s="3705"/>
      <c r="K99" s="3705"/>
      <c r="L99" s="2642"/>
      <c r="M99" s="3705"/>
      <c r="N99" s="3705"/>
      <c r="P99" s="3705"/>
      <c r="Q99" s="3705"/>
      <c r="S99" s="3524">
        <v>5000</v>
      </c>
      <c r="T99" s="3525"/>
      <c r="V99" s="2797"/>
      <c r="W99" s="3640"/>
      <c r="X99" s="3641"/>
      <c r="AZ99" s="1808"/>
      <c r="BA99" s="1773">
        <v>96</v>
      </c>
    </row>
    <row r="100" spans="1:53" s="289" customFormat="1" ht="12" customHeight="1">
      <c r="B100" s="289" t="s">
        <v>1230</v>
      </c>
      <c r="G100" s="3524"/>
      <c r="H100" s="3525"/>
      <c r="J100" s="3705"/>
      <c r="K100" s="3705"/>
      <c r="L100" s="2642"/>
      <c r="M100" s="3705"/>
      <c r="N100" s="3705"/>
      <c r="P100" s="3705"/>
      <c r="Q100" s="3705"/>
      <c r="S100" s="3524"/>
      <c r="T100" s="3525"/>
      <c r="V100" s="2797"/>
      <c r="W100" s="3640"/>
      <c r="X100" s="3641"/>
      <c r="AZ100" s="1808"/>
      <c r="BA100" s="1773">
        <v>97</v>
      </c>
    </row>
    <row r="101" spans="1:53" s="289" customFormat="1" ht="12" customHeight="1">
      <c r="B101" s="289" t="s">
        <v>2196</v>
      </c>
      <c r="G101" s="3524"/>
      <c r="H101" s="3525"/>
      <c r="J101" s="3705"/>
      <c r="K101" s="3705"/>
      <c r="L101" s="2642"/>
      <c r="M101" s="3705"/>
      <c r="N101" s="3705"/>
      <c r="P101" s="3705"/>
      <c r="Q101" s="3705"/>
      <c r="S101" s="3524"/>
      <c r="T101" s="3525"/>
      <c r="V101" s="2797"/>
      <c r="W101" s="3640"/>
      <c r="X101" s="3641"/>
      <c r="AZ101" s="1808"/>
      <c r="BA101" s="1773">
        <v>98</v>
      </c>
    </row>
    <row r="102" spans="1:53" s="289" customFormat="1" ht="12" customHeight="1" thickBot="1">
      <c r="A102" s="363" t="str">
        <f>IF(AND(G102&gt;0,OR(C102="",C102="&lt;Enter detailed description here; use Comments section if needed&gt;")),"X","")</f>
        <v/>
      </c>
      <c r="B102" s="170" t="s">
        <v>6587</v>
      </c>
      <c r="C102" s="3676" t="s">
        <v>6893</v>
      </c>
      <c r="D102" s="3676"/>
      <c r="E102" s="3676"/>
      <c r="F102" s="3677"/>
      <c r="G102" s="3481">
        <v>19500</v>
      </c>
      <c r="H102" s="3482"/>
      <c r="J102" s="3705"/>
      <c r="K102" s="3705"/>
      <c r="L102" s="2642"/>
      <c r="M102" s="3705"/>
      <c r="N102" s="3705"/>
      <c r="P102" s="3705"/>
      <c r="Q102" s="3705"/>
      <c r="S102" s="3481">
        <f>G102</f>
        <v>19500</v>
      </c>
      <c r="T102" s="3482"/>
      <c r="U102" s="362" t="str">
        <f>IF(AND(G102&gt;0,OR(C102="",C102="&lt;Enter detailed description here; use Comments section if needed&gt;")),"NO DESCRIPTION PROVIDED - please enter detailed description in Other box at left; use Comments section below if needed.","")</f>
        <v/>
      </c>
      <c r="V102" s="2797"/>
      <c r="W102" s="3628"/>
      <c r="X102" s="3629"/>
      <c r="AZ102" s="1808"/>
      <c r="BA102" s="1773">
        <v>99</v>
      </c>
    </row>
    <row r="103" spans="1:53" s="289" customFormat="1" ht="12" customHeight="1" thickTop="1">
      <c r="F103" s="338" t="s">
        <v>183</v>
      </c>
      <c r="G103" s="3666">
        <f>SUM(G97:G102)</f>
        <v>47479</v>
      </c>
      <c r="H103" s="3667"/>
      <c r="J103" s="3705"/>
      <c r="K103" s="3705"/>
      <c r="L103" s="340"/>
      <c r="M103" s="3705"/>
      <c r="N103" s="3705"/>
      <c r="P103" s="3705"/>
      <c r="Q103" s="3705"/>
      <c r="S103" s="3666">
        <f>SUM(S97:S102)</f>
        <v>47479</v>
      </c>
      <c r="T103" s="3667"/>
      <c r="V103" s="2799">
        <f>SUM(V97:V102)</f>
        <v>0</v>
      </c>
      <c r="W103" s="3642"/>
      <c r="X103" s="3643"/>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13"/>
      <c r="H105" s="3514"/>
      <c r="J105" s="340"/>
      <c r="K105" s="340"/>
      <c r="L105" s="2642"/>
      <c r="M105" s="340"/>
      <c r="N105" s="340"/>
      <c r="P105" s="340"/>
      <c r="Q105" s="340"/>
      <c r="S105" s="3513"/>
      <c r="T105" s="3514"/>
      <c r="V105" s="2797"/>
      <c r="W105" s="3640"/>
      <c r="X105" s="3641"/>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24">
        <v>5500</v>
      </c>
      <c r="H106" s="3525"/>
      <c r="J106" s="340"/>
      <c r="K106" s="340"/>
      <c r="L106" s="347"/>
      <c r="M106" s="340"/>
      <c r="N106" s="340"/>
      <c r="P106" s="340"/>
      <c r="Q106" s="340"/>
      <c r="S106" s="3524">
        <v>5500</v>
      </c>
      <c r="T106" s="3525"/>
      <c r="V106" s="2797"/>
      <c r="W106" s="3640"/>
      <c r="X106" s="3641"/>
      <c r="AZ106" s="1808" t="s">
        <v>6698</v>
      </c>
      <c r="BA106" s="1773">
        <v>106</v>
      </c>
    </row>
    <row r="107" spans="1:53" s="289" customFormat="1" ht="12.6" customHeight="1">
      <c r="B107" s="289" t="s">
        <v>3464</v>
      </c>
      <c r="G107" s="3524">
        <v>1000</v>
      </c>
      <c r="H107" s="3525"/>
      <c r="J107" s="340"/>
      <c r="K107" s="340"/>
      <c r="L107" s="347"/>
      <c r="M107" s="340"/>
      <c r="N107" s="340"/>
      <c r="O107" s="2628"/>
      <c r="P107" s="340"/>
      <c r="Q107" s="340"/>
      <c r="S107" s="3524">
        <v>1000</v>
      </c>
      <c r="T107" s="3525"/>
      <c r="V107" s="2797"/>
      <c r="W107" s="3640"/>
      <c r="X107" s="3641"/>
      <c r="AZ107" s="1808" t="s">
        <v>6699</v>
      </c>
      <c r="BA107" s="1773">
        <v>107</v>
      </c>
    </row>
    <row r="108" spans="1:53" s="289" customFormat="1" ht="12.6" customHeight="1">
      <c r="B108" s="289" t="s">
        <v>494</v>
      </c>
      <c r="E108" s="3706">
        <f>ROUNDUP('DCA Underwriting Assumptions'!$Q$93*J197,0)</f>
        <v>72000</v>
      </c>
      <c r="F108" s="3707"/>
      <c r="G108" s="3524">
        <v>72000</v>
      </c>
      <c r="H108" s="3525"/>
      <c r="J108" s="862" t="str">
        <f>IF(E108&gt;G108,"WARNING!  LIHTC Allocation Fee proposed is below minimum required.","")</f>
        <v/>
      </c>
      <c r="K108" s="340"/>
      <c r="L108" s="2642"/>
      <c r="M108" s="340"/>
      <c r="N108" s="340"/>
      <c r="O108" s="2628"/>
      <c r="P108" s="340"/>
      <c r="Q108" s="340"/>
      <c r="S108" s="3524">
        <v>72000</v>
      </c>
      <c r="T108" s="3525"/>
      <c r="V108" s="2797"/>
      <c r="W108" s="3640"/>
      <c r="X108" s="3641"/>
      <c r="AZ108" s="1808" t="s">
        <v>6700</v>
      </c>
      <c r="BA108" s="1773">
        <v>108</v>
      </c>
    </row>
    <row r="109" spans="1:53" s="289" customFormat="1" ht="12.6" customHeight="1">
      <c r="B109" s="289" t="s">
        <v>723</v>
      </c>
      <c r="E109" s="3706">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48000</v>
      </c>
      <c r="F109" s="3707"/>
      <c r="G109" s="3524">
        <v>48000</v>
      </c>
      <c r="H109" s="3525"/>
      <c r="I109" s="3618" t="str">
        <f>IF(E109&gt;G109,"WARNING!  LIHTC Compliance Fee proposed is below minimum required.","")</f>
        <v/>
      </c>
      <c r="J109" s="3619"/>
      <c r="K109" s="3619"/>
      <c r="L109" s="3619"/>
      <c r="M109" s="3619"/>
      <c r="N109" s="3619"/>
      <c r="O109" s="3619"/>
      <c r="P109" s="3619"/>
      <c r="Q109" s="3619"/>
      <c r="R109" s="3620"/>
      <c r="S109" s="3524">
        <f>G109</f>
        <v>48000</v>
      </c>
      <c r="T109" s="3525"/>
      <c r="V109" s="2797"/>
      <c r="W109" s="3640"/>
      <c r="X109" s="3641"/>
      <c r="AZ109" s="1808"/>
      <c r="BA109" s="1773">
        <v>109</v>
      </c>
    </row>
    <row r="110" spans="1:53" s="289" customFormat="1" ht="12.6" customHeight="1">
      <c r="B110" s="289" t="s">
        <v>3604</v>
      </c>
      <c r="F110" s="1034">
        <f>ROUNDUP('DCA Underwriting Assumptions'!$Q$95,0)</f>
        <v>0</v>
      </c>
      <c r="G110" s="3524"/>
      <c r="H110" s="3525"/>
      <c r="I110" s="3618"/>
      <c r="J110" s="3619"/>
      <c r="K110" s="3619"/>
      <c r="L110" s="3619"/>
      <c r="M110" s="3619"/>
      <c r="N110" s="3619"/>
      <c r="O110" s="3619"/>
      <c r="P110" s="3619"/>
      <c r="Q110" s="3619"/>
      <c r="R110" s="3620"/>
      <c r="S110" s="3524"/>
      <c r="T110" s="3525"/>
      <c r="V110" s="2797"/>
      <c r="W110" s="3640"/>
      <c r="X110" s="3641"/>
      <c r="AZ110" s="1808"/>
      <c r="BA110" s="1773">
        <v>110</v>
      </c>
    </row>
    <row r="111" spans="1:53" s="289" customFormat="1" ht="12.6" customHeight="1">
      <c r="B111" s="289" t="s">
        <v>3605</v>
      </c>
      <c r="F111" s="1034">
        <f>ROUNDUP('DCA Underwriting Assumptions'!$Q$128,0)</f>
        <v>3000</v>
      </c>
      <c r="G111" s="3524"/>
      <c r="H111" s="3525"/>
      <c r="J111" s="267"/>
      <c r="K111" s="267"/>
      <c r="L111" s="267"/>
      <c r="M111" s="267"/>
      <c r="N111" s="267"/>
      <c r="O111" s="267"/>
      <c r="P111" s="267"/>
      <c r="Q111" s="267"/>
      <c r="S111" s="3524"/>
      <c r="T111" s="3525"/>
      <c r="V111" s="2797"/>
      <c r="W111" s="3640"/>
      <c r="X111" s="3641"/>
      <c r="AZ111" s="1808"/>
      <c r="BA111" s="1773">
        <v>111</v>
      </c>
    </row>
    <row r="112" spans="1:53" s="289" customFormat="1" ht="12.6" customHeight="1">
      <c r="A112" s="363" t="str">
        <f>IF(AND(G112&gt;0,OR(C112="",C112="&lt;Enter detailed description here; use Comments section if needed&gt;")),"X","")</f>
        <v/>
      </c>
      <c r="B112" s="170" t="s">
        <v>6583</v>
      </c>
      <c r="C112" s="3703" t="s">
        <v>3344</v>
      </c>
      <c r="D112" s="3703"/>
      <c r="E112" s="3703"/>
      <c r="F112" s="3704"/>
      <c r="G112" s="3524"/>
      <c r="H112" s="3525"/>
      <c r="J112" s="267"/>
      <c r="K112" s="267"/>
      <c r="L112" s="267"/>
      <c r="M112" s="267"/>
      <c r="N112" s="267"/>
      <c r="O112" s="267"/>
      <c r="P112" s="267"/>
      <c r="Q112" s="267"/>
      <c r="S112" s="3524"/>
      <c r="T112" s="3525"/>
      <c r="U112" s="362" t="str">
        <f>IF(AND(G112&gt;0,OR(C112="",C112="&lt;Enter detailed description here; use Comments section if needed&gt;")),"NO DESCRIPTION PROVIDED - please enter detailed description in Other box at left; use Comments section below if needed.","")</f>
        <v/>
      </c>
      <c r="V112" s="2797"/>
      <c r="W112" s="3640"/>
      <c r="X112" s="3641"/>
      <c r="AZ112" s="1808"/>
      <c r="BA112" s="1773">
        <v>112</v>
      </c>
    </row>
    <row r="113" spans="1:53" s="289" customFormat="1" ht="12.6" customHeight="1" thickBot="1">
      <c r="A113" s="363" t="str">
        <f>IF(AND(G113&gt;0,OR(C113="",C113="&lt;Enter detailed description here; use Comments section if needed&gt;")),"X","")</f>
        <v/>
      </c>
      <c r="B113" s="170" t="s">
        <v>6583</v>
      </c>
      <c r="C113" s="3701" t="s">
        <v>3344</v>
      </c>
      <c r="D113" s="3701"/>
      <c r="E113" s="3701"/>
      <c r="F113" s="3702"/>
      <c r="G113" s="3481"/>
      <c r="H113" s="3482"/>
      <c r="J113" s="267"/>
      <c r="K113" s="267"/>
      <c r="L113" s="267"/>
      <c r="M113" s="267"/>
      <c r="N113" s="267"/>
      <c r="O113" s="267"/>
      <c r="P113" s="267"/>
      <c r="Q113" s="267"/>
      <c r="S113" s="3481"/>
      <c r="T113" s="3482"/>
      <c r="U113" s="362" t="str">
        <f>IF(AND(G113&gt;0,OR(C113="",C113="&lt;Enter detailed description here; use Comments section if needed&gt;")),"NO DESCRIPTION PROVIDED - please enter detailed description in Other box at left; use Comments section below if needed.","")</f>
        <v/>
      </c>
      <c r="V113" s="2797"/>
      <c r="W113" s="3628"/>
      <c r="X113" s="3629"/>
      <c r="AZ113" s="1808" t="s">
        <v>6701</v>
      </c>
      <c r="BA113" s="1773">
        <v>113</v>
      </c>
    </row>
    <row r="114" spans="1:53" s="289" customFormat="1" ht="12.6" customHeight="1" thickTop="1">
      <c r="F114" s="338" t="s">
        <v>183</v>
      </c>
      <c r="G114" s="3666">
        <f>SUM(G105:G113)</f>
        <v>126500</v>
      </c>
      <c r="H114" s="3667"/>
      <c r="J114" s="340"/>
      <c r="K114" s="340"/>
      <c r="L114" s="2642"/>
      <c r="M114" s="340"/>
      <c r="N114" s="340"/>
      <c r="P114" s="340"/>
      <c r="Q114" s="340"/>
      <c r="S114" s="3666">
        <f>SUM(S105:S113)</f>
        <v>126500</v>
      </c>
      <c r="T114" s="3667"/>
      <c r="V114" s="2799">
        <f>SUM(V105:V113)</f>
        <v>0</v>
      </c>
      <c r="W114" s="3757"/>
      <c r="X114" s="3758"/>
      <c r="AZ114" s="1808" t="s">
        <v>6702</v>
      </c>
      <c r="BA114" s="1773">
        <v>114</v>
      </c>
    </row>
    <row r="115" spans="1:53" s="289" customFormat="1" ht="13.35" customHeight="1">
      <c r="B115" s="291" t="s">
        <v>2197</v>
      </c>
      <c r="J115" s="340"/>
      <c r="K115" s="340"/>
      <c r="M115" s="340"/>
      <c r="N115" s="340"/>
      <c r="O115" s="339" t="str">
        <f>B115</f>
        <v>EQUITY COSTS</v>
      </c>
      <c r="P115" s="340"/>
      <c r="Q115" s="340"/>
      <c r="S115" s="340"/>
      <c r="T115" s="340"/>
      <c r="V115" s="935"/>
      <c r="W115" s="289" t="str">
        <f>B115</f>
        <v>EQUITY COSTS</v>
      </c>
      <c r="AZ115" s="2805"/>
      <c r="BA115" s="1773">
        <v>115</v>
      </c>
    </row>
    <row r="116" spans="1:53" s="289" customFormat="1" ht="12.6" customHeight="1">
      <c r="B116" s="289" t="s">
        <v>268</v>
      </c>
      <c r="G116" s="3513">
        <f>3500+960-3</f>
        <v>4457</v>
      </c>
      <c r="H116" s="3514"/>
      <c r="J116" s="3705"/>
      <c r="K116" s="3705"/>
      <c r="L116" s="2642"/>
      <c r="M116" s="3705"/>
      <c r="N116" s="3705"/>
      <c r="O116" s="2628"/>
      <c r="P116" s="3705"/>
      <c r="Q116" s="3705"/>
      <c r="S116" s="3513">
        <f>G116</f>
        <v>4457</v>
      </c>
      <c r="T116" s="3514"/>
      <c r="V116" s="2797"/>
      <c r="W116" s="3640"/>
      <c r="X116" s="3641"/>
      <c r="AZ116" s="2805"/>
      <c r="BA116" s="1773">
        <v>116</v>
      </c>
    </row>
    <row r="117" spans="1:53" s="289" customFormat="1" ht="12.6" customHeight="1">
      <c r="B117" s="289" t="s">
        <v>269</v>
      </c>
      <c r="G117" s="3524">
        <v>2500</v>
      </c>
      <c r="H117" s="3525"/>
      <c r="J117" s="3705"/>
      <c r="K117" s="3705"/>
      <c r="L117" s="2642"/>
      <c r="M117" s="3705"/>
      <c r="N117" s="3705"/>
      <c r="O117" s="2628"/>
      <c r="P117" s="3705"/>
      <c r="Q117" s="3705"/>
      <c r="S117" s="3524">
        <v>2500</v>
      </c>
      <c r="T117" s="3525"/>
      <c r="V117" s="2797"/>
      <c r="W117" s="3640"/>
      <c r="X117" s="3641"/>
      <c r="AZ117" s="2805"/>
      <c r="BA117" s="1773">
        <v>117</v>
      </c>
    </row>
    <row r="118" spans="1:53" s="289" customFormat="1" ht="12.6" customHeight="1">
      <c r="B118" s="289" t="s">
        <v>2280</v>
      </c>
      <c r="G118" s="3524">
        <v>15000</v>
      </c>
      <c r="H118" s="3525"/>
      <c r="J118" s="3705"/>
      <c r="K118" s="3705"/>
      <c r="L118" s="2642"/>
      <c r="M118" s="3705"/>
      <c r="N118" s="3705"/>
      <c r="O118" s="2628"/>
      <c r="P118" s="3705"/>
      <c r="Q118" s="3705"/>
      <c r="S118" s="3524">
        <v>15000</v>
      </c>
      <c r="T118" s="3525"/>
      <c r="V118" s="2797"/>
      <c r="W118" s="3640"/>
      <c r="X118" s="3641"/>
      <c r="AZ118" s="2805"/>
      <c r="BA118" s="1773">
        <v>118</v>
      </c>
    </row>
    <row r="119" spans="1:53" s="289" customFormat="1" ht="12.6" customHeight="1" thickBot="1">
      <c r="A119" s="363" t="str">
        <f>IF(AND(G119&gt;0,OR(C119="",C119="&lt;Enter detailed description here; use Comments section if needed&gt;")),"X","")</f>
        <v/>
      </c>
      <c r="B119" s="170" t="s">
        <v>6583</v>
      </c>
      <c r="C119" s="3676" t="s">
        <v>3344</v>
      </c>
      <c r="D119" s="3676"/>
      <c r="E119" s="3676"/>
      <c r="F119" s="3677"/>
      <c r="G119" s="3481"/>
      <c r="H119" s="3482"/>
      <c r="J119" s="3705"/>
      <c r="K119" s="3705"/>
      <c r="L119" s="2642"/>
      <c r="M119" s="3705"/>
      <c r="N119" s="3705"/>
      <c r="O119" s="2628"/>
      <c r="P119" s="3705"/>
      <c r="Q119" s="3705"/>
      <c r="S119" s="3481"/>
      <c r="T119" s="3482"/>
      <c r="U119" s="362" t="str">
        <f>IF(AND(G119&gt;0,OR(C119="",C119="&lt;Enter detailed description here; use Comments section if needed&gt;")),"NO DESCRIPTION PROVIDED - please enter detailed description in Other box at left; use Comments section below if needed.","")</f>
        <v/>
      </c>
      <c r="V119" s="2797"/>
      <c r="W119" s="3628"/>
      <c r="X119" s="3629"/>
      <c r="AZ119" s="2805"/>
      <c r="BA119" s="1773">
        <v>119</v>
      </c>
    </row>
    <row r="120" spans="1:53" s="289" customFormat="1" ht="12.6" customHeight="1" thickTop="1">
      <c r="F120" s="338" t="s">
        <v>183</v>
      </c>
      <c r="G120" s="3666">
        <f>SUM(G116:G119)</f>
        <v>21957</v>
      </c>
      <c r="H120" s="3667"/>
      <c r="J120" s="3705"/>
      <c r="K120" s="3705"/>
      <c r="L120" s="2642"/>
      <c r="M120" s="3705"/>
      <c r="N120" s="3705"/>
      <c r="O120" s="2628"/>
      <c r="P120" s="3705"/>
      <c r="Q120" s="3705"/>
      <c r="S120" s="3666">
        <f>SUM(S116:S119)</f>
        <v>21957</v>
      </c>
      <c r="T120" s="3667"/>
      <c r="V120" s="2799">
        <f>SUM(V116:V119)</f>
        <v>0</v>
      </c>
      <c r="W120" s="3642"/>
      <c r="X120" s="3643"/>
      <c r="AC120" s="3644" t="s">
        <v>4116</v>
      </c>
      <c r="AD120" s="3644" t="s">
        <v>4117</v>
      </c>
      <c r="AE120" s="3658" t="s">
        <v>4122</v>
      </c>
      <c r="AF120" s="3668" t="s">
        <v>4118</v>
      </c>
      <c r="AZ120" s="2805"/>
      <c r="BA120" s="1773">
        <v>120</v>
      </c>
    </row>
    <row r="121" spans="1:53" s="289" customFormat="1" ht="13.35" customHeight="1">
      <c r="B121" s="291" t="s">
        <v>270</v>
      </c>
      <c r="D121" s="552" t="s">
        <v>4119</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6" t="s">
        <v>4107</v>
      </c>
      <c r="Z121" s="1371"/>
      <c r="AA121" s="274" t="s">
        <v>4113</v>
      </c>
      <c r="AB121" s="274" t="s">
        <v>4114</v>
      </c>
      <c r="AC121" s="3645"/>
      <c r="AD121" s="3645"/>
      <c r="AE121" s="3659"/>
      <c r="AF121" s="3669"/>
      <c r="AI121" s="27"/>
      <c r="AK121" s="418"/>
      <c r="AZ121" s="2805" t="s">
        <v>6703</v>
      </c>
      <c r="BA121" s="1773">
        <v>121</v>
      </c>
    </row>
    <row r="122" spans="1:53" s="289" customFormat="1" ht="12.6" customHeight="1">
      <c r="B122" s="289" t="s">
        <v>1775</v>
      </c>
      <c r="F122" s="388">
        <f>IF($G$127=0,0,G122/$G$127)</f>
        <v>0</v>
      </c>
      <c r="G122" s="3708"/>
      <c r="H122" s="3708"/>
      <c r="J122" s="3709"/>
      <c r="K122" s="3710"/>
      <c r="L122" s="339"/>
      <c r="M122" s="3709"/>
      <c r="N122" s="3710"/>
      <c r="P122" s="3709"/>
      <c r="Q122" s="3710"/>
      <c r="S122" s="3709"/>
      <c r="T122" s="3710"/>
      <c r="V122" s="2797"/>
      <c r="W122" s="3640"/>
      <c r="X122" s="3641"/>
      <c r="Y122" s="157"/>
      <c r="Z122" s="2807">
        <v>0.09</v>
      </c>
      <c r="AA122" s="2808">
        <f>'DCA Underwriting Assumptions'!$J$105</f>
        <v>1</v>
      </c>
      <c r="AB122" s="2808">
        <f>'DCA Underwriting Assumptions'!$K$105</f>
        <v>50</v>
      </c>
      <c r="AC122" s="2809">
        <f>'DCA Underwriting Assumptions'!$Q$105</f>
        <v>25000</v>
      </c>
      <c r="AD122" s="2809">
        <f>AB122*AC122</f>
        <v>1250000</v>
      </c>
      <c r="AE122" s="2809">
        <f>IF('Part VI-Revenues &amp; Expenses'!$P$67&lt;AA123,'Part VI-Revenues &amp; Expenses'!$P$67*'Part IV-A-Uses of Funds'!AC122,AB122*AC122)</f>
        <v>1200000</v>
      </c>
      <c r="AF122" s="3670">
        <f>SUM(AE122:AE124)</f>
        <v>1200000</v>
      </c>
      <c r="AI122" s="27"/>
      <c r="AZ122" s="2805"/>
      <c r="BA122" s="1773">
        <v>122</v>
      </c>
    </row>
    <row r="123" spans="1:53" s="289" customFormat="1" ht="12.6" customHeight="1">
      <c r="B123" s="289" t="s">
        <v>3566</v>
      </c>
      <c r="F123" s="2810"/>
      <c r="V123" s="2797"/>
      <c r="W123" s="3640"/>
      <c r="X123" s="3641"/>
      <c r="Y123" s="157"/>
      <c r="Z123" s="119"/>
      <c r="AA123" s="2811">
        <f>'DCA Underwriting Assumptions'!$J$106</f>
        <v>51</v>
      </c>
      <c r="AB123" s="2811">
        <f>'DCA Underwriting Assumptions'!$K$106</f>
        <v>70</v>
      </c>
      <c r="AC123" s="2812">
        <f>'DCA Underwriting Assumptions'!$Q$106</f>
        <v>20000</v>
      </c>
      <c r="AD123" s="2812">
        <f>(AB123-AB122)*AC123</f>
        <v>400000</v>
      </c>
      <c r="AE123" s="2812">
        <f>IF(AND('Part VI-Revenues &amp; Expenses'!$P$67&gt;AB122,'Part VI-Revenues &amp; Expenses'!$P$67&lt;AA124),('Part VI-Revenues &amp; Expenses'!$P$67-AB122)*'Part IV-A-Uses of Funds'!AC123,IF(AND('Part VI-Revenues &amp; Expenses'!$P$67&gt;AB122,'Part VI-Revenues &amp; Expenses'!$P$67&gt;AB123),(AB123-AB122)*'Part IV-A-Uses of Funds'!AC123,0))</f>
        <v>0</v>
      </c>
      <c r="AF123" s="3671"/>
      <c r="AI123" s="27"/>
      <c r="AZ123" s="2805"/>
      <c r="BA123" s="1773">
        <v>123</v>
      </c>
    </row>
    <row r="124" spans="1:53" s="289" customFormat="1" ht="12.6" customHeight="1">
      <c r="B124" s="289" t="s">
        <v>1776</v>
      </c>
      <c r="F124" s="388">
        <f>IF($G$127=0,0,G124/$G$127)</f>
        <v>0</v>
      </c>
      <c r="G124" s="3513"/>
      <c r="H124" s="3514"/>
      <c r="J124" s="3513"/>
      <c r="K124" s="3514"/>
      <c r="L124" s="2642"/>
      <c r="M124" s="3513"/>
      <c r="N124" s="3514"/>
      <c r="P124" s="3513"/>
      <c r="Q124" s="3514"/>
      <c r="S124" s="3513"/>
      <c r="T124" s="3514"/>
      <c r="V124" s="2797"/>
      <c r="W124" s="3640"/>
      <c r="X124" s="3641"/>
      <c r="Y124" s="157"/>
      <c r="Z124" s="119"/>
      <c r="AA124" s="2813">
        <f>'DCA Underwriting Assumptions'!$J$107</f>
        <v>71</v>
      </c>
      <c r="AB124" s="2814"/>
      <c r="AC124" s="2815">
        <f>'DCA Underwriting Assumptions'!$Q$107</f>
        <v>15000</v>
      </c>
      <c r="AD124" s="2815">
        <f>AF130-AD123-AD122</f>
        <v>350000</v>
      </c>
      <c r="AE124" s="2815">
        <f>MIN(AD124,IF('Part VI-Revenues &amp; Expenses'!$P$67&gt;AB123,('Part VI-Revenues &amp; Expenses'!$P$67-AB123)*AC124,0))</f>
        <v>0</v>
      </c>
      <c r="AF124" s="3672"/>
      <c r="AI124" s="27"/>
      <c r="AZ124" s="2805"/>
      <c r="BA124" s="1773">
        <v>124</v>
      </c>
    </row>
    <row r="125" spans="1:53" s="289" customFormat="1" ht="12.6" customHeight="1">
      <c r="B125" s="289" t="s">
        <v>3286</v>
      </c>
      <c r="F125" s="388">
        <f>IF($G$127=0,0,G125/$G$127)</f>
        <v>0</v>
      </c>
      <c r="G125" s="3524"/>
      <c r="H125" s="3525"/>
      <c r="J125" s="3524"/>
      <c r="K125" s="3525"/>
      <c r="L125" s="2642"/>
      <c r="M125" s="3524"/>
      <c r="N125" s="3525"/>
      <c r="P125" s="3524"/>
      <c r="Q125" s="3525"/>
      <c r="S125" s="3524"/>
      <c r="T125" s="3525"/>
      <c r="V125" s="2797"/>
      <c r="W125" s="3640"/>
      <c r="X125" s="3641"/>
      <c r="Y125" s="27"/>
      <c r="Z125" s="2807">
        <v>0.04</v>
      </c>
      <c r="AA125" s="2816">
        <f>'DCA Underwriting Assumptions'!$J$108</f>
        <v>1</v>
      </c>
      <c r="AB125" s="2816">
        <f>'DCA Underwriting Assumptions'!$K$108</f>
        <v>100</v>
      </c>
      <c r="AC125" s="2809">
        <f>'DCA Underwriting Assumptions'!$Q$108</f>
        <v>20500</v>
      </c>
      <c r="AD125" s="2809">
        <f>AB125*AC125</f>
        <v>2050000</v>
      </c>
      <c r="AE125" s="2809">
        <f>IF('Part VI-Revenues &amp; Expenses'!$P$67&lt;AA126,'Part VI-Revenues &amp; Expenses'!$P$67*'Part IV-A-Uses of Funds'!AC125,AB125*AC125)</f>
        <v>984000</v>
      </c>
      <c r="AF125" s="3670">
        <f>SUM(AE125:AE127)</f>
        <v>984000</v>
      </c>
      <c r="AG125" s="757">
        <f>51*AC125</f>
        <v>1045500</v>
      </c>
      <c r="AI125" s="27"/>
      <c r="AZ125" s="2805"/>
      <c r="BA125" s="1773">
        <v>125</v>
      </c>
    </row>
    <row r="126" spans="1:53" s="289" customFormat="1" ht="12.6" customHeight="1" thickBot="1">
      <c r="B126" s="289" t="s">
        <v>1768</v>
      </c>
      <c r="F126" s="388">
        <f>IF($G$127=0,0,G126/$G$127)</f>
        <v>1</v>
      </c>
      <c r="G126" s="3481">
        <v>1200000</v>
      </c>
      <c r="H126" s="3482"/>
      <c r="J126" s="3481">
        <f>G126</f>
        <v>1200000</v>
      </c>
      <c r="K126" s="3482"/>
      <c r="L126" s="2642"/>
      <c r="M126" s="3481"/>
      <c r="N126" s="3482"/>
      <c r="P126" s="3481"/>
      <c r="Q126" s="3482"/>
      <c r="S126" s="3481"/>
      <c r="T126" s="3482"/>
      <c r="V126" s="2797"/>
      <c r="W126" s="3628"/>
      <c r="X126" s="3629"/>
      <c r="Y126" s="27"/>
      <c r="Z126" s="80"/>
      <c r="AA126" s="2811">
        <f>'DCA Underwriting Assumptions'!$J$109</f>
        <v>101</v>
      </c>
      <c r="AB126" s="2811">
        <f>'DCA Underwriting Assumptions'!$K$109</f>
        <v>130</v>
      </c>
      <c r="AC126" s="2812">
        <f>'DCA Underwriting Assumptions'!$Q$109</f>
        <v>18500</v>
      </c>
      <c r="AD126" s="2812">
        <f>(AB126-AB125)*AC126</f>
        <v>555000</v>
      </c>
      <c r="AE126" s="2812">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71"/>
      <c r="AG126" s="757"/>
      <c r="AI126" s="27"/>
      <c r="AZ126" s="1808"/>
      <c r="BA126" s="1773">
        <v>126</v>
      </c>
    </row>
    <row r="127" spans="1:53" s="289" customFormat="1" ht="12.6" customHeight="1" thickTop="1">
      <c r="A127" s="1392" t="str">
        <f>IF(G127&gt;E127,"DF over limit!  Round down/Enter nbr.","")</f>
        <v/>
      </c>
      <c r="B127" s="1391"/>
      <c r="D127" s="552" t="s">
        <v>4115</v>
      </c>
      <c r="E127" s="1393">
        <f>IF(E121="9%",AF122,IF(E121="4%",AF125,"Enter app type!"))</f>
        <v>1200000</v>
      </c>
      <c r="F127" s="338" t="s">
        <v>183</v>
      </c>
      <c r="G127" s="3666">
        <f>SUM(G122:G126)</f>
        <v>1200000</v>
      </c>
      <c r="H127" s="3711"/>
      <c r="J127" s="3666">
        <f>SUM(J122:J126)</f>
        <v>1200000</v>
      </c>
      <c r="K127" s="3711"/>
      <c r="L127" s="2642"/>
      <c r="M127" s="3666">
        <f>SUM(M122:M126)</f>
        <v>0</v>
      </c>
      <c r="N127" s="3711"/>
      <c r="P127" s="3666">
        <f>SUM(P122:P126)</f>
        <v>0</v>
      </c>
      <c r="Q127" s="3711"/>
      <c r="S127" s="3666">
        <f>SUM(S122:S126)</f>
        <v>0</v>
      </c>
      <c r="T127" s="3711"/>
      <c r="V127" s="2799">
        <f>SUM(V122:V126)</f>
        <v>0</v>
      </c>
      <c r="W127" s="3642"/>
      <c r="X127" s="3643"/>
      <c r="Y127" s="27"/>
      <c r="Z127" s="80"/>
      <c r="AA127" s="2813">
        <f>'DCA Underwriting Assumptions'!$J$110</f>
        <v>131</v>
      </c>
      <c r="AB127" s="2814"/>
      <c r="AC127" s="2815">
        <f>'DCA Underwriting Assumptions'!$Q$110</f>
        <v>14000</v>
      </c>
      <c r="AD127" s="2815">
        <f>AF131-AD126-AD125</f>
        <v>895000</v>
      </c>
      <c r="AE127" s="2815">
        <f>MIN(AD127,IF('Part VI-Revenues &amp; Expenses'!$P$67&gt;AB126,('Part VI-Revenues &amp; Expenses'!$P$67-AB126)*AC127,0))</f>
        <v>0</v>
      </c>
      <c r="AF127" s="3672"/>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7"/>
      <c r="Z128" s="1390"/>
      <c r="AB128" s="2817"/>
      <c r="AC128" s="27"/>
      <c r="AD128" s="27"/>
      <c r="AF128" s="27"/>
      <c r="AG128" s="27"/>
      <c r="AH128" s="27"/>
      <c r="AI128" s="27"/>
      <c r="AJ128" s="27"/>
      <c r="AK128" s="27"/>
      <c r="AZ128" s="1808" t="s">
        <v>6704</v>
      </c>
      <c r="BA128" s="1773">
        <v>128</v>
      </c>
    </row>
    <row r="129" spans="1:53" s="289" customFormat="1" ht="12.6" customHeight="1">
      <c r="B129" s="289" t="s">
        <v>240</v>
      </c>
      <c r="G129" s="3513">
        <v>36000</v>
      </c>
      <c r="H129" s="3514"/>
      <c r="J129" s="348"/>
      <c r="K129" s="348"/>
      <c r="L129" s="348"/>
      <c r="M129" s="348"/>
      <c r="N129" s="348"/>
      <c r="P129" s="348"/>
      <c r="Q129" s="348"/>
      <c r="S129" s="3513">
        <f>G129</f>
        <v>36000</v>
      </c>
      <c r="T129" s="3514"/>
      <c r="V129" s="2797"/>
      <c r="W129" s="3640"/>
      <c r="X129" s="3641"/>
      <c r="Y129" s="1371" t="s">
        <v>4109</v>
      </c>
      <c r="Z129" s="1390"/>
      <c r="AB129" s="2817"/>
      <c r="AC129" s="27"/>
      <c r="AD129" s="27"/>
      <c r="AF129" s="27"/>
      <c r="AG129" s="27"/>
      <c r="AH129" s="27"/>
      <c r="AI129" s="27"/>
      <c r="AJ129" s="27"/>
      <c r="AK129" s="27"/>
      <c r="AZ129" s="1808" t="s">
        <v>6705</v>
      </c>
      <c r="BA129" s="1773">
        <v>129</v>
      </c>
    </row>
    <row r="130" spans="1:53" s="289" customFormat="1" ht="12.6" customHeight="1">
      <c r="B130" s="289" t="s">
        <v>1474</v>
      </c>
      <c r="F130" s="438">
        <f>+'Part VI-Revenues &amp; Expenses'!$Q$225*('DCA Underwriting Assumptions'!$Q$127/12)</f>
        <v>47730.5</v>
      </c>
      <c r="G130" s="3524">
        <v>47731</v>
      </c>
      <c r="H130" s="3525"/>
      <c r="J130" s="864" t="str">
        <f>IF(E130&gt;G130,"WARNING! Rent-Up Reserves proposed is below minimum - add comment.","")</f>
        <v/>
      </c>
      <c r="K130" s="864"/>
      <c r="L130" s="2642"/>
      <c r="M130" s="838"/>
      <c r="N130" s="838"/>
      <c r="O130" s="2628"/>
      <c r="P130" s="838"/>
      <c r="Q130" s="838"/>
      <c r="R130" s="2628"/>
      <c r="S130" s="3524">
        <f>G130</f>
        <v>47731</v>
      </c>
      <c r="T130" s="3525"/>
      <c r="V130" s="2797"/>
      <c r="W130" s="3640"/>
      <c r="X130" s="3641"/>
      <c r="Y130" s="27"/>
      <c r="Z130" s="2818">
        <v>0.09</v>
      </c>
      <c r="AB130" s="1371"/>
      <c r="AD130" s="27"/>
      <c r="AF130" s="2819">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146823.51162784596</v>
      </c>
      <c r="G131" s="3524">
        <v>146824</v>
      </c>
      <c r="H131" s="3525"/>
      <c r="J131" s="864" t="str">
        <f>IF(E131&gt;G131,"WARNING! ODR proposed is below minimum - add comment.","")</f>
        <v/>
      </c>
      <c r="K131" s="347"/>
      <c r="L131" s="347"/>
      <c r="M131" s="347"/>
      <c r="N131" s="347"/>
      <c r="O131" s="2628"/>
      <c r="P131" s="347"/>
      <c r="Q131" s="347"/>
      <c r="R131" s="2628"/>
      <c r="S131" s="3524">
        <f>G131</f>
        <v>146824</v>
      </c>
      <c r="T131" s="3525"/>
      <c r="V131" s="2797"/>
      <c r="W131" s="3640"/>
      <c r="X131" s="3641"/>
      <c r="Y131" s="27"/>
      <c r="Z131" s="2818">
        <v>0.04</v>
      </c>
      <c r="AB131" s="1371"/>
      <c r="AD131" s="27"/>
      <c r="AF131" s="2819">
        <f>'DCA Underwriting Assumptions'!$Q$113</f>
        <v>3500000</v>
      </c>
      <c r="AG131" s="27"/>
      <c r="AH131" s="27"/>
      <c r="AI131" s="27"/>
      <c r="AZ131" s="1808"/>
      <c r="BA131" s="1773">
        <v>131</v>
      </c>
    </row>
    <row r="132" spans="1:53" s="289" customFormat="1" ht="12.6" customHeight="1">
      <c r="B132" s="289" t="s">
        <v>1198</v>
      </c>
      <c r="G132" s="3524"/>
      <c r="H132" s="3525"/>
      <c r="J132" s="348"/>
      <c r="K132" s="348"/>
      <c r="L132" s="348"/>
      <c r="M132" s="348"/>
      <c r="N132" s="348"/>
      <c r="P132" s="348"/>
      <c r="Q132" s="348"/>
      <c r="S132" s="3524"/>
      <c r="T132" s="3525"/>
      <c r="V132" s="2797"/>
      <c r="W132" s="3640"/>
      <c r="X132" s="3641"/>
      <c r="AZ132" s="1808" t="s">
        <v>6706</v>
      </c>
      <c r="BA132" s="1773">
        <v>132</v>
      </c>
    </row>
    <row r="133" spans="1:53" s="289" customFormat="1" ht="12.6" customHeight="1">
      <c r="B133" s="289" t="s">
        <v>1199</v>
      </c>
      <c r="E133" s="753" t="s">
        <v>3259</v>
      </c>
      <c r="F133" s="438">
        <f>IF('Part VI-Revenues &amp; Expenses'!$P$67=0,0,G133/'Part VI-Revenues &amp; Expenses'!$P$67)</f>
        <v>416.66666666666669</v>
      </c>
      <c r="G133" s="3524">
        <v>20000</v>
      </c>
      <c r="H133" s="3525"/>
      <c r="J133" s="3524">
        <v>20000</v>
      </c>
      <c r="K133" s="3525"/>
      <c r="L133" s="2642"/>
      <c r="M133" s="3513"/>
      <c r="N133" s="3514"/>
      <c r="P133" s="3513"/>
      <c r="Q133" s="3514"/>
      <c r="S133" s="3524"/>
      <c r="T133" s="3525"/>
      <c r="V133" s="2797"/>
      <c r="W133" s="3640"/>
      <c r="X133" s="3641"/>
      <c r="AZ133" s="1808" t="s">
        <v>6707</v>
      </c>
      <c r="BA133" s="1773">
        <v>133</v>
      </c>
    </row>
    <row r="134" spans="1:53" s="289" customFormat="1" ht="12.6" customHeight="1" thickBot="1">
      <c r="A134" s="363" t="str">
        <f>IF(AND(G134&gt;0,OR(C134="",C134="&lt;Enter detailed description here; use Comments section if needed&gt;")),"X","")</f>
        <v/>
      </c>
      <c r="B134" s="170" t="s">
        <v>6583</v>
      </c>
      <c r="C134" s="3676" t="s">
        <v>3344</v>
      </c>
      <c r="D134" s="3676"/>
      <c r="E134" s="3676"/>
      <c r="F134" s="3677"/>
      <c r="G134" s="3481"/>
      <c r="H134" s="3482"/>
      <c r="J134" s="3634"/>
      <c r="K134" s="3635"/>
      <c r="L134" s="2642"/>
      <c r="M134" s="3481"/>
      <c r="N134" s="3482"/>
      <c r="P134" s="3481"/>
      <c r="Q134" s="3482"/>
      <c r="S134" s="3481"/>
      <c r="T134" s="3482"/>
      <c r="U134" s="362" t="str">
        <f>IF(AND(G134&gt;0,OR(C134="",C134="&lt;Enter detailed description here; use Comments section if needed&gt;")),"NO DESCRIPTION PROVIDED - please enter detailed description in Other box at left; use Comments section below if needed.","")</f>
        <v/>
      </c>
      <c r="V134" s="2797"/>
      <c r="W134" s="3628"/>
      <c r="X134" s="3629"/>
      <c r="AZ134" s="1808"/>
      <c r="BA134" s="1773">
        <v>134</v>
      </c>
    </row>
    <row r="135" spans="1:53" s="289" customFormat="1" ht="12.6" customHeight="1" thickTop="1">
      <c r="B135" s="349"/>
      <c r="F135" s="338" t="s">
        <v>183</v>
      </c>
      <c r="G135" s="3666">
        <f>SUM(G129:G134)</f>
        <v>250555</v>
      </c>
      <c r="H135" s="3667"/>
      <c r="J135" s="3666">
        <f>SUM(J133:J134)</f>
        <v>20000</v>
      </c>
      <c r="K135" s="3667"/>
      <c r="L135" s="2642"/>
      <c r="M135" s="3666">
        <f>SUM(M133:M134)</f>
        <v>0</v>
      </c>
      <c r="N135" s="3667"/>
      <c r="P135" s="3666">
        <f>SUM(P133:P134)</f>
        <v>0</v>
      </c>
      <c r="Q135" s="3667"/>
      <c r="S135" s="3666">
        <f>SUM(S129:S134)</f>
        <v>230555</v>
      </c>
      <c r="T135" s="3667"/>
      <c r="V135" s="2799">
        <f>SUM(V129:V134)</f>
        <v>0</v>
      </c>
      <c r="W135" s="3642"/>
      <c r="X135" s="3643"/>
      <c r="AZ135" s="1808"/>
      <c r="BA135" s="1773">
        <v>135</v>
      </c>
    </row>
    <row r="136" spans="1:53" s="289" customFormat="1" ht="3" customHeight="1">
      <c r="I136" s="350"/>
      <c r="L136" s="350"/>
      <c r="V136" s="935"/>
      <c r="AZ136" s="1808"/>
      <c r="BA136" s="1808"/>
    </row>
    <row r="137" spans="1:53" s="289" customFormat="1" ht="3.6" customHeight="1">
      <c r="D137" s="2621"/>
      <c r="E137" s="2621"/>
      <c r="I137" s="345"/>
      <c r="J137" s="345"/>
      <c r="K137" s="351"/>
      <c r="L137" s="2619"/>
      <c r="P137" s="2628"/>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2638</v>
      </c>
      <c r="H139" s="2628"/>
      <c r="I139" s="2628"/>
      <c r="J139" s="3650" t="s">
        <v>260</v>
      </c>
      <c r="K139" s="3651"/>
      <c r="L139" s="337"/>
      <c r="M139" s="3654" t="s">
        <v>468</v>
      </c>
      <c r="N139" s="3655"/>
      <c r="P139" s="3650" t="s">
        <v>261</v>
      </c>
      <c r="Q139" s="3651"/>
      <c r="S139" s="3650" t="s">
        <v>262</v>
      </c>
      <c r="T139" s="3651"/>
      <c r="V139" s="411" t="str">
        <f>B139</f>
        <v>DEVELOPMENT BUDGET  (cont'd)</v>
      </c>
      <c r="AZ139" s="1808"/>
      <c r="BA139" s="1773">
        <v>102</v>
      </c>
    </row>
    <row r="140" spans="1:53" s="289" customFormat="1" ht="18" customHeight="1" thickBot="1">
      <c r="G140" s="3616" t="s">
        <v>94</v>
      </c>
      <c r="H140" s="3617"/>
      <c r="J140" s="3652"/>
      <c r="K140" s="3653"/>
      <c r="L140" s="337"/>
      <c r="M140" s="3656"/>
      <c r="N140" s="3657"/>
      <c r="P140" s="3652"/>
      <c r="Q140" s="3653"/>
      <c r="S140" s="3652"/>
      <c r="T140" s="3653"/>
      <c r="V140" s="325" t="s">
        <v>2538</v>
      </c>
      <c r="X140" s="325"/>
      <c r="AZ140" s="1808"/>
      <c r="BA140" s="1773">
        <v>103</v>
      </c>
    </row>
    <row r="141" spans="1:53" s="289" customFormat="1" ht="13.35" customHeight="1">
      <c r="B141" s="291" t="s">
        <v>581</v>
      </c>
      <c r="C141" s="2621"/>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1"/>
      <c r="G142" s="3513"/>
      <c r="H142" s="3514"/>
      <c r="J142" s="3513"/>
      <c r="K142" s="3514"/>
      <c r="L142" s="339"/>
      <c r="M142" s="3513"/>
      <c r="N142" s="3514"/>
      <c r="P142" s="3513"/>
      <c r="Q142" s="3514"/>
      <c r="S142" s="3513"/>
      <c r="T142" s="3514"/>
      <c r="V142" s="2797"/>
      <c r="W142" s="3640"/>
      <c r="X142" s="3641"/>
      <c r="AZ142" s="1808"/>
      <c r="BA142" s="1773">
        <v>137</v>
      </c>
    </row>
    <row r="143" spans="1:53" s="289" customFormat="1" ht="12.6" customHeight="1" thickBot="1">
      <c r="A143" s="363" t="str">
        <f>IF(AND(G143&gt;0,OR(C143="",C143="&lt;Enter detailed description here; use Comments section if needed&gt;")),"X","")</f>
        <v/>
      </c>
      <c r="B143" s="170" t="s">
        <v>6583</v>
      </c>
      <c r="C143" s="3676" t="s">
        <v>3344</v>
      </c>
      <c r="D143" s="3676"/>
      <c r="E143" s="3676"/>
      <c r="F143" s="3677"/>
      <c r="G143" s="3481"/>
      <c r="H143" s="3482"/>
      <c r="J143" s="3481"/>
      <c r="K143" s="3482"/>
      <c r="L143" s="2642"/>
      <c r="M143" s="3481"/>
      <c r="N143" s="3482"/>
      <c r="P143" s="3481"/>
      <c r="Q143" s="3482"/>
      <c r="S143" s="3481"/>
      <c r="T143" s="3482"/>
      <c r="U143" s="362" t="str">
        <f>IF(AND(G143&gt;0,OR(C143="",C143="&lt;Enter detailed description here; use Comments section if needed&gt;")),"NO DESCRIPTION PROVIDED - please enter detailed description in Other box at left; use Comments section below if needed.","")</f>
        <v/>
      </c>
      <c r="V143" s="2797"/>
      <c r="W143" s="3628"/>
      <c r="X143" s="3629"/>
      <c r="AZ143" s="1808"/>
      <c r="BA143" s="1773">
        <v>138</v>
      </c>
    </row>
    <row r="144" spans="1:53" s="289" customFormat="1" ht="12.6" customHeight="1" thickTop="1">
      <c r="C144" s="2621"/>
      <c r="F144" s="338" t="s">
        <v>183</v>
      </c>
      <c r="G144" s="3666">
        <f>SUM(G142:G143)</f>
        <v>0</v>
      </c>
      <c r="H144" s="3667"/>
      <c r="J144" s="3666">
        <f>SUM(J142:J143)</f>
        <v>0</v>
      </c>
      <c r="K144" s="3667"/>
      <c r="L144" s="2642"/>
      <c r="M144" s="3666">
        <f>SUM(M142:M143)</f>
        <v>0</v>
      </c>
      <c r="N144" s="3667"/>
      <c r="P144" s="3666">
        <f>SUM(P142:P143)</f>
        <v>0</v>
      </c>
      <c r="Q144" s="3667"/>
      <c r="S144" s="3666">
        <f>SUM(S142:S143)</f>
        <v>0</v>
      </c>
      <c r="T144" s="3667"/>
      <c r="V144" s="2799">
        <f>SUM(V142:V143)</f>
        <v>0</v>
      </c>
      <c r="W144" s="3642"/>
      <c r="X144" s="3643"/>
      <c r="AZ144" s="1808"/>
      <c r="BA144" s="1773">
        <v>139</v>
      </c>
    </row>
    <row r="145" spans="1:53" s="289" customFormat="1" ht="15" customHeight="1" thickBot="1">
      <c r="C145" s="2621"/>
      <c r="H145" s="345"/>
      <c r="I145" s="345"/>
      <c r="L145" s="2628"/>
      <c r="V145" s="935"/>
      <c r="W145" s="2820"/>
      <c r="X145" s="2821"/>
      <c r="AZ145" s="1808"/>
      <c r="BA145" s="1773">
        <v>140</v>
      </c>
    </row>
    <row r="146" spans="1:53" s="289" customFormat="1" ht="18.75" customHeight="1" thickBot="1">
      <c r="B146" s="1782" t="s">
        <v>6820</v>
      </c>
      <c r="E146" s="753"/>
      <c r="F146" s="1394"/>
      <c r="G146" s="3712">
        <f>G18+G24+G28+G36+G41+G46+G55+G73+G86+G92+G103+G114+G120+G127+G135+G144</f>
        <v>11756729</v>
      </c>
      <c r="H146" s="3713"/>
      <c r="J146" s="3712">
        <f>J18+J24+J28+J36+J41+J46+J55+J73+J86+J92+J103+J114+J120+J127+J135+J144</f>
        <v>10665738</v>
      </c>
      <c r="K146" s="3713"/>
      <c r="M146" s="3712">
        <f>M18+M24+M28+M36+M41+M46+M55+M73+M86+M92+M103+M114+M120+M127+M135+M144</f>
        <v>0</v>
      </c>
      <c r="N146" s="3713"/>
      <c r="P146" s="3712">
        <f>P18+P24+P28+P36+P41+P46+P55+P73+P86+P92+P103+P114+P120+P127+P135+P144</f>
        <v>0</v>
      </c>
      <c r="Q146" s="3713"/>
      <c r="S146" s="3712">
        <f>S18+S24+S28+S36+S41+S46+S55+S73+S86+S92+S103+S114+S120+S127+S135+S144</f>
        <v>1090991</v>
      </c>
      <c r="T146" s="3713"/>
      <c r="V146" s="2822">
        <f>V18+V24+V28+V36+V41+V46+V55+V73+V86+V92+V103+V114+V120+V127+V135+V144</f>
        <v>0</v>
      </c>
      <c r="W146" s="3714"/>
      <c r="X146" s="3643"/>
      <c r="AZ146" s="1808"/>
      <c r="BA146" s="1773">
        <v>141</v>
      </c>
    </row>
    <row r="147" spans="1:53" s="289" customFormat="1" ht="12" customHeight="1">
      <c r="C147" s="2621"/>
      <c r="H147" s="345"/>
      <c r="I147" s="345"/>
      <c r="L147" s="2628"/>
      <c r="V147" s="935"/>
      <c r="AZ147" s="1808"/>
      <c r="BA147" s="1773">
        <v>142</v>
      </c>
    </row>
    <row r="148" spans="1:53" s="289" customFormat="1" ht="14.1" customHeight="1">
      <c r="B148" s="472" t="s">
        <v>2595</v>
      </c>
      <c r="C148" s="470"/>
      <c r="D148" s="3719">
        <f>IF('Part VI-Revenues &amp; Expenses'!$P$67=0,0,G146/'Part VI-Revenues &amp; Expenses'!$P$67)</f>
        <v>244931.85416666666</v>
      </c>
      <c r="E148" s="3719"/>
      <c r="F148" s="471" t="s">
        <v>2594</v>
      </c>
      <c r="G148" s="3720">
        <f>IF('Part I-Project Information'!$P$70=0,0,G146/'Part I-Project Information'!$P$70)</f>
        <v>221.55753429820595</v>
      </c>
      <c r="H148" s="3721"/>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2"/>
      <c r="E150" s="2642"/>
      <c r="F150" s="2642"/>
      <c r="G150" s="2628"/>
      <c r="H150" s="2628"/>
      <c r="I150" s="352"/>
      <c r="J150" s="3650" t="s">
        <v>260</v>
      </c>
      <c r="K150" s="3651"/>
      <c r="M150" s="3650" t="s">
        <v>93</v>
      </c>
      <c r="N150" s="3651"/>
      <c r="P150" s="3650" t="s">
        <v>261</v>
      </c>
      <c r="Q150" s="3651"/>
      <c r="V150" s="935"/>
      <c r="W150" s="411" t="str">
        <f>B150</f>
        <v>TAX CREDIT CALCULATION - BASIS METHOD</v>
      </c>
      <c r="AZ150" s="1808"/>
      <c r="BA150" s="1808"/>
    </row>
    <row r="151" spans="1:53" s="289" customFormat="1" ht="15" customHeight="1" thickBot="1">
      <c r="B151" s="294" t="s">
        <v>1953</v>
      </c>
      <c r="D151" s="2642"/>
      <c r="E151" s="2642"/>
      <c r="I151" s="352"/>
      <c r="J151" s="3652"/>
      <c r="K151" s="3653"/>
      <c r="L151" s="772"/>
      <c r="M151" s="3652"/>
      <c r="N151" s="3653"/>
      <c r="P151" s="3652"/>
      <c r="Q151" s="3653"/>
      <c r="V151" s="935"/>
      <c r="W151" s="289" t="str">
        <f>B151</f>
        <v>Subtractions From Eligible Basis</v>
      </c>
      <c r="X151" s="325"/>
      <c r="AZ151" s="1808"/>
      <c r="BA151" s="1808"/>
    </row>
    <row r="152" spans="1:53" s="289" customFormat="1" ht="6" customHeight="1">
      <c r="D152" s="2621"/>
      <c r="E152" s="2621"/>
      <c r="I152" s="345"/>
      <c r="J152" s="345"/>
      <c r="K152" s="351"/>
      <c r="L152" s="2619"/>
      <c r="P152" s="2628"/>
      <c r="V152" s="935"/>
      <c r="AZ152" s="1808"/>
      <c r="BA152" s="1808"/>
    </row>
    <row r="153" spans="1:53" s="289" customFormat="1" ht="14.1" customHeight="1">
      <c r="B153" s="2621" t="s">
        <v>137</v>
      </c>
      <c r="D153" s="2628"/>
      <c r="E153" s="2628"/>
      <c r="F153" s="2628"/>
      <c r="G153" s="2628"/>
      <c r="H153" s="2628"/>
      <c r="I153" s="352"/>
      <c r="J153" s="3722"/>
      <c r="K153" s="3723"/>
      <c r="P153" s="3722"/>
      <c r="Q153" s="3723"/>
      <c r="V153" s="2797"/>
      <c r="W153" s="3640"/>
      <c r="X153" s="3641"/>
      <c r="AZ153" s="1808"/>
      <c r="BA153" s="1808"/>
    </row>
    <row r="154" spans="1:53" s="289" customFormat="1" ht="14.1" customHeight="1">
      <c r="B154" s="2628" t="s">
        <v>2059</v>
      </c>
      <c r="D154" s="2628"/>
      <c r="E154" s="2628"/>
      <c r="F154" s="2628"/>
      <c r="G154" s="2628"/>
      <c r="H154" s="2628"/>
      <c r="I154" s="352"/>
      <c r="J154" s="3715"/>
      <c r="K154" s="3716"/>
      <c r="P154" s="3715"/>
      <c r="Q154" s="3716"/>
      <c r="V154" s="2797"/>
      <c r="W154" s="3640"/>
      <c r="X154" s="3641"/>
      <c r="AZ154" s="1808"/>
      <c r="BA154" s="1808"/>
    </row>
    <row r="155" spans="1:53" s="289" customFormat="1" ht="14.1" customHeight="1">
      <c r="B155" s="2628" t="s">
        <v>1778</v>
      </c>
      <c r="D155" s="2628"/>
      <c r="E155" s="2628"/>
      <c r="I155" s="352"/>
      <c r="J155" s="3715"/>
      <c r="K155" s="3716"/>
      <c r="P155" s="3715"/>
      <c r="Q155" s="3716"/>
      <c r="V155" s="2797"/>
      <c r="W155" s="3640"/>
      <c r="X155" s="3641"/>
      <c r="AZ155" s="1808"/>
      <c r="BA155" s="1808"/>
    </row>
    <row r="156" spans="1:53" s="289" customFormat="1" ht="14.1" customHeight="1">
      <c r="B156" s="2628" t="s">
        <v>1779</v>
      </c>
      <c r="D156" s="2628"/>
      <c r="E156" s="2628"/>
      <c r="I156" s="352"/>
      <c r="J156" s="3715"/>
      <c r="K156" s="3716"/>
      <c r="P156" s="3715"/>
      <c r="Q156" s="3716"/>
      <c r="V156" s="2797"/>
      <c r="W156" s="3640"/>
      <c r="X156" s="3641"/>
      <c r="AZ156" s="1808"/>
      <c r="BA156" s="1808"/>
    </row>
    <row r="157" spans="1:53" s="289" customFormat="1" ht="14.1" customHeight="1">
      <c r="B157" s="2628" t="s">
        <v>243</v>
      </c>
      <c r="D157" s="2628"/>
      <c r="E157" s="2628"/>
      <c r="I157" s="352"/>
      <c r="J157" s="3715"/>
      <c r="K157" s="3716"/>
      <c r="P157" s="3715"/>
      <c r="Q157" s="3716"/>
      <c r="V157" s="2797"/>
      <c r="W157" s="3640"/>
      <c r="X157" s="3641"/>
      <c r="AZ157" s="1808"/>
      <c r="BA157" s="1808"/>
    </row>
    <row r="158" spans="1:53" s="289" customFormat="1" ht="14.1" customHeight="1" thickBot="1">
      <c r="B158" s="2628" t="s">
        <v>1535</v>
      </c>
      <c r="C158" s="3717" t="s">
        <v>2306</v>
      </c>
      <c r="D158" s="3717"/>
      <c r="E158" s="3717"/>
      <c r="F158" s="3717"/>
      <c r="G158" s="3717"/>
      <c r="H158" s="3717"/>
      <c r="I158" s="3718"/>
      <c r="J158" s="3660"/>
      <c r="K158" s="3661"/>
      <c r="P158" s="3660"/>
      <c r="Q158" s="3661"/>
      <c r="V158" s="2797"/>
      <c r="W158" s="3628"/>
      <c r="X158" s="3629"/>
      <c r="AZ158" s="1808"/>
      <c r="BA158" s="1808"/>
    </row>
    <row r="159" spans="1:53" s="289" customFormat="1" ht="14.1" customHeight="1" thickBot="1">
      <c r="B159" s="299" t="s">
        <v>1780</v>
      </c>
      <c r="C159" s="302"/>
      <c r="J159" s="3598">
        <f>SUM(J153:K158)</f>
        <v>0</v>
      </c>
      <c r="K159" s="3599"/>
      <c r="P159" s="3598">
        <f>SUM(P153:Q158)</f>
        <v>0</v>
      </c>
      <c r="Q159" s="3599"/>
      <c r="V159" s="2799">
        <f>SUM(V153:V158)</f>
        <v>0</v>
      </c>
      <c r="W159" s="3642"/>
      <c r="X159" s="3643"/>
      <c r="AZ159" s="1808"/>
      <c r="BA159" s="1808"/>
    </row>
    <row r="160" spans="1:53" s="289" customFormat="1" ht="3" customHeight="1">
      <c r="V160" s="935"/>
      <c r="AZ160" s="1808"/>
      <c r="BA160" s="1808"/>
    </row>
    <row r="161" spans="1:53" s="289" customFormat="1" ht="15" customHeight="1" thickBot="1">
      <c r="B161" s="291" t="s">
        <v>2237</v>
      </c>
      <c r="V161" s="935"/>
      <c r="W161" s="289" t="str">
        <f>B161</f>
        <v>Eligible Basis Calculation</v>
      </c>
      <c r="AZ161" s="1808"/>
      <c r="BA161" s="1808"/>
    </row>
    <row r="162" spans="1:53" s="289" customFormat="1" ht="14.1" customHeight="1">
      <c r="B162" s="289" t="s">
        <v>1710</v>
      </c>
      <c r="J162" s="3662">
        <f>J146</f>
        <v>10665738</v>
      </c>
      <c r="K162" s="3663"/>
      <c r="M162" s="3664">
        <f>M146</f>
        <v>0</v>
      </c>
      <c r="N162" s="3665"/>
      <c r="P162" s="3662">
        <f>P146</f>
        <v>0</v>
      </c>
      <c r="Q162" s="3663"/>
      <c r="R162" s="3763" t="s">
        <v>3933</v>
      </c>
      <c r="S162" s="3764"/>
      <c r="T162" s="3764"/>
      <c r="V162" s="2797"/>
      <c r="W162" s="3640"/>
      <c r="X162" s="3641"/>
      <c r="AZ162" s="1808"/>
      <c r="BA162" s="1808"/>
    </row>
    <row r="163" spans="1:53" s="289" customFormat="1" ht="14.1" customHeight="1">
      <c r="B163" s="289" t="s">
        <v>2120</v>
      </c>
      <c r="J163" s="3636">
        <f>J159</f>
        <v>0</v>
      </c>
      <c r="K163" s="3637"/>
      <c r="M163" s="3647"/>
      <c r="N163" s="3647"/>
      <c r="P163" s="3636">
        <f>P159</f>
        <v>0</v>
      </c>
      <c r="Q163" s="3637"/>
      <c r="R163" s="3763"/>
      <c r="S163" s="3764"/>
      <c r="T163" s="3764"/>
      <c r="U163" s="1249"/>
      <c r="V163" s="2797"/>
      <c r="W163" s="3640"/>
      <c r="X163" s="3641"/>
      <c r="AZ163" s="1808"/>
      <c r="BA163" s="1808"/>
    </row>
    <row r="164" spans="1:53" s="289" customFormat="1" ht="14.1" customHeight="1">
      <c r="B164" s="289" t="s">
        <v>2121</v>
      </c>
      <c r="J164" s="3636">
        <f>J162-J163</f>
        <v>10665738</v>
      </c>
      <c r="K164" s="3637"/>
      <c r="M164" s="3636">
        <f>M162</f>
        <v>0</v>
      </c>
      <c r="N164" s="3637"/>
      <c r="P164" s="3636">
        <f>P162-P163</f>
        <v>0</v>
      </c>
      <c r="Q164" s="3637"/>
      <c r="R164" s="3763"/>
      <c r="S164" s="3764"/>
      <c r="T164" s="3764"/>
      <c r="U164" s="1249"/>
      <c r="V164" s="2797"/>
      <c r="W164" s="3640"/>
      <c r="X164" s="3641"/>
      <c r="AZ164" s="1808"/>
      <c r="BA164" s="1808"/>
    </row>
    <row r="165" spans="1:53" s="289" customFormat="1" ht="14.1" customHeight="1">
      <c r="B165" s="289" t="s">
        <v>1426</v>
      </c>
      <c r="G165" s="2636" t="s">
        <v>1637</v>
      </c>
      <c r="H165" s="3144" t="s">
        <v>6974</v>
      </c>
      <c r="I165" s="3145"/>
      <c r="J165" s="3638">
        <v>1.3</v>
      </c>
      <c r="K165" s="3639"/>
      <c r="M165" s="3724"/>
      <c r="N165" s="3724"/>
      <c r="P165" s="3638"/>
      <c r="Q165" s="3639"/>
      <c r="R165" s="3765" t="s">
        <v>6897</v>
      </c>
      <c r="S165" s="3766"/>
      <c r="T165" s="3767"/>
      <c r="U165" s="1250"/>
      <c r="V165" s="2797"/>
      <c r="W165" s="3640"/>
      <c r="X165" s="3641"/>
      <c r="AZ165" s="1808"/>
      <c r="BA165" s="1808"/>
    </row>
    <row r="166" spans="1:53" s="289" customFormat="1" ht="14.1" customHeight="1">
      <c r="B166" s="289" t="s">
        <v>1963</v>
      </c>
      <c r="J166" s="3636">
        <f>J164*J165</f>
        <v>13865459.4</v>
      </c>
      <c r="K166" s="3637"/>
      <c r="M166" s="3636">
        <f>+M164</f>
        <v>0</v>
      </c>
      <c r="N166" s="3637"/>
      <c r="P166" s="3636">
        <f>P164*P165</f>
        <v>0</v>
      </c>
      <c r="Q166" s="3637"/>
      <c r="R166" s="3768"/>
      <c r="S166" s="3769"/>
      <c r="T166" s="3770"/>
      <c r="U166" s="1250"/>
      <c r="V166" s="2797"/>
      <c r="W166" s="3640"/>
      <c r="X166" s="3641"/>
      <c r="AZ166" s="1808"/>
      <c r="BA166" s="1808"/>
    </row>
    <row r="167" spans="1:53" s="289" customFormat="1" ht="14.1" customHeight="1">
      <c r="B167" s="289" t="s">
        <v>2424</v>
      </c>
      <c r="J167" s="3725">
        <f>MIN('Part VI-Revenues &amp; Expenses'!$P$63/'Part VI-Revenues &amp; Expenses'!$P$65,'Part VI-Revenues &amp; Expenses'!$P$164/'Part VI-Revenues &amp; Expenses'!$P$166)</f>
        <v>1</v>
      </c>
      <c r="K167" s="3726"/>
      <c r="M167" s="3725">
        <f>MIN('Part VI-Revenues &amp; Expenses'!$P$63/'Part VI-Revenues &amp; Expenses'!$P$65,'Part VI-Revenues &amp; Expenses'!$P$164/'Part VI-Revenues &amp; Expenses'!$P$166)</f>
        <v>1</v>
      </c>
      <c r="N167" s="3726"/>
      <c r="P167" s="3725">
        <f>MIN('Part VI-Revenues &amp; Expenses'!$P$63/'Part VI-Revenues &amp; Expenses'!$P$65,'Part VI-Revenues &amp; Expenses'!$P$164/'Part VI-Revenues &amp; Expenses'!$P$166)</f>
        <v>1</v>
      </c>
      <c r="Q167" s="3726"/>
      <c r="R167" s="3771"/>
      <c r="S167" s="3772"/>
      <c r="T167" s="3773"/>
      <c r="V167" s="2797"/>
      <c r="W167" s="3640"/>
      <c r="X167" s="3641"/>
      <c r="AZ167" s="1808"/>
      <c r="BA167" s="1808"/>
    </row>
    <row r="168" spans="1:53" s="289" customFormat="1" ht="14.1" customHeight="1">
      <c r="B168" s="289" t="s">
        <v>1954</v>
      </c>
      <c r="J168" s="3636">
        <f>J166*J167</f>
        <v>13865459.4</v>
      </c>
      <c r="K168" s="3637"/>
      <c r="M168" s="3636">
        <f>M166*M167</f>
        <v>0</v>
      </c>
      <c r="N168" s="3637"/>
      <c r="P168" s="3636">
        <f>P166*P167</f>
        <v>0</v>
      </c>
      <c r="Q168" s="3637"/>
      <c r="V168" s="2797"/>
      <c r="W168" s="3640"/>
      <c r="X168" s="3641"/>
      <c r="AZ168" s="1808"/>
      <c r="BA168" s="1808"/>
    </row>
    <row r="169" spans="1:53" s="289" customFormat="1" ht="14.1" customHeight="1">
      <c r="B169" s="289" t="s">
        <v>1955</v>
      </c>
      <c r="J169" s="3638">
        <v>0.09</v>
      </c>
      <c r="K169" s="3639"/>
      <c r="M169" s="3638"/>
      <c r="N169" s="3639"/>
      <c r="P169" s="3638"/>
      <c r="Q169" s="3639"/>
      <c r="V169" s="2797"/>
      <c r="W169" s="3640"/>
      <c r="X169" s="3641"/>
      <c r="AZ169" s="1808"/>
      <c r="BA169" s="1808"/>
    </row>
    <row r="170" spans="1:53" s="289" customFormat="1" ht="14.1" customHeight="1" thickBot="1">
      <c r="B170" s="289" t="s">
        <v>2425</v>
      </c>
      <c r="J170" s="3727">
        <f>J168*J169</f>
        <v>1247891.3459999999</v>
      </c>
      <c r="K170" s="3728"/>
      <c r="M170" s="3727">
        <f>M168*M169</f>
        <v>0</v>
      </c>
      <c r="N170" s="3728"/>
      <c r="P170" s="3727">
        <f>P168*P169</f>
        <v>0</v>
      </c>
      <c r="Q170" s="3728"/>
      <c r="V170" s="2823"/>
      <c r="W170" s="3628"/>
      <c r="X170" s="3629"/>
      <c r="AZ170" s="1808"/>
      <c r="BA170" s="1808"/>
    </row>
    <row r="171" spans="1:53" s="289" customFormat="1" ht="14.1" customHeight="1" thickBot="1">
      <c r="B171" s="291" t="s">
        <v>1373</v>
      </c>
      <c r="J171" s="3598">
        <f>ROUNDDOWN(J170+M170+P170,0)</f>
        <v>1247891</v>
      </c>
      <c r="K171" s="3646"/>
      <c r="L171" s="3646"/>
      <c r="M171" s="3646"/>
      <c r="N171" s="3646"/>
      <c r="O171" s="3646"/>
      <c r="P171" s="3646"/>
      <c r="Q171" s="3599"/>
      <c r="V171" s="2799"/>
      <c r="W171" s="3757"/>
      <c r="X171" s="3758"/>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8"/>
      <c r="M173" s="450"/>
      <c r="N173" s="2628"/>
      <c r="O173" s="2628"/>
      <c r="P173" s="2628"/>
      <c r="Q173" s="2628"/>
      <c r="R173" s="2628"/>
      <c r="S173" s="2628"/>
      <c r="T173" s="2628"/>
      <c r="V173" s="935"/>
      <c r="AZ173" s="1808"/>
      <c r="BA173" s="1808"/>
    </row>
    <row r="174" spans="1:53" s="166" customFormat="1" ht="3" customHeight="1">
      <c r="H174" s="2824"/>
      <c r="I174" s="2824"/>
      <c r="M174" s="509"/>
      <c r="O174" s="3630"/>
      <c r="P174" s="3630"/>
      <c r="Q174" s="3630"/>
      <c r="R174" s="3630"/>
      <c r="S174" s="3630"/>
      <c r="T174" s="3630"/>
      <c r="U174" s="3630"/>
      <c r="V174" s="3630"/>
      <c r="AZ174" s="1808"/>
      <c r="BA174" s="1808"/>
    </row>
    <row r="175" spans="1:53" s="166" customFormat="1" ht="14.1" customHeight="1">
      <c r="B175" s="2800" t="s">
        <v>4130</v>
      </c>
      <c r="H175" s="2824"/>
      <c r="I175" s="2824"/>
      <c r="M175" s="509"/>
      <c r="O175" s="2825"/>
      <c r="P175" s="2825"/>
      <c r="Q175" s="2825"/>
      <c r="R175" s="2825"/>
      <c r="S175" s="2825"/>
      <c r="T175" s="2825"/>
      <c r="U175" s="2825"/>
      <c r="V175" s="2825"/>
      <c r="AZ175" s="1808"/>
      <c r="BA175" s="1808"/>
    </row>
    <row r="176" spans="1:53" s="166" customFormat="1" ht="15" customHeight="1">
      <c r="B176" s="166" t="s">
        <v>4132</v>
      </c>
      <c r="J176" s="3631">
        <f>G146</f>
        <v>11756729</v>
      </c>
      <c r="K176" s="3632"/>
      <c r="L176" s="3633"/>
      <c r="V176" s="2826"/>
      <c r="W176" s="2827"/>
      <c r="AZ176" s="1808"/>
      <c r="BA176" s="1808"/>
    </row>
    <row r="177" spans="1:53" s="166" customFormat="1" ht="13.5" customHeight="1">
      <c r="B177" s="166" t="s">
        <v>4134</v>
      </c>
      <c r="J177" s="3631">
        <f>'Part IV-A-Uses of Funds'!$G$92+'Part IV-A-Uses of Funds'!$G$114+SUM('Part IV-A-Uses of Funds'!$G$130:$H$132)</f>
        <v>692545</v>
      </c>
      <c r="K177" s="3632"/>
      <c r="L177" s="3633"/>
      <c r="V177" s="2826"/>
      <c r="W177" s="2827"/>
      <c r="AZ177" s="1808"/>
      <c r="BA177" s="1808"/>
    </row>
    <row r="178" spans="1:53" s="166" customFormat="1" ht="13.5" customHeight="1">
      <c r="B178" s="2730" t="s">
        <v>4133</v>
      </c>
      <c r="J178" s="3631">
        <f>J176-J177</f>
        <v>11064184</v>
      </c>
      <c r="K178" s="3632"/>
      <c r="L178" s="3633"/>
      <c r="M178" s="3761" t="str">
        <f>IF(J178&lt;=J179, "","Exceeds Project Cost Limit!   Needs Cost Limit waiver.")</f>
        <v/>
      </c>
      <c r="N178" s="3761"/>
      <c r="O178" s="3761"/>
      <c r="P178" s="3761"/>
      <c r="Q178" s="3761"/>
      <c r="R178" s="3761"/>
      <c r="S178" s="3761"/>
      <c r="T178" s="3761"/>
      <c r="V178" s="2826"/>
      <c r="W178" s="2827"/>
      <c r="AZ178" s="1808"/>
      <c r="BA178" s="1808"/>
    </row>
    <row r="179" spans="1:53" s="166" customFormat="1" ht="13.5" customHeight="1">
      <c r="B179" s="2828" t="s">
        <v>2598</v>
      </c>
      <c r="C179" s="2730"/>
      <c r="D179" s="2730"/>
      <c r="J179" s="3631">
        <f>'Part VIII-Threshold Criteria'!$P$63</f>
        <v>11064207</v>
      </c>
      <c r="K179" s="3632"/>
      <c r="L179" s="3633"/>
      <c r="V179" s="2826"/>
      <c r="W179" s="2827"/>
      <c r="AZ179" s="1808"/>
      <c r="BA179" s="1808"/>
    </row>
    <row r="180" spans="1:53" s="166" customFormat="1" ht="3" customHeight="1">
      <c r="B180" s="2828"/>
      <c r="C180" s="2730"/>
      <c r="D180" s="2730"/>
      <c r="J180" s="2829"/>
      <c r="K180" s="2829"/>
      <c r="L180" s="2829"/>
      <c r="V180" s="2826"/>
      <c r="W180" s="2827"/>
      <c r="AZ180" s="1808"/>
      <c r="BA180" s="1808"/>
    </row>
    <row r="181" spans="1:53" s="289" customFormat="1" ht="15" customHeight="1" thickBot="1">
      <c r="B181" s="291" t="s">
        <v>166</v>
      </c>
      <c r="O181" s="2628"/>
      <c r="P181" s="2628"/>
      <c r="Q181" s="2628"/>
      <c r="R181" s="2628"/>
      <c r="S181" s="2628"/>
      <c r="T181" s="2628"/>
      <c r="V181" s="935"/>
      <c r="W181" s="411" t="str">
        <f>B173</f>
        <v>TAX CREDIT CALCULATION - GAP METHOD</v>
      </c>
      <c r="AZ181" s="1808"/>
      <c r="BA181" s="1808"/>
    </row>
    <row r="182" spans="1:53" s="289" customFormat="1" ht="15" customHeight="1">
      <c r="B182" s="166" t="s">
        <v>4135</v>
      </c>
      <c r="J182" s="3741">
        <f>MIN(J176,J179+J177)</f>
        <v>11756729</v>
      </c>
      <c r="K182" s="3742"/>
      <c r="L182" s="3743"/>
      <c r="M182" s="3737" t="s">
        <v>4146</v>
      </c>
      <c r="N182" s="3754"/>
      <c r="O182" s="3754"/>
      <c r="P182" s="3754"/>
      <c r="Q182" s="3754"/>
      <c r="R182" s="3738"/>
      <c r="S182" s="3737" t="s">
        <v>3315</v>
      </c>
      <c r="T182" s="3738"/>
      <c r="V182" s="2797"/>
      <c r="W182" s="3640"/>
      <c r="X182" s="3641"/>
      <c r="AZ182" s="1808"/>
      <c r="BA182" s="1808"/>
    </row>
    <row r="183" spans="1:53" s="289" customFormat="1" ht="14.1" customHeight="1">
      <c r="B183" s="289" t="s">
        <v>252</v>
      </c>
      <c r="J183" s="3636">
        <f>'Part III-Sources of Funds'!$I$60-'Part III-Sources of Funds'!$I$44-'Part III-Sources of Funds'!$I$45-'Part III-Sources of Funds'!$I$51-'Part III-Sources of Funds'!$I$52</f>
        <v>797864</v>
      </c>
      <c r="K183" s="3647"/>
      <c r="L183" s="3744"/>
      <c r="M183" s="3739"/>
      <c r="N183" s="3755"/>
      <c r="O183" s="3755"/>
      <c r="P183" s="3755"/>
      <c r="Q183" s="3755"/>
      <c r="R183" s="3740"/>
      <c r="S183" s="3739"/>
      <c r="T183" s="3740"/>
      <c r="V183" s="2797"/>
      <c r="W183" s="3640"/>
      <c r="X183" s="3641"/>
      <c r="AZ183" s="1808"/>
      <c r="BA183" s="1808"/>
    </row>
    <row r="184" spans="1:53" s="289" customFormat="1" ht="14.1" customHeight="1">
      <c r="B184" s="289" t="s">
        <v>2132</v>
      </c>
      <c r="J184" s="3636">
        <f>+J182-J183</f>
        <v>10958865</v>
      </c>
      <c r="K184" s="3647"/>
      <c r="L184" s="3744"/>
      <c r="M184" s="3739"/>
      <c r="N184" s="3755"/>
      <c r="O184" s="3755"/>
      <c r="P184" s="3755"/>
      <c r="Q184" s="3755"/>
      <c r="R184" s="3740"/>
      <c r="S184" s="3739"/>
      <c r="T184" s="3740"/>
      <c r="V184" s="2797"/>
      <c r="W184" s="3640"/>
      <c r="X184" s="3641"/>
      <c r="AZ184" s="1808"/>
      <c r="BA184" s="1808"/>
    </row>
    <row r="185" spans="1:53" s="289" customFormat="1" ht="14.1" customHeight="1" thickBot="1">
      <c r="B185" s="289" t="s">
        <v>1238</v>
      </c>
      <c r="J185" s="3749" t="str">
        <f>"/ 10"</f>
        <v>/ 10</v>
      </c>
      <c r="K185" s="3749"/>
      <c r="L185" s="3749"/>
      <c r="M185" s="3745" t="s">
        <v>2582</v>
      </c>
      <c r="N185" s="3746"/>
      <c r="O185" s="3747">
        <f>'Part III-Sources of Funds'!$I$44</f>
        <v>0</v>
      </c>
      <c r="P185" s="3747"/>
      <c r="Q185" s="3747"/>
      <c r="R185" s="3748"/>
      <c r="S185" s="398" t="s">
        <v>1589</v>
      </c>
      <c r="T185" s="2830"/>
      <c r="V185" s="2797"/>
      <c r="W185" s="3640"/>
      <c r="X185" s="3641"/>
      <c r="AZ185" s="1808"/>
      <c r="BA185" s="1808"/>
    </row>
    <row r="186" spans="1:53" s="289" customFormat="1" ht="14.1" customHeight="1">
      <c r="B186" s="289" t="s">
        <v>1239</v>
      </c>
      <c r="J186" s="3636">
        <f>J184/10</f>
        <v>1095886.5</v>
      </c>
      <c r="K186" s="3647"/>
      <c r="L186" s="3637"/>
      <c r="M186" s="2628"/>
      <c r="N186" s="448"/>
      <c r="O186" s="448"/>
      <c r="P186" s="448"/>
      <c r="Q186" s="448"/>
      <c r="R186" s="448"/>
      <c r="V186" s="935"/>
      <c r="W186" s="3640"/>
      <c r="X186" s="3641"/>
      <c r="AZ186" s="1808"/>
      <c r="BA186" s="1808"/>
    </row>
    <row r="187" spans="1:53" s="289" customFormat="1" ht="14.1" customHeight="1">
      <c r="M187" s="307"/>
      <c r="N187" s="3202" t="s">
        <v>1240</v>
      </c>
      <c r="O187" s="3202"/>
      <c r="Q187" s="3202" t="s">
        <v>1717</v>
      </c>
      <c r="R187" s="3202"/>
      <c r="V187" s="2797"/>
      <c r="W187" s="3640"/>
      <c r="X187" s="3641"/>
      <c r="AZ187" s="1808"/>
      <c r="BA187" s="1808"/>
    </row>
    <row r="188" spans="1:53" s="289" customFormat="1" ht="14.1" customHeight="1" thickBot="1">
      <c r="B188" s="289" t="s">
        <v>1425</v>
      </c>
      <c r="J188" s="3729">
        <f>N188+Q188</f>
        <v>1.2173</v>
      </c>
      <c r="K188" s="3730"/>
      <c r="L188" s="3731"/>
      <c r="M188" s="2636" t="s">
        <v>1241</v>
      </c>
      <c r="N188" s="3732">
        <v>0.8</v>
      </c>
      <c r="O188" s="3733"/>
      <c r="P188" s="2636" t="s">
        <v>583</v>
      </c>
      <c r="Q188" s="3732">
        <v>0.4173</v>
      </c>
      <c r="R188" s="3733"/>
      <c r="V188" s="2797"/>
      <c r="W188" s="3640"/>
      <c r="X188" s="3641"/>
      <c r="AZ188" s="1808"/>
      <c r="BA188" s="1808"/>
    </row>
    <row r="189" spans="1:53" s="289" customFormat="1" ht="14.1" customHeight="1" thickBot="1">
      <c r="B189" s="291" t="s">
        <v>1374</v>
      </c>
      <c r="J189" s="3598">
        <f>ROUNDDOWN(IF(J188=0,"",J186/J188),0)</f>
        <v>900260</v>
      </c>
      <c r="K189" s="3646"/>
      <c r="L189" s="3599"/>
      <c r="M189" s="307"/>
      <c r="N189" s="2628"/>
      <c r="O189" s="2628"/>
      <c r="V189" s="2797"/>
      <c r="W189" s="3640"/>
      <c r="X189" s="3641"/>
      <c r="AZ189" s="1808"/>
      <c r="BA189" s="1808"/>
    </row>
    <row r="190" spans="1:53" s="289" customFormat="1" ht="6" customHeight="1">
      <c r="J190" s="355"/>
      <c r="K190" s="355"/>
      <c r="L190" s="355"/>
      <c r="M190" s="307"/>
      <c r="N190" s="2630"/>
      <c r="O190" s="2630"/>
      <c r="V190" s="935"/>
      <c r="W190" s="2831"/>
      <c r="X190" s="2831"/>
      <c r="AZ190" s="1808"/>
      <c r="BA190" s="1808"/>
    </row>
    <row r="191" spans="1:53" s="289" customFormat="1" ht="14.1" customHeight="1">
      <c r="A191" s="411" t="s">
        <v>1711</v>
      </c>
      <c r="B191" s="411" t="s">
        <v>4131</v>
      </c>
      <c r="H191" s="345"/>
      <c r="I191" s="345"/>
      <c r="L191" s="2628"/>
      <c r="M191" s="450"/>
      <c r="N191" s="2628"/>
      <c r="O191" s="2628"/>
      <c r="P191" s="2628"/>
      <c r="Q191" s="1728" t="s">
        <v>6542</v>
      </c>
      <c r="R191" s="170"/>
      <c r="S191" s="3624" t="str">
        <f>'Part I-Project Information'!$H$105</f>
        <v>Rural</v>
      </c>
      <c r="T191" s="3625"/>
      <c r="V191" s="935"/>
      <c r="AZ191" s="1808"/>
      <c r="BA191" s="1808"/>
    </row>
    <row r="192" spans="1:53" s="166" customFormat="1" ht="3" customHeight="1">
      <c r="H192" s="2824"/>
      <c r="I192" s="2824"/>
      <c r="M192" s="509"/>
      <c r="O192" s="2832"/>
      <c r="P192" s="2832"/>
      <c r="Q192" s="2581"/>
      <c r="R192" s="2581"/>
      <c r="S192" s="2833"/>
      <c r="T192" s="2833"/>
      <c r="U192" s="2832"/>
      <c r="V192" s="2832"/>
      <c r="AZ192" s="1809"/>
      <c r="BA192" s="1808"/>
    </row>
    <row r="193" spans="1:53" s="289" customFormat="1" ht="16.350000000000001" customHeight="1">
      <c r="B193" s="291" t="s">
        <v>6544</v>
      </c>
      <c r="J193" s="3734">
        <v>900260</v>
      </c>
      <c r="K193" s="3735"/>
      <c r="L193" s="3736"/>
      <c r="M193" s="307"/>
      <c r="Q193" s="279" t="s">
        <v>367</v>
      </c>
      <c r="R193" s="465"/>
      <c r="S193" s="3622" t="str">
        <f>'Part IX Scoring Criteria'!$M$43</f>
        <v>New Supply</v>
      </c>
      <c r="T193" s="3623"/>
      <c r="U193" s="1704" t="str">
        <f>IF(OR(S191="Atlanta Metro", "Other Metro"), "Metro", IF(S191="Rural","Rural",""))</f>
        <v>Rural</v>
      </c>
      <c r="V193" s="2797"/>
      <c r="W193" s="3640"/>
      <c r="X193" s="3641"/>
      <c r="AZ193" s="1809"/>
      <c r="BA193" s="1808"/>
    </row>
    <row r="194" spans="1:53" s="289" customFormat="1" ht="3" customHeight="1">
      <c r="J194" s="355"/>
      <c r="K194" s="355"/>
      <c r="L194" s="355"/>
      <c r="M194" s="307"/>
      <c r="N194" s="2630"/>
      <c r="O194" s="2630"/>
      <c r="Q194" s="170"/>
      <c r="R194" s="170"/>
      <c r="S194" s="2645"/>
      <c r="T194" s="2645"/>
      <c r="V194" s="935"/>
      <c r="W194" s="2820"/>
      <c r="X194" s="2821"/>
      <c r="AZ194" s="1809"/>
      <c r="BA194" s="1808"/>
    </row>
    <row r="195" spans="1:53" s="289" customFormat="1" ht="16.350000000000001" customHeight="1">
      <c r="B195" s="291" t="s">
        <v>4284</v>
      </c>
      <c r="J195" s="3734">
        <v>900000</v>
      </c>
      <c r="K195" s="3735"/>
      <c r="L195" s="3736"/>
      <c r="M195" s="3621" t="str">
        <f>IF(J193=0,"",IF(J195&gt;J193,"Request can't exceed Maximum - REVISE (Try Round Down)!",""))</f>
        <v/>
      </c>
      <c r="N195" s="3621"/>
      <c r="O195" s="3621"/>
      <c r="P195" s="3621"/>
      <c r="Q195" s="279" t="s">
        <v>4119</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7"/>
      <c r="W195" s="3640"/>
      <c r="X195" s="3641"/>
      <c r="AZ195" s="1809"/>
      <c r="BA195" s="1808"/>
    </row>
    <row r="196" spans="1:53" s="289" customFormat="1" ht="3" customHeight="1">
      <c r="J196" s="355"/>
      <c r="K196" s="355"/>
      <c r="L196" s="355"/>
      <c r="M196" s="3621"/>
      <c r="N196" s="3621"/>
      <c r="O196" s="3621"/>
      <c r="P196" s="3621"/>
      <c r="Q196" s="170"/>
      <c r="R196" s="465"/>
      <c r="S196" s="2646"/>
      <c r="T196" s="2646"/>
      <c r="V196" s="935"/>
      <c r="W196" s="2820"/>
      <c r="X196" s="2821"/>
      <c r="AZ196" s="1809"/>
      <c r="BA196" s="1808"/>
    </row>
    <row r="197" spans="1:53" s="289" customFormat="1" ht="16.350000000000001" customHeight="1">
      <c r="A197" s="411"/>
      <c r="B197" s="411" t="s">
        <v>4285</v>
      </c>
      <c r="D197" s="307"/>
      <c r="E197" s="307"/>
      <c r="F197" s="2619"/>
      <c r="J197" s="3750">
        <f>IF(J195="",0,+MIN(J193,J195))</f>
        <v>900000</v>
      </c>
      <c r="K197" s="3751"/>
      <c r="L197" s="3752"/>
      <c r="M197" s="3621"/>
      <c r="N197" s="3621"/>
      <c r="O197" s="3621"/>
      <c r="P197" s="3621"/>
      <c r="Q197" s="3626" t="s">
        <v>6543</v>
      </c>
      <c r="R197" s="3627"/>
      <c r="S197" s="1731" t="str">
        <f>IF('Part I-Project Information'!$P$101="","",IF('Part I-Project Information'!$P$101="Yes","Yes","No"))</f>
        <v>No</v>
      </c>
      <c r="T197" s="1266"/>
      <c r="V197" s="2797"/>
      <c r="W197" s="3640"/>
      <c r="X197" s="3641"/>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588" t="s">
        <v>7031</v>
      </c>
      <c r="B201" s="3588"/>
      <c r="C201" s="3588"/>
      <c r="D201" s="3588"/>
      <c r="E201" s="3588"/>
      <c r="F201" s="3588"/>
      <c r="G201" s="3588"/>
      <c r="H201" s="3588"/>
      <c r="I201" s="3588"/>
      <c r="J201" s="3588"/>
      <c r="K201" s="3588"/>
      <c r="L201" s="3588"/>
      <c r="M201" s="3588"/>
      <c r="N201" s="3753"/>
      <c r="O201" s="3753"/>
      <c r="P201" s="3753"/>
      <c r="Q201" s="3753"/>
      <c r="R201" s="3753"/>
      <c r="S201" s="3753"/>
      <c r="T201" s="3753"/>
      <c r="V201" s="842"/>
      <c r="W201" s="3586" t="s">
        <v>2543</v>
      </c>
      <c r="X201" s="3586"/>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8"/>
    </row>
    <row r="244" spans="10:12" ht="14.45" customHeight="1">
      <c r="J244" s="1326"/>
      <c r="K244" s="1752"/>
      <c r="L244" s="2628"/>
    </row>
    <row r="245" spans="10:12" ht="12.75" customHeight="1">
      <c r="J245" s="1326"/>
      <c r="K245" s="1752"/>
      <c r="L245" s="2628"/>
    </row>
    <row r="246" spans="10:12">
      <c r="J246" s="1326"/>
      <c r="K246" s="1752"/>
      <c r="L246" s="2628"/>
    </row>
    <row r="247" spans="10:12">
      <c r="J247" s="1326"/>
      <c r="K247" s="1752"/>
      <c r="L247" s="2628"/>
    </row>
    <row r="248" spans="10:12">
      <c r="J248" s="1326"/>
      <c r="K248" s="1752"/>
      <c r="L248" s="2628"/>
    </row>
    <row r="249" spans="10:12">
      <c r="J249" s="1326"/>
      <c r="K249" s="1752"/>
      <c r="L249" s="2628"/>
    </row>
    <row r="250" spans="10:12">
      <c r="J250" s="1326"/>
      <c r="K250" s="1752"/>
      <c r="L250" s="2628"/>
    </row>
    <row r="251" spans="10:12" ht="12.75" customHeight="1">
      <c r="J251" s="1326"/>
      <c r="K251" s="1752"/>
      <c r="L251" s="2628"/>
    </row>
    <row r="252" spans="10:12">
      <c r="J252" s="1326"/>
      <c r="K252" s="1752"/>
      <c r="L252" s="2628"/>
    </row>
  </sheetData>
  <sheetProtection algorithmName="SHA-512" hashValue="PI/mym34Lhv1V3nN8nYlBzOUG5F313unYi2A2AlA6ZZTsyQQsMqlBLOgbA/mtlpaJLobh6MDXp36cFc+I7vB3g==" saltValue="9beVKTCflL9RhsyWVM8geQ=="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5" priority="17" stopIfTrue="1" operator="greaterThan">
      <formula>$J$193</formula>
    </cfRule>
  </conditionalFormatting>
  <conditionalFormatting sqref="G37">
    <cfRule type="cellIs" priority="18" stopIfTrue="1" operator="equal">
      <formula>"""Exceeds the limit! Re-check amounts."""</formula>
    </cfRule>
  </conditionalFormatting>
  <conditionalFormatting sqref="M38:N38 P38:Q38">
    <cfRule type="cellIs" dxfId="94" priority="16" operator="greaterThan">
      <formula>$G$38</formula>
    </cfRule>
  </conditionalFormatting>
  <conditionalFormatting sqref="M39:N40 P39:Q40">
    <cfRule type="cellIs" dxfId="93" priority="15" operator="greaterThan">
      <formula>$G$40</formula>
    </cfRule>
  </conditionalFormatting>
  <conditionalFormatting sqref="G38">
    <cfRule type="cellIs" dxfId="92" priority="19" stopIfTrue="1" operator="greaterThan">
      <formula>$E38</formula>
    </cfRule>
  </conditionalFormatting>
  <conditionalFormatting sqref="G39">
    <cfRule type="cellIs" dxfId="91" priority="20" stopIfTrue="1" operator="greaterThan">
      <formula>$E$39</formula>
    </cfRule>
  </conditionalFormatting>
  <conditionalFormatting sqref="G40">
    <cfRule type="cellIs" dxfId="90" priority="21" operator="greaterThan">
      <formula>$E$40</formula>
    </cfRule>
  </conditionalFormatting>
  <conditionalFormatting sqref="M178:T178">
    <cfRule type="cellIs" dxfId="89" priority="10" operator="equal">
      <formula>"Exceeds Project Cost Limit!   Needs Cost Limit waiver."</formula>
    </cfRule>
    <cfRule type="cellIs" dxfId="88" priority="14" operator="equal">
      <formula>"QAP Cost Limit TDC exceeds Project Cost Limit!"</formula>
    </cfRule>
  </conditionalFormatting>
  <conditionalFormatting sqref="O174:V175">
    <cfRule type="cellIs" dxfId="87" priority="13" operator="equal">
      <formula>"QAP Cost Limit TDC exceeds Project Cost Limit!"</formula>
    </cfRule>
  </conditionalFormatting>
  <conditionalFormatting sqref="O192">
    <cfRule type="cellIs" dxfId="86" priority="11" operator="equal">
      <formula>"QAP Cost Limit TDC exceeds Project Cost Limit!"</formula>
    </cfRule>
  </conditionalFormatting>
  <conditionalFormatting sqref="G55:H55">
    <cfRule type="cellIs" dxfId="85" priority="9" operator="greaterThan">
      <formula>$E$55</formula>
    </cfRule>
  </conditionalFormatting>
  <conditionalFormatting sqref="J55:K55">
    <cfRule type="cellIs" dxfId="84" priority="4" operator="greaterThan">
      <formula>$E$55</formula>
    </cfRule>
  </conditionalFormatting>
  <conditionalFormatting sqref="J38">
    <cfRule type="cellIs" dxfId="83" priority="1" stopIfTrue="1" operator="greaterThan">
      <formula>$E38</formula>
    </cfRule>
  </conditionalFormatting>
  <conditionalFormatting sqref="J39">
    <cfRule type="cellIs" dxfId="82" priority="2" stopIfTrue="1" operator="greaterThan">
      <formula>$E$39</formula>
    </cfRule>
  </conditionalFormatting>
  <conditionalFormatting sqref="J40">
    <cfRule type="cellIs" dxfId="81" priority="3" operator="greaterThan">
      <formula>$E$40</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78" t="str">
        <f>CONCATENATE("PART FOUR (B) -  OTHER COSTS","  -  ",'Part I-Project Information'!$O$7," - ",'Part I-Project Information'!$F$35,"  -  ",'Part I-Project Information'!$F$39,"  -  ",'Part I-Project Information'!$J$40,",  ","County")</f>
        <v>PART FOUR (B) -  OTHER COSTS  -  2021-015 - The Peaks at Turnberry  -  Rincon  -  Effingham,  County</v>
      </c>
      <c r="B1" s="3779"/>
      <c r="C1" s="3779"/>
      <c r="D1" s="3779"/>
      <c r="E1" s="3779"/>
      <c r="F1" s="3779"/>
      <c r="G1" s="3779"/>
      <c r="H1" s="3779"/>
      <c r="I1" s="819"/>
      <c r="J1" s="819"/>
      <c r="K1" s="819"/>
      <c r="L1" s="819"/>
      <c r="M1" s="819"/>
      <c r="N1" s="819"/>
    </row>
    <row r="2" spans="1:14" ht="9" customHeight="1"/>
    <row r="3" spans="1:14" ht="57" customHeight="1">
      <c r="A3" s="3780" t="s">
        <v>3346</v>
      </c>
      <c r="B3" s="3781"/>
      <c r="C3" s="3781"/>
      <c r="D3" s="3781"/>
      <c r="E3" s="3781"/>
      <c r="F3" s="3781"/>
      <c r="G3" s="3781"/>
      <c r="H3" s="3782"/>
    </row>
    <row r="4" spans="1:14" ht="6" customHeight="1"/>
    <row r="5" spans="1:14" ht="38.25" customHeight="1">
      <c r="A5" s="3783" t="s">
        <v>3413</v>
      </c>
      <c r="B5" s="3783"/>
      <c r="C5" s="3783"/>
      <c r="D5" s="3783"/>
      <c r="F5" s="820" t="s">
        <v>3337</v>
      </c>
      <c r="G5" s="511"/>
      <c r="H5" s="820" t="s">
        <v>3338</v>
      </c>
    </row>
    <row r="6" spans="1:14" ht="6.75" customHeight="1">
      <c r="A6" s="511"/>
      <c r="B6" s="511"/>
      <c r="C6" s="511"/>
      <c r="D6" s="511"/>
    </row>
    <row r="7" spans="1:14" s="2834" customFormat="1" ht="4.5" customHeight="1">
      <c r="A7" s="821"/>
      <c r="B7" s="821"/>
      <c r="C7" s="821"/>
      <c r="D7" s="821"/>
      <c r="E7" s="821"/>
      <c r="F7" s="821"/>
      <c r="G7" s="821"/>
    </row>
    <row r="8" spans="1:14" s="2834" customFormat="1">
      <c r="A8" s="830" t="s">
        <v>95</v>
      </c>
      <c r="B8" s="822"/>
      <c r="C8" s="822"/>
      <c r="D8" s="822"/>
      <c r="E8" s="822"/>
      <c r="F8" s="822"/>
      <c r="G8" s="822"/>
      <c r="H8" s="822"/>
    </row>
    <row r="9" spans="1:14" s="2834" customFormat="1" ht="41.25" customHeight="1">
      <c r="A9" s="3784" t="str">
        <f>'Part IV-A-Uses of Funds'!$C$15</f>
        <v>&lt;&lt; Enter description here; provide detail &amp; justification in tab Part IV-b &gt;&gt;</v>
      </c>
      <c r="B9" s="3785"/>
      <c r="C9" s="3785"/>
      <c r="D9" s="3786"/>
      <c r="F9" s="3790"/>
      <c r="G9" s="822"/>
      <c r="H9" s="3790"/>
    </row>
    <row r="10" spans="1:14" s="2834" customFormat="1" ht="41.25" customHeight="1">
      <c r="A10" s="3787"/>
      <c r="B10" s="3788"/>
      <c r="C10" s="3788"/>
      <c r="D10" s="3789"/>
      <c r="F10" s="3791"/>
      <c r="G10" s="822"/>
      <c r="H10" s="3791"/>
    </row>
    <row r="11" spans="1:14" s="2834" customFormat="1" ht="4.5" customHeight="1">
      <c r="F11" s="3791"/>
      <c r="G11" s="822"/>
      <c r="H11" s="3791"/>
    </row>
    <row r="12" spans="1:14" s="2834" customFormat="1" ht="15" customHeight="1">
      <c r="A12" s="829" t="s">
        <v>3340</v>
      </c>
      <c r="B12" s="828">
        <f>'Part IV-A-Uses of Funds'!$G$15</f>
        <v>0</v>
      </c>
      <c r="C12" s="829" t="s">
        <v>1710</v>
      </c>
      <c r="D12" s="828">
        <f>'Part IV-A-Uses of Funds'!$J$15+'Part IV-A-Uses of Funds'!$M$15+'Part IV-A-Uses of Funds'!$P$15</f>
        <v>0</v>
      </c>
      <c r="F12" s="3791"/>
      <c r="G12" s="822"/>
      <c r="H12" s="3791"/>
    </row>
    <row r="13" spans="1:14" s="2834" customFormat="1" ht="6" customHeight="1">
      <c r="A13" s="822"/>
      <c r="B13" s="823"/>
      <c r="C13" s="822"/>
      <c r="D13" s="822"/>
      <c r="F13" s="3791"/>
      <c r="G13" s="824"/>
      <c r="H13" s="3791"/>
    </row>
    <row r="14" spans="1:14" s="2834" customFormat="1" ht="41.25" customHeight="1">
      <c r="A14" s="3784" t="str">
        <f>'Part IV-A-Uses of Funds'!$C$16</f>
        <v>&lt;&lt; Enter description here; provide detail &amp; justification in tab Part IV-b &gt;&gt;</v>
      </c>
      <c r="B14" s="3785"/>
      <c r="C14" s="3785"/>
      <c r="D14" s="3786"/>
      <c r="F14" s="3791"/>
      <c r="G14" s="822"/>
      <c r="H14" s="3791"/>
    </row>
    <row r="15" spans="1:14" s="2834" customFormat="1" ht="41.25" customHeight="1">
      <c r="A15" s="3787"/>
      <c r="B15" s="3788"/>
      <c r="C15" s="3788"/>
      <c r="D15" s="3789"/>
      <c r="F15" s="3791"/>
      <c r="G15" s="822"/>
      <c r="H15" s="3791"/>
    </row>
    <row r="16" spans="1:14" s="2834" customFormat="1" ht="4.5" customHeight="1">
      <c r="F16" s="3791"/>
      <c r="G16" s="822"/>
      <c r="H16" s="3791"/>
    </row>
    <row r="17" spans="1:8" s="2834" customFormat="1" ht="15" customHeight="1">
      <c r="A17" s="829" t="s">
        <v>3340</v>
      </c>
      <c r="B17" s="828">
        <f>'Part IV-A-Uses of Funds'!$G$16</f>
        <v>0</v>
      </c>
      <c r="C17" s="829" t="s">
        <v>1710</v>
      </c>
      <c r="D17" s="828">
        <f>'Part IV-A-Uses of Funds'!$J$16+'Part IV-A-Uses of Funds'!$M$16+'Part IV-A-Uses of Funds'!$P$16</f>
        <v>0</v>
      </c>
      <c r="F17" s="3791"/>
      <c r="G17" s="822"/>
      <c r="H17" s="3791"/>
    </row>
    <row r="18" spans="1:8" s="2834" customFormat="1" ht="6" customHeight="1">
      <c r="A18" s="822"/>
      <c r="B18" s="823"/>
      <c r="C18" s="822"/>
      <c r="D18" s="822"/>
      <c r="F18" s="3791"/>
      <c r="G18" s="824"/>
      <c r="H18" s="3791"/>
    </row>
    <row r="19" spans="1:8" s="2834" customFormat="1" ht="41.25" customHeight="1">
      <c r="A19" s="3784" t="str">
        <f>'Part IV-A-Uses of Funds'!$C$17</f>
        <v>&lt;&lt; Enter description here; provide detail &amp; justification in tab Part IV-b &gt;&gt;</v>
      </c>
      <c r="B19" s="3785"/>
      <c r="C19" s="3785"/>
      <c r="D19" s="3786"/>
      <c r="F19" s="3791"/>
      <c r="G19" s="822"/>
      <c r="H19" s="3791"/>
    </row>
    <row r="20" spans="1:8" s="2834" customFormat="1" ht="41.25" customHeight="1">
      <c r="A20" s="3787"/>
      <c r="B20" s="3788"/>
      <c r="C20" s="3788"/>
      <c r="D20" s="3789"/>
      <c r="F20" s="3791"/>
      <c r="G20" s="822"/>
      <c r="H20" s="3791"/>
    </row>
    <row r="21" spans="1:8" s="2834" customFormat="1" ht="4.5" customHeight="1">
      <c r="F21" s="3791"/>
      <c r="G21" s="822"/>
      <c r="H21" s="3791"/>
    </row>
    <row r="22" spans="1:8" s="2834" customFormat="1" ht="15" customHeight="1">
      <c r="A22" s="829" t="s">
        <v>3340</v>
      </c>
      <c r="B22" s="828">
        <f>'Part IV-A-Uses of Funds'!$G$17</f>
        <v>0</v>
      </c>
      <c r="C22" s="829" t="s">
        <v>1710</v>
      </c>
      <c r="D22" s="828">
        <f>'Part IV-A-Uses of Funds'!$J$17+'Part IV-A-Uses of Funds'!$M$17+'Part IV-A-Uses of Funds'!$P$17</f>
        <v>0</v>
      </c>
      <c r="F22" s="3791"/>
      <c r="G22" s="822"/>
      <c r="H22" s="3791"/>
    </row>
    <row r="23" spans="1:8" s="2834" customFormat="1" ht="6" customHeight="1">
      <c r="A23" s="822"/>
      <c r="B23" s="823"/>
      <c r="C23" s="822"/>
      <c r="D23" s="822"/>
      <c r="F23" s="3792"/>
      <c r="G23" s="824"/>
      <c r="H23" s="3792"/>
    </row>
    <row r="24" spans="1:8" s="2834" customFormat="1">
      <c r="A24" s="830" t="s">
        <v>3339</v>
      </c>
      <c r="B24" s="822"/>
      <c r="C24" s="822"/>
      <c r="D24" s="822"/>
      <c r="E24" s="822"/>
      <c r="F24" s="822"/>
      <c r="G24" s="822"/>
    </row>
    <row r="25" spans="1:8" s="2834" customFormat="1" ht="41.25" customHeight="1">
      <c r="A25" s="3784" t="str">
        <f>'Part IV-A-Uses of Funds'!$C$46</f>
        <v>&lt;&lt; Enter description here; provide detail &amp; justification in tab Part IV-b &gt;&gt;</v>
      </c>
      <c r="B25" s="3785"/>
      <c r="C25" s="3785"/>
      <c r="D25" s="3786"/>
      <c r="E25" s="822"/>
      <c r="F25" s="3793"/>
      <c r="G25" s="822"/>
      <c r="H25" s="3793"/>
    </row>
    <row r="26" spans="1:8" s="2834" customFormat="1" ht="41.25" customHeight="1">
      <c r="A26" s="3787"/>
      <c r="B26" s="3788"/>
      <c r="C26" s="3788"/>
      <c r="D26" s="3789"/>
      <c r="E26" s="822"/>
      <c r="F26" s="3794"/>
      <c r="G26" s="822"/>
      <c r="H26" s="3794"/>
    </row>
    <row r="27" spans="1:8" s="2834" customFormat="1" ht="4.5" customHeight="1">
      <c r="A27" s="822"/>
      <c r="B27" s="822"/>
      <c r="C27" s="822"/>
      <c r="D27" s="822"/>
      <c r="E27" s="822"/>
      <c r="F27" s="3794"/>
      <c r="G27" s="822"/>
      <c r="H27" s="3794"/>
    </row>
    <row r="28" spans="1:8" s="2834" customFormat="1" ht="25.5">
      <c r="A28" s="829" t="s">
        <v>3340</v>
      </c>
      <c r="B28" s="828">
        <f>'Part IV-A-Uses of Funds'!$G$46</f>
        <v>0</v>
      </c>
      <c r="C28" s="829" t="s">
        <v>1710</v>
      </c>
      <c r="D28" s="828">
        <f>'Part IV-A-Uses of Funds'!$J$46+'Part IV-A-Uses of Funds'!$M$46+'Part IV-A-Uses of Funds'!$P$46</f>
        <v>0</v>
      </c>
      <c r="E28" s="822"/>
      <c r="F28" s="3794"/>
      <c r="G28" s="822"/>
      <c r="H28" s="3794"/>
    </row>
    <row r="29" spans="1:8" s="2834" customFormat="1" ht="6" customHeight="1">
      <c r="A29" s="822"/>
      <c r="B29" s="823"/>
      <c r="C29" s="822"/>
      <c r="D29" s="822"/>
      <c r="E29" s="822"/>
      <c r="F29" s="3795"/>
      <c r="G29" s="824"/>
      <c r="H29" s="3795"/>
    </row>
    <row r="30" spans="1:8" s="2834" customFormat="1">
      <c r="A30" s="830" t="s">
        <v>692</v>
      </c>
      <c r="B30" s="822"/>
      <c r="C30" s="822"/>
      <c r="D30" s="822"/>
      <c r="E30" s="822"/>
      <c r="F30" s="822"/>
      <c r="G30" s="822"/>
    </row>
    <row r="31" spans="1:8" s="2834" customFormat="1" ht="41.25" customHeight="1">
      <c r="A31" s="3796" t="str">
        <f>'Part IV-A-Uses of Funds'!$C$71</f>
        <v>&lt;&lt; Enter description here; provide detail &amp; justification in tab Part IV-b &gt;&gt;</v>
      </c>
      <c r="B31" s="3797"/>
      <c r="C31" s="3797"/>
      <c r="D31" s="3798"/>
      <c r="E31" s="822"/>
      <c r="F31" s="3790"/>
      <c r="G31" s="822"/>
      <c r="H31" s="3790"/>
    </row>
    <row r="32" spans="1:8" s="2834" customFormat="1" ht="41.25" customHeight="1">
      <c r="A32" s="3787"/>
      <c r="B32" s="3788"/>
      <c r="C32" s="3788"/>
      <c r="D32" s="3789"/>
      <c r="E32" s="822"/>
      <c r="F32" s="3791"/>
      <c r="G32" s="822"/>
      <c r="H32" s="3791"/>
    </row>
    <row r="33" spans="1:8" s="2834" customFormat="1" ht="4.5" customHeight="1">
      <c r="A33" s="822"/>
      <c r="B33" s="822"/>
      <c r="C33" s="822"/>
      <c r="D33" s="822"/>
      <c r="E33" s="822"/>
      <c r="F33" s="3791"/>
      <c r="G33" s="822"/>
      <c r="H33" s="3791"/>
    </row>
    <row r="34" spans="1:8" s="2834" customFormat="1" ht="14.25" customHeight="1">
      <c r="A34" s="829" t="s">
        <v>3340</v>
      </c>
      <c r="B34" s="828">
        <f>'Part IV-A-Uses of Funds'!$G$71</f>
        <v>0</v>
      </c>
      <c r="C34" s="829" t="s">
        <v>1710</v>
      </c>
      <c r="D34" s="828">
        <f>'Part IV-A-Uses of Funds'!$J$71+'Part IV-A-Uses of Funds'!$M$71+'Part IV-A-Uses of Funds'!$P$71</f>
        <v>0</v>
      </c>
      <c r="E34" s="822"/>
      <c r="F34" s="3791"/>
      <c r="G34" s="822"/>
      <c r="H34" s="3791"/>
    </row>
    <row r="35" spans="1:8" s="2834" customFormat="1" ht="6" customHeight="1">
      <c r="D35" s="822"/>
      <c r="E35" s="822"/>
      <c r="F35" s="3791"/>
      <c r="G35" s="824"/>
      <c r="H35" s="3791"/>
    </row>
    <row r="36" spans="1:8" s="2834" customFormat="1" ht="41.25" customHeight="1">
      <c r="A36" s="3796" t="str">
        <f>'Part IV-A-Uses of Funds'!$C$72</f>
        <v>&lt;&lt; Enter description here; provide detail &amp; justification in tab Part IV-b &gt;&gt;</v>
      </c>
      <c r="B36" s="3797"/>
      <c r="C36" s="3797"/>
      <c r="D36" s="3798"/>
      <c r="E36" s="822"/>
      <c r="F36" s="3791"/>
      <c r="G36" s="822"/>
      <c r="H36" s="3791"/>
    </row>
    <row r="37" spans="1:8" s="2834" customFormat="1" ht="41.25" customHeight="1">
      <c r="A37" s="3787"/>
      <c r="B37" s="3788"/>
      <c r="C37" s="3788"/>
      <c r="D37" s="3789"/>
      <c r="E37" s="822"/>
      <c r="F37" s="3791"/>
      <c r="G37" s="822"/>
      <c r="H37" s="3791"/>
    </row>
    <row r="38" spans="1:8" s="2834" customFormat="1" ht="4.5" customHeight="1">
      <c r="A38" s="822"/>
      <c r="B38" s="822"/>
      <c r="C38" s="822"/>
      <c r="D38" s="822"/>
      <c r="E38" s="822"/>
      <c r="F38" s="3791"/>
      <c r="G38" s="822"/>
      <c r="H38" s="3791"/>
    </row>
    <row r="39" spans="1:8" s="2834" customFormat="1" ht="14.25" customHeight="1">
      <c r="A39" s="829" t="s">
        <v>3340</v>
      </c>
      <c r="B39" s="828">
        <f>'Part IV-A-Uses of Funds'!$G$72</f>
        <v>0</v>
      </c>
      <c r="C39" s="829" t="s">
        <v>1710</v>
      </c>
      <c r="D39" s="828">
        <f>'Part IV-A-Uses of Funds'!$J$72+'Part IV-A-Uses of Funds'!$M$72+'Part IV-A-Uses of Funds'!$P$72</f>
        <v>0</v>
      </c>
      <c r="E39" s="822"/>
      <c r="F39" s="3791"/>
      <c r="G39" s="822"/>
      <c r="H39" s="3791"/>
    </row>
    <row r="40" spans="1:8" s="2834" customFormat="1" ht="6" customHeight="1">
      <c r="D40" s="822"/>
      <c r="E40" s="822"/>
      <c r="F40" s="3792"/>
      <c r="G40" s="824"/>
      <c r="H40" s="3792"/>
    </row>
    <row r="41" spans="1:8" s="2834" customFormat="1">
      <c r="A41" s="830" t="s">
        <v>456</v>
      </c>
      <c r="B41" s="822"/>
      <c r="C41" s="822"/>
      <c r="D41" s="822"/>
      <c r="E41" s="826"/>
      <c r="F41" s="826"/>
      <c r="G41" s="822"/>
    </row>
    <row r="42" spans="1:8" s="2834" customFormat="1" ht="41.25" customHeight="1">
      <c r="A42" s="3796" t="str">
        <f>'Part IV-A-Uses of Funds'!$C$85</f>
        <v>&lt;&lt; Enter description here; provide detail &amp; justification in tab Part IV-b &gt;&gt;</v>
      </c>
      <c r="B42" s="3797"/>
      <c r="C42" s="3797"/>
      <c r="D42" s="3798"/>
      <c r="F42" s="3793"/>
      <c r="G42" s="822"/>
      <c r="H42" s="3793"/>
    </row>
    <row r="43" spans="1:8" s="2834" customFormat="1" ht="41.25" customHeight="1">
      <c r="A43" s="3787"/>
      <c r="B43" s="3788"/>
      <c r="C43" s="3788"/>
      <c r="D43" s="3789"/>
      <c r="E43" s="822"/>
      <c r="F43" s="3794"/>
      <c r="G43" s="822"/>
      <c r="H43" s="3794"/>
    </row>
    <row r="44" spans="1:8" s="2834" customFormat="1" ht="4.5" customHeight="1">
      <c r="A44" s="822"/>
      <c r="B44" s="822"/>
      <c r="C44" s="822"/>
      <c r="D44" s="822"/>
      <c r="E44" s="822"/>
      <c r="F44" s="3794"/>
      <c r="G44" s="822"/>
      <c r="H44" s="3794"/>
    </row>
    <row r="45" spans="1:8" s="2834" customFormat="1" ht="13.5" customHeight="1">
      <c r="A45" s="829" t="s">
        <v>3340</v>
      </c>
      <c r="B45" s="828">
        <f>'Part IV-A-Uses of Funds'!$G$85</f>
        <v>0</v>
      </c>
      <c r="C45" s="829" t="s">
        <v>1710</v>
      </c>
      <c r="D45" s="828">
        <f>'Part IV-A-Uses of Funds'!$J$85+'Part IV-A-Uses of Funds'!$M$85+'Part IV-A-Uses of Funds'!$P$85</f>
        <v>0</v>
      </c>
      <c r="E45" s="822"/>
      <c r="F45" s="3794"/>
      <c r="G45" s="822"/>
      <c r="H45" s="3794"/>
    </row>
    <row r="46" spans="1:8" s="2834" customFormat="1" ht="6" customHeight="1">
      <c r="A46" s="822"/>
      <c r="B46" s="823"/>
      <c r="C46" s="822"/>
      <c r="D46" s="822"/>
      <c r="E46" s="822"/>
      <c r="F46" s="3795"/>
      <c r="G46" s="824"/>
      <c r="H46" s="3795"/>
    </row>
    <row r="47" spans="1:8" s="2834" customFormat="1">
      <c r="A47" s="830" t="s">
        <v>694</v>
      </c>
      <c r="B47" s="822"/>
      <c r="C47" s="822"/>
      <c r="D47" s="822"/>
      <c r="E47" s="822"/>
      <c r="F47" s="822"/>
      <c r="G47" s="822"/>
    </row>
    <row r="48" spans="1:8" s="2834" customFormat="1" ht="41.25" customHeight="1">
      <c r="A48" s="3796" t="str">
        <f>'Part IV-A-Uses of Funds'!$C$102</f>
        <v>1st year perm insurance</v>
      </c>
      <c r="B48" s="3797"/>
      <c r="C48" s="3797"/>
      <c r="D48" s="3798"/>
      <c r="F48" s="3793" t="s">
        <v>6894</v>
      </c>
      <c r="G48" s="822"/>
    </row>
    <row r="49" spans="1:7" s="2834" customFormat="1" ht="41.25" customHeight="1">
      <c r="A49" s="3787"/>
      <c r="B49" s="3788"/>
      <c r="C49" s="3788"/>
      <c r="D49" s="3789"/>
      <c r="E49" s="822"/>
      <c r="F49" s="3794"/>
      <c r="G49" s="822"/>
    </row>
    <row r="50" spans="1:7" s="2834" customFormat="1" ht="3" customHeight="1">
      <c r="A50" s="822"/>
      <c r="B50" s="822"/>
      <c r="C50" s="822"/>
      <c r="D50" s="822"/>
      <c r="E50" s="822"/>
      <c r="F50" s="3794"/>
      <c r="G50" s="822"/>
    </row>
    <row r="51" spans="1:7" s="2834" customFormat="1" ht="13.5" customHeight="1">
      <c r="A51" s="829" t="s">
        <v>3340</v>
      </c>
      <c r="B51" s="828">
        <f>'Part IV-A-Uses of Funds'!$G$102</f>
        <v>19500</v>
      </c>
      <c r="C51" s="825"/>
      <c r="D51" s="825"/>
      <c r="E51" s="822"/>
      <c r="F51" s="3794"/>
      <c r="G51" s="822"/>
    </row>
    <row r="52" spans="1:7" s="2834" customFormat="1" ht="3.75" customHeight="1">
      <c r="A52" s="822"/>
      <c r="B52" s="822"/>
      <c r="C52" s="822"/>
      <c r="D52" s="822"/>
      <c r="E52" s="822"/>
      <c r="F52" s="3795"/>
      <c r="G52" s="824"/>
    </row>
    <row r="53" spans="1:7" s="2834" customFormat="1">
      <c r="A53" s="830" t="s">
        <v>3341</v>
      </c>
      <c r="B53" s="822"/>
      <c r="C53" s="822"/>
      <c r="D53" s="822"/>
      <c r="E53" s="822"/>
      <c r="F53" s="822"/>
      <c r="G53" s="822"/>
    </row>
    <row r="54" spans="1:7" s="2834" customFormat="1" ht="41.25" customHeight="1">
      <c r="A54" s="3796" t="str">
        <f>'Part IV-A-Uses of Funds'!$C$112</f>
        <v>&lt;&lt; Enter description here; provide detail &amp; justification in tab Part IV-b &gt;&gt;</v>
      </c>
      <c r="B54" s="3797"/>
      <c r="C54" s="3797"/>
      <c r="D54" s="3798"/>
      <c r="F54" s="3790"/>
      <c r="G54" s="822"/>
    </row>
    <row r="55" spans="1:7" s="2834" customFormat="1" ht="41.25" customHeight="1">
      <c r="A55" s="3787"/>
      <c r="B55" s="3788"/>
      <c r="C55" s="3788"/>
      <c r="D55" s="3789"/>
      <c r="E55" s="822"/>
      <c r="F55" s="3791"/>
      <c r="G55" s="822"/>
    </row>
    <row r="56" spans="1:7" s="2834" customFormat="1" ht="3" customHeight="1">
      <c r="A56" s="822"/>
      <c r="B56" s="822"/>
      <c r="C56" s="822"/>
      <c r="D56" s="822"/>
      <c r="E56" s="822"/>
      <c r="F56" s="3791"/>
      <c r="G56" s="822"/>
    </row>
    <row r="57" spans="1:7" s="2834" customFormat="1" ht="25.5">
      <c r="A57" s="829" t="s">
        <v>3340</v>
      </c>
      <c r="B57" s="828">
        <f>'Part IV-A-Uses of Funds'!$G$112</f>
        <v>0</v>
      </c>
      <c r="C57" s="825"/>
      <c r="D57" s="825"/>
      <c r="E57" s="822"/>
      <c r="F57" s="3791"/>
      <c r="G57" s="822"/>
    </row>
    <row r="58" spans="1:7" s="2834" customFormat="1" ht="3.75" customHeight="1">
      <c r="A58" s="821"/>
      <c r="B58" s="821"/>
      <c r="C58" s="821"/>
      <c r="D58" s="821"/>
      <c r="E58" s="821"/>
      <c r="F58" s="3791"/>
      <c r="G58" s="824"/>
    </row>
    <row r="59" spans="1:7" s="2834" customFormat="1" ht="41.25" customHeight="1">
      <c r="A59" s="3796" t="str">
        <f>'Part IV-A-Uses of Funds'!$C$113</f>
        <v>&lt;&lt; Enter description here; provide detail &amp; justification in tab Part IV-b &gt;&gt;</v>
      </c>
      <c r="B59" s="3797"/>
      <c r="C59" s="3797"/>
      <c r="D59" s="3798"/>
      <c r="F59" s="3791"/>
      <c r="G59" s="822"/>
    </row>
    <row r="60" spans="1:7" s="2834" customFormat="1" ht="41.25" customHeight="1">
      <c r="A60" s="3787"/>
      <c r="B60" s="3788"/>
      <c r="C60" s="3788"/>
      <c r="D60" s="3789"/>
      <c r="E60" s="822"/>
      <c r="F60" s="3791"/>
      <c r="G60" s="822"/>
    </row>
    <row r="61" spans="1:7" s="2834" customFormat="1" ht="3" customHeight="1">
      <c r="A61" s="822"/>
      <c r="B61" s="822"/>
      <c r="C61" s="822"/>
      <c r="D61" s="822"/>
      <c r="E61" s="822"/>
      <c r="F61" s="3791"/>
      <c r="G61" s="822"/>
    </row>
    <row r="62" spans="1:7" s="2834" customFormat="1" ht="25.5">
      <c r="A62" s="829" t="s">
        <v>3340</v>
      </c>
      <c r="B62" s="828">
        <f>'Part IV-A-Uses of Funds'!$G$113</f>
        <v>0</v>
      </c>
      <c r="C62" s="825"/>
      <c r="D62" s="825"/>
      <c r="E62" s="822"/>
      <c r="F62" s="3791"/>
      <c r="G62" s="822"/>
    </row>
    <row r="63" spans="1:7" s="2834" customFormat="1" ht="3.75" customHeight="1">
      <c r="A63" s="821"/>
      <c r="B63" s="821"/>
      <c r="C63" s="821"/>
      <c r="D63" s="821"/>
      <c r="E63" s="821"/>
      <c r="F63" s="3792"/>
      <c r="G63" s="824"/>
    </row>
    <row r="64" spans="1:7" s="2834" customFormat="1">
      <c r="A64" s="830" t="s">
        <v>3342</v>
      </c>
      <c r="B64" s="822"/>
      <c r="C64" s="822"/>
      <c r="D64" s="822"/>
      <c r="E64" s="822"/>
      <c r="F64" s="822"/>
      <c r="G64" s="822"/>
    </row>
    <row r="65" spans="1:8" s="2834" customFormat="1" ht="41.25" customHeight="1">
      <c r="A65" s="3796" t="str">
        <f>'Part IV-A-Uses of Funds'!$C$119</f>
        <v>&lt;&lt; Enter description here; provide detail &amp; justification in tab Part IV-b &gt;&gt;</v>
      </c>
      <c r="B65" s="3797"/>
      <c r="C65" s="3797"/>
      <c r="D65" s="3798"/>
      <c r="F65" s="3793"/>
      <c r="G65" s="822"/>
    </row>
    <row r="66" spans="1:8" s="2834" customFormat="1" ht="41.25" customHeight="1">
      <c r="A66" s="3787"/>
      <c r="B66" s="3788"/>
      <c r="C66" s="3788"/>
      <c r="D66" s="3789"/>
      <c r="E66" s="822"/>
      <c r="F66" s="3794"/>
      <c r="G66" s="822"/>
    </row>
    <row r="67" spans="1:8" s="2834" customFormat="1" ht="3" customHeight="1">
      <c r="A67" s="822"/>
      <c r="B67" s="822"/>
      <c r="C67" s="822"/>
      <c r="D67" s="822"/>
      <c r="E67" s="822"/>
      <c r="F67" s="3794"/>
      <c r="G67" s="822"/>
    </row>
    <row r="68" spans="1:8" s="2834" customFormat="1" ht="25.5">
      <c r="A68" s="829" t="s">
        <v>3340</v>
      </c>
      <c r="B68" s="828">
        <f>'Part IV-A-Uses of Funds'!$G$119</f>
        <v>0</v>
      </c>
      <c r="C68" s="825"/>
      <c r="D68" s="825"/>
      <c r="E68" s="822"/>
      <c r="F68" s="3794"/>
      <c r="G68" s="822"/>
    </row>
    <row r="69" spans="1:8" s="2834" customFormat="1" ht="3.75" customHeight="1">
      <c r="A69" s="822"/>
      <c r="B69" s="823"/>
      <c r="C69" s="822"/>
      <c r="D69" s="822"/>
      <c r="E69" s="822"/>
      <c r="F69" s="3795"/>
      <c r="G69" s="824"/>
    </row>
    <row r="70" spans="1:8" s="2834" customFormat="1">
      <c r="A70" s="830" t="s">
        <v>1260</v>
      </c>
      <c r="B70" s="822"/>
      <c r="C70" s="822"/>
      <c r="D70" s="822"/>
      <c r="E70" s="822"/>
      <c r="F70" s="822"/>
      <c r="G70" s="822"/>
    </row>
    <row r="71" spans="1:8" s="2834" customFormat="1" ht="41.25" customHeight="1">
      <c r="A71" s="3796" t="str">
        <f>'Part IV-A-Uses of Funds'!$C$134</f>
        <v>&lt;&lt; Enter description here; provide detail &amp; justification in tab Part IV-b &gt;&gt;</v>
      </c>
      <c r="B71" s="3797"/>
      <c r="C71" s="3797"/>
      <c r="D71" s="3798"/>
      <c r="F71" s="3793"/>
      <c r="G71" s="822"/>
      <c r="H71" s="3793"/>
    </row>
    <row r="72" spans="1:8" s="2834" customFormat="1" ht="41.25" customHeight="1">
      <c r="A72" s="3787"/>
      <c r="B72" s="3788"/>
      <c r="C72" s="3788"/>
      <c r="D72" s="3789"/>
      <c r="E72" s="822"/>
      <c r="F72" s="3794"/>
      <c r="G72" s="822"/>
      <c r="H72" s="3794"/>
    </row>
    <row r="73" spans="1:8" s="2834" customFormat="1" ht="4.5" customHeight="1">
      <c r="A73" s="822"/>
      <c r="B73" s="822"/>
      <c r="C73" s="822"/>
      <c r="D73" s="822"/>
      <c r="E73" s="822"/>
      <c r="F73" s="3794"/>
      <c r="G73" s="822"/>
      <c r="H73" s="3794"/>
    </row>
    <row r="74" spans="1:8" s="2834" customFormat="1" ht="12.75" customHeight="1">
      <c r="A74" s="829" t="s">
        <v>3340</v>
      </c>
      <c r="B74" s="828">
        <f>'Part IV-A-Uses of Funds'!$G$134</f>
        <v>0</v>
      </c>
      <c r="C74" s="829" t="s">
        <v>1710</v>
      </c>
      <c r="D74" s="828">
        <f>'Part IV-A-Uses of Funds'!$J$134+'Part IV-A-Uses of Funds'!$M$134+'Part IV-A-Uses of Funds'!$P$134</f>
        <v>0</v>
      </c>
      <c r="E74" s="822"/>
      <c r="F74" s="3794"/>
      <c r="G74" s="822"/>
      <c r="H74" s="3794"/>
    </row>
    <row r="75" spans="1:8" s="2834" customFormat="1" ht="6" customHeight="1">
      <c r="A75" s="822"/>
      <c r="B75" s="823"/>
      <c r="C75" s="822"/>
      <c r="D75" s="822"/>
      <c r="E75" s="822"/>
      <c r="F75" s="3795"/>
      <c r="G75" s="824"/>
      <c r="H75" s="3795"/>
    </row>
    <row r="76" spans="1:8" s="2834" customFormat="1">
      <c r="A76" s="830" t="s">
        <v>3343</v>
      </c>
      <c r="B76" s="823"/>
      <c r="C76" s="822"/>
      <c r="D76" s="822"/>
      <c r="E76" s="822"/>
      <c r="F76" s="822"/>
      <c r="G76" s="824"/>
    </row>
    <row r="77" spans="1:8" s="2834" customFormat="1" ht="41.25" customHeight="1">
      <c r="A77" s="3796" t="str">
        <f>'Part IV-A-Uses of Funds'!$C$143</f>
        <v>&lt;&lt; Enter description here; provide detail &amp; justification in tab Part IV-b &gt;&gt;</v>
      </c>
      <c r="B77" s="3797"/>
      <c r="C77" s="3797"/>
      <c r="D77" s="3798"/>
      <c r="F77" s="3793"/>
      <c r="G77" s="822"/>
      <c r="H77" s="3793"/>
    </row>
    <row r="78" spans="1:8" s="2834" customFormat="1" ht="41.25" customHeight="1">
      <c r="A78" s="3787"/>
      <c r="B78" s="3788"/>
      <c r="C78" s="3788"/>
      <c r="D78" s="3789"/>
      <c r="E78" s="822"/>
      <c r="F78" s="3794"/>
      <c r="G78" s="822"/>
      <c r="H78" s="3794"/>
    </row>
    <row r="79" spans="1:8" s="2834" customFormat="1" ht="4.5" customHeight="1">
      <c r="A79" s="822"/>
      <c r="B79" s="822"/>
      <c r="C79" s="822"/>
      <c r="D79" s="822"/>
      <c r="E79" s="822"/>
      <c r="F79" s="3794"/>
      <c r="G79" s="822"/>
      <c r="H79" s="3794"/>
    </row>
    <row r="80" spans="1:8" s="2834" customFormat="1" ht="12.75" customHeight="1">
      <c r="A80" s="829" t="s">
        <v>3340</v>
      </c>
      <c r="B80" s="828">
        <f>'Part IV-A-Uses of Funds'!$G$143</f>
        <v>0</v>
      </c>
      <c r="C80" s="829" t="s">
        <v>1710</v>
      </c>
      <c r="D80" s="828">
        <f>'Part IV-A-Uses of Funds'!$J$143+'Part IV-A-Uses of Funds'!$M$143+'Part IV-A-Uses of Funds'!$P$143</f>
        <v>0</v>
      </c>
      <c r="E80" s="827"/>
      <c r="F80" s="3794"/>
      <c r="G80" s="822"/>
      <c r="H80" s="3794"/>
    </row>
    <row r="81" spans="4:8" s="2834" customFormat="1" ht="6" customHeight="1">
      <c r="D81" s="2835"/>
      <c r="E81" s="2836"/>
      <c r="F81" s="3795"/>
      <c r="G81" s="824"/>
      <c r="H81" s="3795"/>
    </row>
    <row r="82" spans="4:8" s="2834" customFormat="1"/>
    <row r="83" spans="4:8" s="2834" customFormat="1"/>
    <row r="84" spans="4:8" s="2834" customFormat="1"/>
    <row r="85" spans="4:8" s="2834" customFormat="1"/>
    <row r="86" spans="4:8" s="2834" customFormat="1"/>
    <row r="87" spans="4:8" s="2834" customFormat="1"/>
    <row r="88" spans="4:8" s="2834" customFormat="1"/>
    <row r="89" spans="4:8" s="2834" customFormat="1"/>
    <row r="90" spans="4:8" s="2834" customFormat="1"/>
    <row r="91" spans="4:8" s="2834" customFormat="1"/>
    <row r="92" spans="4:8" s="2834" customFormat="1"/>
  </sheetData>
  <sheetProtection algorithmName="SHA-512" hashValue="iJ5tGvDjgJRm3ikHT4MmF6Jonk6dvSqa8H8LoDPVCwNy9m/eSsvM0zaoILvB2EdjZlyMHFCCyHu975Aty5Cg4A==" saltValue="VbPaOdKmXHoxTWOazmolU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8" t="str">
        <f>CONCATENATE("PART FIVE - UTILITY ALLOWANCES","  -  ",'Part I-Project Information'!$O$7," ",'Part I-Project Information'!$F$35,", ",'Part I-Project Information'!F39,", ",'Part I-Project Information'!J40," County")</f>
        <v>PART FIVE - UTILITY ALLOWANCES  -  2021-015 The Peaks at Turnberry, Rincon, Effingham County</v>
      </c>
      <c r="B1" s="3809"/>
      <c r="C1" s="3809"/>
      <c r="D1" s="3809"/>
      <c r="E1" s="3809"/>
      <c r="F1" s="3809"/>
      <c r="G1" s="3809"/>
      <c r="H1" s="3809"/>
      <c r="I1" s="3809"/>
      <c r="J1" s="3809"/>
      <c r="K1" s="3809"/>
      <c r="L1" s="3809"/>
      <c r="M1" s="3809"/>
      <c r="N1" s="10"/>
      <c r="O1" s="10"/>
      <c r="P1" s="10"/>
      <c r="Q1" s="10"/>
      <c r="R1" s="16"/>
      <c r="S1" s="16"/>
      <c r="T1" s="16"/>
    </row>
    <row r="2" spans="1:25" s="8" customFormat="1" ht="7.5" customHeight="1"/>
    <row r="3" spans="1:25" s="8" customFormat="1" ht="12.75" customHeight="1">
      <c r="B3" s="3813" t="str">
        <f>'Part I-Project Information'!$B$7</f>
        <v>2021 Core App
May 10 Rev</v>
      </c>
      <c r="C3" s="3813"/>
      <c r="D3" s="3813"/>
      <c r="E3" s="3813"/>
      <c r="F3" s="4" t="s">
        <v>3828</v>
      </c>
      <c r="I3" s="2648" t="str">
        <f>VLOOKUP('Part I-Project Information'!$J$40,'DCA Underwriting Assumptions'!$G$174:$H$333,2)</f>
        <v>South</v>
      </c>
    </row>
    <row r="4" spans="1:25" s="8" customFormat="1" ht="6" customHeight="1" thickBot="1"/>
    <row r="5" spans="1:25">
      <c r="A5" s="249" t="s">
        <v>6835</v>
      </c>
      <c r="O5" s="3814" t="s">
        <v>6834</v>
      </c>
      <c r="P5" s="3815"/>
      <c r="Q5" s="3815"/>
      <c r="R5" s="3815"/>
      <c r="S5" s="3815"/>
      <c r="T5" s="3815"/>
      <c r="U5" s="3816"/>
      <c r="V5" s="474"/>
      <c r="W5" s="474"/>
      <c r="X5" s="474"/>
      <c r="Y5" s="474"/>
    </row>
    <row r="6" spans="1:25" ht="6" customHeight="1">
      <c r="A6" s="8"/>
      <c r="O6" s="3817"/>
      <c r="P6" s="3818"/>
      <c r="Q6" s="3818"/>
      <c r="R6" s="3818"/>
      <c r="S6" s="3818"/>
      <c r="T6" s="3818"/>
      <c r="U6" s="3819"/>
      <c r="V6" s="474"/>
      <c r="W6" s="474"/>
      <c r="X6" s="474"/>
      <c r="Y6" s="474"/>
    </row>
    <row r="7" spans="1:25" s="8" customFormat="1" ht="13.5" customHeight="1">
      <c r="A7" s="13" t="s">
        <v>586</v>
      </c>
      <c r="B7" s="13" t="s">
        <v>2127</v>
      </c>
      <c r="F7" s="1" t="s">
        <v>2402</v>
      </c>
      <c r="G7" s="1"/>
      <c r="H7" s="1"/>
      <c r="I7" s="3810" t="s">
        <v>6895</v>
      </c>
      <c r="J7" s="3800"/>
      <c r="K7" s="3800"/>
      <c r="L7" s="3800"/>
      <c r="M7" s="3801"/>
      <c r="O7" s="3817"/>
      <c r="P7" s="3818"/>
      <c r="Q7" s="3818"/>
      <c r="R7" s="3818"/>
      <c r="S7" s="3818"/>
      <c r="T7" s="3818"/>
      <c r="U7" s="3819"/>
      <c r="V7" s="474"/>
      <c r="W7" s="474"/>
      <c r="X7" s="474"/>
      <c r="Y7" s="474"/>
    </row>
    <row r="8" spans="1:25" s="8" customFormat="1" ht="13.35" customHeight="1">
      <c r="A8" s="13"/>
      <c r="F8" s="1" t="s">
        <v>606</v>
      </c>
      <c r="G8" s="1"/>
      <c r="H8" s="33"/>
      <c r="I8" s="3802">
        <v>44197</v>
      </c>
      <c r="J8" s="3803"/>
      <c r="K8" s="6" t="s">
        <v>514</v>
      </c>
      <c r="L8" s="3804" t="s">
        <v>6599</v>
      </c>
      <c r="M8" s="3805"/>
      <c r="O8" s="3817"/>
      <c r="P8" s="3818"/>
      <c r="Q8" s="3818"/>
      <c r="R8" s="3818"/>
      <c r="S8" s="3818"/>
      <c r="T8" s="3818"/>
      <c r="U8" s="3819"/>
      <c r="V8" s="474"/>
      <c r="W8" s="474"/>
      <c r="X8" s="474"/>
      <c r="Y8" s="474"/>
    </row>
    <row r="9" spans="1:25" s="8" customFormat="1" ht="4.5" customHeight="1">
      <c r="A9" s="13"/>
      <c r="O9" s="3817"/>
      <c r="P9" s="3818"/>
      <c r="Q9" s="3818"/>
      <c r="R9" s="3818"/>
      <c r="S9" s="3818"/>
      <c r="T9" s="3818"/>
      <c r="U9" s="3819"/>
      <c r="V9" s="474"/>
      <c r="W9" s="474"/>
      <c r="X9" s="474"/>
      <c r="Y9" s="474"/>
    </row>
    <row r="10" spans="1:25" s="13" customFormat="1" ht="13.5" customHeight="1">
      <c r="B10" s="243"/>
      <c r="C10" s="243"/>
      <c r="D10" s="243"/>
      <c r="E10" s="243"/>
      <c r="F10" s="3811" t="s">
        <v>580</v>
      </c>
      <c r="G10" s="3811"/>
      <c r="I10" s="3812" t="s">
        <v>192</v>
      </c>
      <c r="J10" s="3812"/>
      <c r="K10" s="3812"/>
      <c r="L10" s="3812"/>
      <c r="M10" s="3812"/>
      <c r="O10" s="3817"/>
      <c r="P10" s="3818"/>
      <c r="Q10" s="3818"/>
      <c r="R10" s="3818"/>
      <c r="S10" s="3818"/>
      <c r="T10" s="3818"/>
      <c r="U10" s="3819"/>
    </row>
    <row r="11" spans="1:25" s="13" customFormat="1" ht="13.5" customHeight="1">
      <c r="B11" s="243" t="s">
        <v>765</v>
      </c>
      <c r="D11" s="243" t="s">
        <v>1533</v>
      </c>
      <c r="F11" s="2647" t="s">
        <v>612</v>
      </c>
      <c r="G11" s="2647" t="s">
        <v>1765</v>
      </c>
      <c r="I11" s="244" t="s">
        <v>539</v>
      </c>
      <c r="J11" s="245">
        <v>1</v>
      </c>
      <c r="K11" s="245">
        <v>2</v>
      </c>
      <c r="L11" s="245">
        <v>3</v>
      </c>
      <c r="M11" s="245">
        <v>4</v>
      </c>
      <c r="O11" s="3817"/>
      <c r="P11" s="3818"/>
      <c r="Q11" s="3818"/>
      <c r="R11" s="3818"/>
      <c r="S11" s="3818"/>
      <c r="T11" s="3818"/>
      <c r="U11" s="3819"/>
    </row>
    <row r="12" spans="1:25" s="8" customFormat="1" ht="12" customHeight="1" thickBot="1">
      <c r="B12" s="1346" t="s">
        <v>1767</v>
      </c>
      <c r="C12" s="1347"/>
      <c r="D12" s="3806" t="s">
        <v>6898</v>
      </c>
      <c r="E12" s="3807"/>
      <c r="F12" s="2837" t="s">
        <v>422</v>
      </c>
      <c r="G12" s="2837"/>
      <c r="H12" s="908"/>
      <c r="I12" s="2838"/>
      <c r="J12" s="2838">
        <v>4</v>
      </c>
      <c r="K12" s="2838">
        <v>5</v>
      </c>
      <c r="L12" s="2838">
        <v>6</v>
      </c>
      <c r="M12" s="2838"/>
      <c r="O12" s="3820"/>
      <c r="P12" s="3821"/>
      <c r="Q12" s="3821"/>
      <c r="R12" s="3821"/>
      <c r="S12" s="3821"/>
      <c r="T12" s="3821"/>
      <c r="U12" s="3822"/>
    </row>
    <row r="13" spans="1:25" s="8" customFormat="1" ht="12" customHeight="1">
      <c r="B13" s="1348" t="s">
        <v>1531</v>
      </c>
      <c r="C13" s="1349"/>
      <c r="D13" s="3830" t="s">
        <v>1530</v>
      </c>
      <c r="E13" s="3831"/>
      <c r="F13" s="2839" t="s">
        <v>422</v>
      </c>
      <c r="G13" s="2839"/>
      <c r="H13" s="907"/>
      <c r="I13" s="2840"/>
      <c r="J13" s="2840">
        <v>7</v>
      </c>
      <c r="K13" s="2840">
        <v>9</v>
      </c>
      <c r="L13" s="2841">
        <v>11</v>
      </c>
      <c r="M13" s="2841"/>
      <c r="O13" s="3823" t="s">
        <v>3412</v>
      </c>
      <c r="P13" s="3823"/>
      <c r="Q13" s="3823"/>
    </row>
    <row r="14" spans="1:25" s="8" customFormat="1" ht="12" customHeight="1">
      <c r="B14" s="1350" t="s">
        <v>1532</v>
      </c>
      <c r="C14" s="1351"/>
      <c r="D14" s="3830" t="s">
        <v>1530</v>
      </c>
      <c r="E14" s="3831"/>
      <c r="F14" s="2839" t="s">
        <v>422</v>
      </c>
      <c r="G14" s="2839"/>
      <c r="H14" s="246"/>
      <c r="I14" s="2840"/>
      <c r="J14" s="2840">
        <v>13</v>
      </c>
      <c r="K14" s="2840">
        <v>18</v>
      </c>
      <c r="L14" s="2841">
        <v>23</v>
      </c>
      <c r="M14" s="2841"/>
      <c r="O14" s="3823"/>
      <c r="P14" s="3823"/>
      <c r="Q14" s="3823"/>
    </row>
    <row r="15" spans="1:25" s="8" customFormat="1" ht="12" customHeight="1">
      <c r="B15" s="1352" t="s">
        <v>447</v>
      </c>
      <c r="C15" s="1353"/>
      <c r="D15" s="1352" t="s">
        <v>1530</v>
      </c>
      <c r="E15" s="247"/>
      <c r="F15" s="2839" t="s">
        <v>422</v>
      </c>
      <c r="G15" s="2839"/>
      <c r="H15" s="906"/>
      <c r="I15" s="2840"/>
      <c r="J15" s="2840">
        <v>10</v>
      </c>
      <c r="K15" s="2840">
        <v>12</v>
      </c>
      <c r="L15" s="2841">
        <v>16</v>
      </c>
      <c r="M15" s="2841"/>
      <c r="O15" s="3823"/>
      <c r="P15" s="3823"/>
      <c r="Q15" s="3823"/>
    </row>
    <row r="16" spans="1:25" s="8" customFormat="1" ht="12" customHeight="1">
      <c r="B16" s="1354" t="s">
        <v>3406</v>
      </c>
      <c r="C16" s="1349"/>
      <c r="D16" s="1348" t="s">
        <v>1530</v>
      </c>
      <c r="E16" s="905"/>
      <c r="F16" s="2839"/>
      <c r="G16" s="2839" t="s">
        <v>422</v>
      </c>
      <c r="H16" s="907"/>
      <c r="I16" s="2840"/>
      <c r="J16" s="2840"/>
      <c r="K16" s="2840"/>
      <c r="L16" s="2841"/>
      <c r="M16" s="2841"/>
      <c r="O16" s="3823"/>
      <c r="P16" s="3823"/>
      <c r="Q16" s="3823"/>
    </row>
    <row r="17" spans="1:25" s="8" customFormat="1" ht="12" customHeight="1">
      <c r="B17" s="1354" t="s">
        <v>3407</v>
      </c>
      <c r="C17" s="1349"/>
      <c r="D17" s="1348" t="s">
        <v>1530</v>
      </c>
      <c r="E17" s="905"/>
      <c r="F17" s="2839"/>
      <c r="G17" s="2839" t="s">
        <v>422</v>
      </c>
      <c r="H17" s="907"/>
      <c r="I17" s="2840"/>
      <c r="J17" s="2840"/>
      <c r="K17" s="2840"/>
      <c r="L17" s="2841"/>
      <c r="M17" s="2841"/>
      <c r="O17" s="3823"/>
      <c r="P17" s="3823"/>
      <c r="Q17" s="3823"/>
    </row>
    <row r="18" spans="1:25" s="8" customFormat="1" ht="12" customHeight="1">
      <c r="B18" s="1355" t="s">
        <v>3408</v>
      </c>
      <c r="C18" s="1351"/>
      <c r="D18" s="1350" t="s">
        <v>1530</v>
      </c>
      <c r="E18" s="905"/>
      <c r="F18" s="2839" t="s">
        <v>422</v>
      </c>
      <c r="G18" s="2839"/>
      <c r="H18" s="246"/>
      <c r="I18" s="2840"/>
      <c r="J18" s="2840">
        <v>21</v>
      </c>
      <c r="K18" s="2840">
        <v>27</v>
      </c>
      <c r="L18" s="2841">
        <v>33</v>
      </c>
      <c r="M18" s="2841"/>
      <c r="O18" s="3823"/>
      <c r="P18" s="3823"/>
      <c r="Q18" s="3823"/>
    </row>
    <row r="19" spans="1:25" s="8" customFormat="1" ht="12" customHeight="1">
      <c r="B19" s="1352" t="s">
        <v>1321</v>
      </c>
      <c r="C19" s="1353"/>
      <c r="D19" s="1358" t="s">
        <v>3198</v>
      </c>
      <c r="E19" s="2842" t="s">
        <v>2770</v>
      </c>
      <c r="F19" s="2839" t="s">
        <v>422</v>
      </c>
      <c r="G19" s="2839"/>
      <c r="H19" s="906"/>
      <c r="I19" s="2840"/>
      <c r="J19" s="2840">
        <f>20+19</f>
        <v>39</v>
      </c>
      <c r="K19" s="2840">
        <f>26+24</f>
        <v>50</v>
      </c>
      <c r="L19" s="2841">
        <f>31+29</f>
        <v>60</v>
      </c>
      <c r="M19" s="2841"/>
      <c r="O19" s="3823"/>
      <c r="P19" s="3823"/>
      <c r="Q19" s="3823"/>
    </row>
    <row r="20" spans="1:25" s="8" customFormat="1" ht="12" customHeight="1">
      <c r="B20" s="1356" t="s">
        <v>1766</v>
      </c>
      <c r="C20" s="1357"/>
      <c r="D20" s="248"/>
      <c r="E20" s="220"/>
      <c r="F20" s="2839"/>
      <c r="G20" s="2839" t="s">
        <v>422</v>
      </c>
      <c r="H20" s="907"/>
      <c r="I20" s="2840"/>
      <c r="J20" s="2840"/>
      <c r="K20" s="2840"/>
      <c r="L20" s="2841"/>
      <c r="M20" s="2841"/>
      <c r="O20" s="3823"/>
      <c r="P20" s="3823"/>
      <c r="Q20" s="3823"/>
    </row>
    <row r="21" spans="1:25" s="8" customFormat="1" ht="12" customHeight="1">
      <c r="B21" s="1356" t="s">
        <v>711</v>
      </c>
      <c r="C21" s="3832"/>
      <c r="D21" s="3833"/>
      <c r="E21" s="3834"/>
      <c r="F21" s="2843"/>
      <c r="G21" s="2843"/>
      <c r="H21" s="909"/>
      <c r="I21" s="2844"/>
      <c r="J21" s="2844"/>
      <c r="K21" s="2844"/>
      <c r="L21" s="2845"/>
      <c r="M21" s="2845"/>
      <c r="O21" s="3823"/>
      <c r="P21" s="3823"/>
      <c r="Q21" s="3823"/>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94</v>
      </c>
      <c r="K22" s="149">
        <f>IF(SUM(K12:K21)=0,0,IF(OR($D12="&lt;&lt;Select Fuel &gt;&gt;",$D13="&lt;&lt;Select Fuel &gt;&gt;",$D14="&lt;&lt;Select Fuel &gt;&gt;"),"Select Fuel",IF($E19="&lt;Select&gt;","Submeter?",SUM(K12:K21))))</f>
        <v>121</v>
      </c>
      <c r="L22" s="149">
        <f>IF(SUM(L12:L21)=0,0,IF(OR($D12="&lt;&lt;Select Fuel &gt;&gt;",$D13="&lt;&lt;Select Fuel &gt;&gt;",$D14="&lt;&lt;Select Fuel &gt;&gt;"),"Select Fuel",IF($E19="&lt;Select&gt;","Submeter?",SUM(L12:L21))))</f>
        <v>149</v>
      </c>
      <c r="M22" s="149">
        <f>IF(SUM(M12:M21)=0,0,IF(OR($D12="&lt;&lt;Select Fuel &gt;&gt;",$D13="&lt;&lt;Select Fuel &gt;&gt;",$D14="&lt;&lt;Select Fuel &gt;&gt;"),"Select Fuel",IF($E19="&lt;Select&gt;","Submeter?",SUM(M12:M21))))</f>
        <v>0</v>
      </c>
    </row>
    <row r="23" spans="1:25" s="8" customFormat="1" ht="7.5" customHeight="1">
      <c r="M23" s="27"/>
      <c r="N23" s="27"/>
      <c r="O23" s="3814" t="s">
        <v>6834</v>
      </c>
      <c r="P23" s="3815"/>
      <c r="Q23" s="3815"/>
      <c r="R23" s="3815"/>
      <c r="S23" s="3815"/>
      <c r="T23" s="3815"/>
      <c r="U23" s="3816"/>
      <c r="V23" s="474"/>
      <c r="W23" s="474"/>
      <c r="X23" s="474"/>
      <c r="Y23" s="474"/>
    </row>
    <row r="24" spans="1:25" s="8" customFormat="1" ht="12.75" customHeight="1">
      <c r="A24" s="13" t="s">
        <v>710</v>
      </c>
      <c r="B24" s="13" t="s">
        <v>2128</v>
      </c>
      <c r="F24" s="1" t="s">
        <v>2402</v>
      </c>
      <c r="G24" s="1"/>
      <c r="H24" s="1"/>
      <c r="I24" s="3799"/>
      <c r="J24" s="3800"/>
      <c r="K24" s="3800"/>
      <c r="L24" s="3800"/>
      <c r="M24" s="3801"/>
      <c r="O24" s="3817"/>
      <c r="P24" s="3818"/>
      <c r="Q24" s="3818"/>
      <c r="R24" s="3818"/>
      <c r="S24" s="3818"/>
      <c r="T24" s="3818"/>
      <c r="U24" s="3819"/>
      <c r="V24" s="474"/>
      <c r="W24" s="474"/>
      <c r="X24" s="474"/>
      <c r="Y24" s="474"/>
    </row>
    <row r="25" spans="1:25" s="8" customFormat="1" ht="13.35" customHeight="1">
      <c r="A25" s="13"/>
      <c r="B25" s="13"/>
      <c r="F25" s="1" t="s">
        <v>606</v>
      </c>
      <c r="G25" s="1"/>
      <c r="H25" s="33"/>
      <c r="I25" s="3802"/>
      <c r="J25" s="3803"/>
      <c r="K25" s="6" t="s">
        <v>514</v>
      </c>
      <c r="L25" s="3804"/>
      <c r="M25" s="3805"/>
      <c r="O25" s="3817"/>
      <c r="P25" s="3818"/>
      <c r="Q25" s="3818"/>
      <c r="R25" s="3818"/>
      <c r="S25" s="3818"/>
      <c r="T25" s="3818"/>
      <c r="U25" s="3819"/>
      <c r="V25" s="474"/>
      <c r="W25" s="474"/>
      <c r="X25" s="474"/>
      <c r="Y25" s="474"/>
    </row>
    <row r="26" spans="1:25" s="8" customFormat="1" ht="4.5" customHeight="1">
      <c r="A26" s="13"/>
      <c r="O26" s="3817"/>
      <c r="P26" s="3818"/>
      <c r="Q26" s="3818"/>
      <c r="R26" s="3818"/>
      <c r="S26" s="3818"/>
      <c r="T26" s="3818"/>
      <c r="U26" s="3819"/>
      <c r="V26" s="474"/>
      <c r="W26" s="474"/>
      <c r="X26" s="474"/>
      <c r="Y26" s="474"/>
    </row>
    <row r="27" spans="1:25" s="13" customFormat="1">
      <c r="B27" s="243"/>
      <c r="C27" s="243"/>
      <c r="D27" s="243"/>
      <c r="E27" s="243"/>
      <c r="F27" s="3811" t="s">
        <v>580</v>
      </c>
      <c r="G27" s="3811"/>
      <c r="I27" s="3812" t="s">
        <v>192</v>
      </c>
      <c r="J27" s="3812"/>
      <c r="K27" s="3812"/>
      <c r="L27" s="3812"/>
      <c r="M27" s="3812"/>
      <c r="O27" s="3817"/>
      <c r="P27" s="3818"/>
      <c r="Q27" s="3818"/>
      <c r="R27" s="3818"/>
      <c r="S27" s="3818"/>
      <c r="T27" s="3818"/>
      <c r="U27" s="3819"/>
      <c r="V27" s="474"/>
      <c r="W27" s="474"/>
      <c r="X27" s="474"/>
      <c r="Y27" s="474"/>
    </row>
    <row r="28" spans="1:25" s="13" customFormat="1">
      <c r="B28" s="243" t="s">
        <v>765</v>
      </c>
      <c r="D28" s="243" t="s">
        <v>1533</v>
      </c>
      <c r="F28" s="2647" t="s">
        <v>612</v>
      </c>
      <c r="G28" s="2647" t="s">
        <v>1765</v>
      </c>
      <c r="I28" s="244" t="s">
        <v>539</v>
      </c>
      <c r="J28" s="245">
        <v>1</v>
      </c>
      <c r="K28" s="245">
        <v>2</v>
      </c>
      <c r="L28" s="245">
        <v>3</v>
      </c>
      <c r="M28" s="245">
        <v>4</v>
      </c>
      <c r="O28" s="3817"/>
      <c r="P28" s="3818"/>
      <c r="Q28" s="3818"/>
      <c r="R28" s="3818"/>
      <c r="S28" s="3818"/>
      <c r="T28" s="3818"/>
      <c r="U28" s="3819"/>
    </row>
    <row r="29" spans="1:25" s="8" customFormat="1" ht="12" customHeight="1">
      <c r="B29" s="1346" t="s">
        <v>1767</v>
      </c>
      <c r="C29" s="1347"/>
      <c r="D29" s="3806" t="s">
        <v>1736</v>
      </c>
      <c r="E29" s="3807"/>
      <c r="F29" s="2846"/>
      <c r="G29" s="2846"/>
      <c r="H29" s="908"/>
      <c r="I29" s="2838"/>
      <c r="J29" s="2838"/>
      <c r="K29" s="2838"/>
      <c r="L29" s="2838"/>
      <c r="M29" s="2838"/>
      <c r="O29" s="3817"/>
      <c r="P29" s="3818"/>
      <c r="Q29" s="3818"/>
      <c r="R29" s="3818"/>
      <c r="S29" s="3818"/>
      <c r="T29" s="3818"/>
      <c r="U29" s="3819"/>
      <c r="V29" s="13"/>
      <c r="W29" s="13"/>
      <c r="X29" s="13"/>
      <c r="Y29" s="13"/>
    </row>
    <row r="30" spans="1:25" s="8" customFormat="1" ht="12" customHeight="1" thickBot="1">
      <c r="B30" s="1348" t="s">
        <v>1531</v>
      </c>
      <c r="C30" s="1349"/>
      <c r="D30" s="3830" t="s">
        <v>1736</v>
      </c>
      <c r="E30" s="3831"/>
      <c r="F30" s="2847"/>
      <c r="G30" s="2847"/>
      <c r="H30" s="907"/>
      <c r="I30" s="2840"/>
      <c r="J30" s="2840"/>
      <c r="K30" s="2840"/>
      <c r="L30" s="2841"/>
      <c r="M30" s="2841"/>
      <c r="O30" s="3820"/>
      <c r="P30" s="3821"/>
      <c r="Q30" s="3821"/>
      <c r="R30" s="3821"/>
      <c r="S30" s="3821"/>
      <c r="T30" s="3821"/>
      <c r="U30" s="3822"/>
    </row>
    <row r="31" spans="1:25" s="8" customFormat="1" ht="12" customHeight="1">
      <c r="B31" s="1350" t="s">
        <v>1532</v>
      </c>
      <c r="C31" s="1351"/>
      <c r="D31" s="3830" t="s">
        <v>1736</v>
      </c>
      <c r="E31" s="3831"/>
      <c r="F31" s="2847"/>
      <c r="G31" s="2847"/>
      <c r="H31" s="246"/>
      <c r="I31" s="2840"/>
      <c r="J31" s="2840"/>
      <c r="K31" s="2840"/>
      <c r="L31" s="2841"/>
      <c r="M31" s="2841"/>
      <c r="O31" s="3823" t="s">
        <v>3412</v>
      </c>
      <c r="P31" s="3823"/>
      <c r="Q31" s="3823"/>
    </row>
    <row r="32" spans="1:25" s="8" customFormat="1" ht="12" customHeight="1">
      <c r="B32" s="1352" t="s">
        <v>447</v>
      </c>
      <c r="C32" s="1353"/>
      <c r="D32" s="1352" t="s">
        <v>1530</v>
      </c>
      <c r="E32" s="247"/>
      <c r="F32" s="2847"/>
      <c r="G32" s="2847"/>
      <c r="H32" s="906"/>
      <c r="I32" s="2840"/>
      <c r="J32" s="2840"/>
      <c r="K32" s="2840"/>
      <c r="L32" s="2841"/>
      <c r="M32" s="2841"/>
      <c r="O32" s="3823"/>
      <c r="P32" s="3823"/>
      <c r="Q32" s="3823"/>
    </row>
    <row r="33" spans="1:19" s="8" customFormat="1" ht="12" customHeight="1">
      <c r="B33" s="1354" t="s">
        <v>3406</v>
      </c>
      <c r="C33" s="1349"/>
      <c r="D33" s="1348" t="s">
        <v>1530</v>
      </c>
      <c r="E33" s="905"/>
      <c r="F33" s="2847"/>
      <c r="G33" s="2847"/>
      <c r="H33" s="907"/>
      <c r="I33" s="2840"/>
      <c r="J33" s="2840"/>
      <c r="K33" s="2840"/>
      <c r="L33" s="2841"/>
      <c r="M33" s="2841"/>
      <c r="O33" s="3823"/>
      <c r="P33" s="3823"/>
      <c r="Q33" s="3823"/>
    </row>
    <row r="34" spans="1:19" s="8" customFormat="1" ht="12" customHeight="1">
      <c r="B34" s="1354" t="s">
        <v>3407</v>
      </c>
      <c r="C34" s="1349"/>
      <c r="D34" s="1348" t="s">
        <v>1530</v>
      </c>
      <c r="E34" s="905"/>
      <c r="F34" s="2847"/>
      <c r="G34" s="2847"/>
      <c r="H34" s="907"/>
      <c r="I34" s="2840"/>
      <c r="J34" s="2840"/>
      <c r="K34" s="2840"/>
      <c r="L34" s="2841"/>
      <c r="M34" s="2841"/>
      <c r="O34" s="3823"/>
      <c r="P34" s="3823"/>
      <c r="Q34" s="3823"/>
    </row>
    <row r="35" spans="1:19" s="8" customFormat="1" ht="12" customHeight="1">
      <c r="B35" s="1355" t="s">
        <v>3408</v>
      </c>
      <c r="C35" s="1351"/>
      <c r="D35" s="1350" t="s">
        <v>1530</v>
      </c>
      <c r="E35" s="905"/>
      <c r="F35" s="2847"/>
      <c r="G35" s="2847"/>
      <c r="H35" s="246"/>
      <c r="I35" s="2840"/>
      <c r="J35" s="2840"/>
      <c r="K35" s="2840"/>
      <c r="L35" s="2841"/>
      <c r="M35" s="2841"/>
      <c r="O35" s="3823"/>
      <c r="P35" s="3823"/>
      <c r="Q35" s="3823"/>
    </row>
    <row r="36" spans="1:19" s="8" customFormat="1" ht="12" customHeight="1">
      <c r="B36" s="1352" t="s">
        <v>1321</v>
      </c>
      <c r="C36" s="1353"/>
      <c r="D36" s="1358" t="s">
        <v>3198</v>
      </c>
      <c r="E36" s="2842" t="s">
        <v>193</v>
      </c>
      <c r="F36" s="2847"/>
      <c r="G36" s="2847"/>
      <c r="H36" s="906"/>
      <c r="I36" s="2840"/>
      <c r="J36" s="2840"/>
      <c r="K36" s="2840"/>
      <c r="L36" s="2841"/>
      <c r="M36" s="2841"/>
      <c r="O36" s="3823"/>
      <c r="P36" s="3823"/>
      <c r="Q36" s="3823"/>
    </row>
    <row r="37" spans="1:19" s="8" customFormat="1" ht="12" customHeight="1">
      <c r="B37" s="1356" t="s">
        <v>1766</v>
      </c>
      <c r="C37" s="1357"/>
      <c r="D37" s="248"/>
      <c r="E37" s="220"/>
      <c r="F37" s="2847"/>
      <c r="G37" s="2847"/>
      <c r="H37" s="907"/>
      <c r="I37" s="2840"/>
      <c r="J37" s="2840"/>
      <c r="K37" s="2840"/>
      <c r="L37" s="2841"/>
      <c r="M37" s="2841"/>
      <c r="O37" s="3823"/>
      <c r="P37" s="3823"/>
      <c r="Q37" s="3823"/>
    </row>
    <row r="38" spans="1:19" s="8" customFormat="1" ht="12" customHeight="1">
      <c r="B38" s="1356" t="s">
        <v>711</v>
      </c>
      <c r="C38" s="3832"/>
      <c r="D38" s="3833"/>
      <c r="E38" s="3834"/>
      <c r="F38" s="2848"/>
      <c r="G38" s="2848"/>
      <c r="H38" s="909"/>
      <c r="I38" s="2844"/>
      <c r="J38" s="2844"/>
      <c r="K38" s="2844"/>
      <c r="L38" s="2845"/>
      <c r="M38" s="2845"/>
      <c r="O38" s="3823"/>
      <c r="P38" s="3823"/>
      <c r="Q38" s="3823"/>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23"/>
      <c r="P39" s="3823"/>
      <c r="Q39" s="3823"/>
    </row>
    <row r="40" spans="1:19" ht="6" customHeight="1">
      <c r="A40" s="8"/>
    </row>
    <row r="41" spans="1:19" s="8" customFormat="1">
      <c r="B41" s="418" t="s">
        <v>3199</v>
      </c>
      <c r="D41" s="27"/>
      <c r="E41" s="27"/>
      <c r="F41" s="80"/>
      <c r="G41" s="80"/>
      <c r="I41" s="2647"/>
      <c r="J41" s="2647"/>
      <c r="K41" s="2647"/>
      <c r="L41" s="2647"/>
      <c r="M41" s="2647"/>
    </row>
    <row r="42" spans="1:19" s="8" customFormat="1" ht="12" customHeight="1">
      <c r="A42" s="13"/>
      <c r="B42" s="13" t="s">
        <v>543</v>
      </c>
      <c r="M42" s="27"/>
      <c r="N42" s="27"/>
      <c r="O42" s="27"/>
      <c r="P42" s="27"/>
      <c r="Q42" s="27"/>
      <c r="R42" s="27"/>
      <c r="S42" s="27"/>
    </row>
    <row r="43" spans="1:19" s="8" customFormat="1" ht="49.5" customHeight="1">
      <c r="B43" s="3824" t="s">
        <v>6896</v>
      </c>
      <c r="C43" s="3825"/>
      <c r="D43" s="3825"/>
      <c r="E43" s="3825"/>
      <c r="F43" s="3825"/>
      <c r="G43" s="3825"/>
      <c r="H43" s="3825"/>
      <c r="I43" s="3825"/>
      <c r="J43" s="3825"/>
      <c r="K43" s="3825"/>
      <c r="L43" s="3825"/>
      <c r="M43" s="3826"/>
      <c r="N43" s="27"/>
      <c r="O43" s="3131" t="s">
        <v>2543</v>
      </c>
      <c r="P43" s="3131"/>
      <c r="Q43" s="3131"/>
      <c r="R43" s="3131"/>
      <c r="S43" s="3131"/>
    </row>
    <row r="44" spans="1:19" s="8" customFormat="1" ht="3" customHeight="1">
      <c r="M44" s="27"/>
      <c r="N44" s="27"/>
      <c r="O44" s="3131"/>
      <c r="P44" s="3131"/>
      <c r="Q44" s="3131"/>
      <c r="R44" s="3131"/>
      <c r="S44" s="3131"/>
    </row>
    <row r="45" spans="1:19" s="8" customFormat="1" ht="12" customHeight="1">
      <c r="A45" s="13"/>
      <c r="B45" s="13" t="s">
        <v>1761</v>
      </c>
      <c r="M45" s="27"/>
      <c r="N45" s="27"/>
      <c r="O45" s="3131"/>
      <c r="P45" s="3131"/>
      <c r="Q45" s="3131"/>
      <c r="R45" s="3131"/>
      <c r="S45" s="3131"/>
    </row>
    <row r="46" spans="1:19" s="8" customFormat="1" ht="24.75" customHeight="1">
      <c r="B46" s="3827"/>
      <c r="C46" s="3828"/>
      <c r="D46" s="3828"/>
      <c r="E46" s="3828"/>
      <c r="F46" s="3828"/>
      <c r="G46" s="3828"/>
      <c r="H46" s="3828"/>
      <c r="I46" s="3828"/>
      <c r="J46" s="3828"/>
      <c r="K46" s="3828"/>
      <c r="L46" s="3828"/>
      <c r="M46" s="3829"/>
      <c r="N46" s="27"/>
      <c r="O46" s="3131"/>
      <c r="P46" s="3131"/>
      <c r="Q46" s="3131"/>
      <c r="R46" s="3131"/>
      <c r="S46" s="3131"/>
    </row>
  </sheetData>
  <sheetProtection algorithmName="SHA-512" hashValue="PKRsy95Ke6BdYnVbZ1kEdU084yMbHGLQptfueFLn+soaVXWk5E+Fc1lGb+/YXlTqZFEjJCS/1AnLudagbvKN2w==" saltValue="rbSmT3GEPwzOUh2gUOc/9g=="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80" priority="8" operator="equal">
      <formula>"""&lt;&lt;Select Fuel &gt;&gt;"""</formula>
    </cfRule>
  </conditionalFormatting>
  <conditionalFormatting sqref="I22:M22">
    <cfRule type="cellIs" dxfId="79" priority="6" operator="equal">
      <formula>"Select Fuel"</formula>
    </cfRule>
    <cfRule type="cellIs" dxfId="78" priority="7" operator="equal">
      <formula>"&lt;&lt;Select Fuel &gt;&gt;"</formula>
    </cfRule>
  </conditionalFormatting>
  <conditionalFormatting sqref="J22:M22">
    <cfRule type="cellIs" dxfId="77" priority="5" operator="equal">
      <formula>"Select Fuel"</formula>
    </cfRule>
  </conditionalFormatting>
  <conditionalFormatting sqref="I39:M39">
    <cfRule type="cellIs" dxfId="76" priority="4" operator="equal">
      <formula>"""&lt;&lt;Select Fuel &gt;&gt;"""</formula>
    </cfRule>
  </conditionalFormatting>
  <conditionalFormatting sqref="I39:M39">
    <cfRule type="cellIs" dxfId="75" priority="2" operator="equal">
      <formula>"Select Fuel"</formula>
    </cfRule>
    <cfRule type="cellIs" dxfId="74" priority="3" operator="equal">
      <formula>"&lt;&lt;Select Fuel &gt;&gt;"</formula>
    </cfRule>
  </conditionalFormatting>
  <conditionalFormatting sqref="J39:M39">
    <cfRule type="cellIs" dxfId="73"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E27C49-9B04-4427-9E83-F2E0E489BCB2}">
  <ds:schemaRefs>
    <ds:schemaRef ds:uri="http://schemas.microsoft.com/sharepoint/v3/contenttype/forms"/>
  </ds:schemaRefs>
</ds:datastoreItem>
</file>

<file path=customXml/itemProps2.xml><?xml version="1.0" encoding="utf-8"?>
<ds:datastoreItem xmlns:ds="http://schemas.openxmlformats.org/officeDocument/2006/customXml" ds:itemID="{033924A5-2397-45AD-BA9E-67729179F9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C496AB-C5DF-42EF-8820-3496287F7398}">
  <ds:schemaRefs>
    <ds:schemaRef ds:uri="http://purl.org/dc/term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4425f765-7ff5-4475-924d-a1e4ebf7f4e1"/>
    <ds:schemaRef ds:uri="http://purl.org/dc/elements/1.1/"/>
    <ds:schemaRef ds:uri="http://schemas.microsoft.com/office/2006/metadata/properties"/>
    <ds:schemaRef ds:uri="431100d4-4470-42c1-96bc-46686c1829a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2021-05-19T22:04:20Z</cp:lastPrinted>
  <dcterms:created xsi:type="dcterms:W3CDTF">2005-09-15T20:51:37Z</dcterms:created>
  <dcterms:modified xsi:type="dcterms:W3CDTF">2021-10-07T16:30:53Z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